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15.xml.rels" ContentType="application/vnd.openxmlformats-package.relationships+xml"/>
  <Override PartName="/xl/worksheets/_rels/sheet27.xml.rels" ContentType="application/vnd.openxmlformats-package.relationships+xml"/>
  <Override PartName="/xl/worksheets/_rels/sheet16.xml.rels" ContentType="application/vnd.openxmlformats-package.relationships+xml"/>
  <Override PartName="/xl/worksheets/_rels/sheet28.xml.rels" ContentType="application/vnd.openxmlformats-package.relationships+xml"/>
  <Override PartName="/xl/worksheets/_rels/sheet1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1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A_從這裡開始_Start" sheetId="1" state="visible" r:id="rId3"/>
    <sheet name="儀表板_Dashboard" sheetId="2" state="visible" r:id="rId4"/>
    <sheet name="15_商機字典_OppLibrary" sheetId="3" state="visible" r:id="rId5"/>
    <sheet name="17_商機作戰卡_OppView" sheetId="4" state="visible" r:id="rId6"/>
    <sheet name="12_夥伴視角_PartnerView" sheetId="5" state="visible" r:id="rId7"/>
    <sheet name="11_缺口招募_GapRFI" sheetId="6" state="visible" r:id="rId8"/>
    <sheet name="00B_決策導引_Decide" sheetId="7" state="hidden" r:id="rId9"/>
    <sheet name="00C_分頁地圖_Map" sheetId="8" state="visible" r:id="rId10"/>
    <sheet name="00_使用說明_Guide" sheetId="9" state="hidden" r:id="rId11"/>
    <sheet name="01_總藍圖_Blueprint" sheetId="10" state="hidden" r:id="rId12"/>
    <sheet name="14_商機清單_Pipeline" sheetId="11" state="hidden" r:id="rId13"/>
    <sheet name="16_能力商機矩陣_CapOppMap" sheetId="12" state="hidden" r:id="rId14"/>
    <sheet name="02_情境權重_Scenario" sheetId="13" state="hidden" r:id="rId15"/>
    <sheet name="03_能力總表_Master" sheetId="14" state="hidden" r:id="rId16"/>
    <sheet name="04_夥伴拼圖_Partners" sheetId="15" state="hidden" r:id="rId17"/>
    <sheet name="05_法規門檻_Gates" sheetId="16" state="hidden" r:id="rId18"/>
    <sheet name="06_行動路線_Roadmap" sheetId="17" state="hidden" r:id="rId19"/>
    <sheet name="07_整案量級_Portfolio" sheetId="18" state="hidden" r:id="rId20"/>
    <sheet name="08_風險清冊_Risk" sheetId="19" state="hidden" r:id="rId21"/>
    <sheet name="09_KPI計分卡_KPI" sheetId="20" state="hidden" r:id="rId22"/>
    <sheet name="10_決策紀錄_Log" sheetId="21" state="hidden" r:id="rId23"/>
    <sheet name="13_待辦看板_Actions" sheetId="22" state="hidden" r:id="rId24"/>
    <sheet name="18_層級地圖_Layers" sheetId="23" state="visible" r:id="rId25"/>
    <sheet name="19_商機趨勢_OppTrend" sheetId="24" state="visible" r:id="rId26"/>
    <sheet name="20_能力趨勢_CapTrend" sheetId="25" state="visible" r:id="rId27"/>
    <sheet name="21_情報來源_Sources" sheetId="26" state="visible" r:id="rId28"/>
    <sheet name="98_選單維護_Lists" sheetId="27" state="hidden" r:id="rId29"/>
    <sheet name="99_代碼表_Codebook" sheetId="28" state="visible" r:id="rId30"/>
    <sheet name="_計算_Calc" sheetId="29" state="hidden" r:id="rId31"/>
  </sheets>
  <definedNames>
    <definedName function="false" hidden="false" localSheetId="13" name="_xlnm.Print_Titles" vbProcedure="false">03_能力總表_Master!$1:$4</definedName>
    <definedName function="false" hidden="true" localSheetId="13" name="_xlnm._FilterDatabase" vbProcedure="false">03_能力總表_Master!$A$4:$AJ$154</definedName>
    <definedName function="false" hidden="false" localSheetId="14" name="_xlnm.Print_Titles" vbProcedure="false">04_夥伴拼圖_Partners!$1:$4</definedName>
    <definedName function="false" hidden="true" localSheetId="14" name="_xlnm._FilterDatabase" vbProcedure="false">04_夥伴拼圖_Partners!$A$4:$AE$37</definedName>
    <definedName function="false" hidden="false" localSheetId="15" name="_xlnm.Print_Titles" vbProcedure="false">05_法規門檻_Gates!$1:$4</definedName>
    <definedName function="false" hidden="true" localSheetId="15" name="_xlnm._FilterDatabase" vbProcedure="false">05_法規門檻_Gates!$A$4:$P$51</definedName>
    <definedName function="false" hidden="false" localSheetId="16" name="_xlnm.Print_Titles" vbProcedure="false">06_行動路線_Roadmap!$1:$4</definedName>
    <definedName function="false" hidden="false" localSheetId="18" name="_xlnm.Print_Titles" vbProcedure="false">08_風險清冊_Risk!$1:$4</definedName>
    <definedName function="false" hidden="true" localSheetId="18" name="_xlnm._FilterDatabase" vbProcedure="false">08_風險清冊_Risk!$A$4:$L$33</definedName>
    <definedName function="false" hidden="false" localSheetId="19" name="_xlnm.Print_Titles" vbProcedure="false">09_KPI計分卡_KPI!$1:$4</definedName>
    <definedName function="false" hidden="true" localSheetId="19" name="_xlnm._FilterDatabase" vbProcedure="false">09_KPI計分卡_KPI!$A$4:$L$37</definedName>
    <definedName function="false" hidden="false" localSheetId="5" name="_xlnm.Print_Titles" vbProcedure="false">11_缺口招募_GapRFI!$1:$4</definedName>
    <definedName function="false" hidden="false" localSheetId="4" name="_xlnm.Print_Titles" vbProcedure="false">12_夥伴視角_PartnerView!$1:$7</definedName>
    <definedName function="false" hidden="false" localSheetId="10" name="_xlnm.Print_Titles" vbProcedure="false">14_商機清單_Pipeline!$1:$4</definedName>
    <definedName function="false" hidden="true" localSheetId="10" name="_xlnm._FilterDatabase" vbProcedure="false">14_商機清單_Pipeline!$A$4:$S$24</definedName>
    <definedName function="false" hidden="false" localSheetId="2" name="_xlnm.Print_Titles" vbProcedure="false">15_商機字典_OppLibrary!$1:$4</definedName>
    <definedName function="false" hidden="true" localSheetId="2" name="_xlnm._FilterDatabase" vbProcedure="false">15_商機字典_OppLibrary!$A$4:$AD$94</definedName>
    <definedName function="false" hidden="false" localSheetId="11" name="_xlnm.Print_Area" vbProcedure="false">16_能力商機矩陣_CapOppMap!$A$1:$C$161</definedName>
    <definedName function="false" hidden="false" localSheetId="11" name="_xlnm.Print_Titles" vbProcedure="false">16_能力商機矩陣_CapOppMap!$A:$C,16_能力商機矩陣_CapOppMap!$3:$4</definedName>
    <definedName function="false" hidden="true" localSheetId="11" name="_xlnm._FilterDatabase" vbProcedure="false">16_能力商機矩陣_CapOppMap!$A$4:$CR$154</definedName>
    <definedName function="false" hidden="false" localSheetId="3" name="_xlnm.Print_Titles" vbProcedure="false">17_商機作戰卡_OppView!$1:$10</definedName>
    <definedName function="false" hidden="true" localSheetId="23" name="_xlnm._FilterDatabase" vbProcedure="false">19_商機趨勢_OppTrend!$A$4:$J$89</definedName>
    <definedName function="false" hidden="true" localSheetId="24" name="_xlnm._FilterDatabase" vbProcedure="false">20_能力趨勢_CapTrend!$A$4:$J$64</definedName>
    <definedName function="false" hidden="false" localSheetId="26" name="_xlnm.Print_Titles" vbProcedure="false">98_選單維護_Lists!$1:$5</definedName>
    <definedName function="false" hidden="false" name="L_AmtTier" vbProcedure="false">OFFSET(98_選單維護_Lists!$AD$6,0,0,MAX(1,COUNTA(98_選單維護_Lists!$AD$6:$AD$65)),1)</definedName>
    <definedName function="false" hidden="false" name="L_Biz" vbProcedure="false">OFFSET(98_選單維護_Lists!$C$6,0,0,MAX(1,COUNTA(98_選單維護_Lists!$C$6:$C$65)),1)</definedName>
    <definedName function="false" hidden="false" name="L_Check" vbProcedure="false">OFFSET(98_選單維護_Lists!$AF$6,0,0,MAX(1,COUNTA(98_選單維護_Lists!$AF$6:$AF$65)),1)</definedName>
    <definedName function="false" hidden="false" name="L_Conf" vbProcedure="false">OFFSET(98_選單維護_Lists!$Y$6,0,0,MAX(1,COUNTA(98_選單維護_Lists!$Y$6:$Y$65)),1)</definedName>
    <definedName function="false" hidden="false" name="L_Country" vbProcedure="false">OFFSET(98_選單維護_Lists!$K$6,0,0,MAX(1,COUNTA(98_選單維護_Lists!$K$6:$K$65)),1)</definedName>
    <definedName function="false" hidden="false" name="L_DealStage" vbProcedure="false">OFFSET(98_選單維護_Lists!$AE$6,0,0,MAX(1,COUNTA(98_選單維護_Lists!$AE$6:$AE$65)),1)</definedName>
    <definedName function="false" hidden="false" name="L_Dir" vbProcedure="false">OFFSET(98_選單維護_Lists!$U$6,0,0,MAX(1,COUNTA(98_選單維護_Lists!$U$6:$U$65)),1)</definedName>
    <definedName function="false" hidden="false" name="L_Domain" vbProcedure="false">OFFSET(98_選單維護_Lists!$A$6,0,0,MAX(1,COUNTA(98_選單維護_Lists!$A$6:$A$65)),1)</definedName>
    <definedName function="false" hidden="false" name="L_Evi" vbProcedure="false">OFFSET(98_選單維護_Lists!$W$6,0,0,MAX(1,COUNTA(98_選單維護_Lists!$W$6:$W$65)),1)</definedName>
    <definedName function="false" hidden="false" name="L_EvidMat" vbProcedure="false">OFFSET(98_選單維護_Lists!$AA$6,0,0,MAX(1,COUNTA(98_選單維護_Lists!$AA$6:$AA$65)),1)</definedName>
    <definedName function="false" hidden="false" name="L_Freq" vbProcedure="false">OFFSET(98_選單維護_Lists!$V$6,0,0,MAX(1,COUNTA(98_選單維護_Lists!$V$6:$V$65)),1)</definedName>
    <definedName function="false" hidden="false" name="L_Gate" vbProcedure="false">OFFSET(98_選單維護_Lists!$F$6,0,0,MAX(1,COUNTA(98_選單維護_Lists!$F$6:$F$65)),1)</definedName>
    <definedName function="false" hidden="false" name="L_KPI" vbProcedure="false">OFFSET(09_KPI計分卡_KPI!$S$5,0,0,MAX(1,COUNTA(09_KPI計分卡_KPI!$A$5:$A$50)),1)</definedName>
    <definedName function="false" hidden="false" name="L_KPIP" vbProcedure="false">OFFSET(98_選單維護_Lists!$T$6,0,0,MAX(1,COUNTA(98_選單維護_Lists!$T$6:$T$65)),1)</definedName>
    <definedName function="false" hidden="false" name="L_Lead" vbProcedure="false">OFFSET(98_選單維護_Lists!$E$6,0,0,MAX(1,COUNTA(98_選單維護_Lists!$E$6:$E$65)),1)</definedName>
    <definedName function="false" hidden="false" name="L_Mark" vbProcedure="false">OFFSET(98_選單維護_Lists!$Q$6,0,0,MAX(1,COUNTA(98_選單維護_Lists!$Q$6:$Q$65)),1)</definedName>
    <definedName function="false" hidden="false" name="L_Maturity" vbProcedure="false">OFFSET(98_選單維護_Lists!$Z$6,0,0,MAX(1,COUNTA(98_選單維護_Lists!$Z$6:$Z$65)),1)</definedName>
    <definedName function="false" hidden="false" name="L_Opp" vbProcedure="false">OFFSET(15_商機字典_OppLibrary!$U$5,0,0,MAX(1,COUNTA(15_商機字典_OppLibrary!$B$5:$B$104)),1)</definedName>
    <definedName function="false" hidden="false" name="L_OppFam" vbProcedure="false">OFFSET(98_選單維護_Lists!$AH$6,0,0,MAX(1,COUNTA(98_選單維護_Lists!$AH$6:$AH$65)),1)</definedName>
    <definedName function="false" hidden="false" name="L_Partner" vbProcedure="false">OFFSET(04_夥伴拼圖_Partners!$T$5,0,0,MAX(1,COUNTA(04_夥伴拼圖_Partners!$B$5:$B$40)),1)</definedName>
    <definedName function="false" hidden="false" name="L_PartnerCand" vbProcedure="false">OFFSET(98_選單維護_Lists!$AK$6,0,0,MAX(1,COUNTA(98_選單維護_Lists!$AK$6:$AK$65)),1)</definedName>
    <definedName function="false" hidden="false" name="L_Payer" vbProcedure="false">OFFSET(98_選單維護_Lists!$AG$6,0,0,MAX(1,COUNTA(98_選單維護_Lists!$AG$6:$AG$65)),1)</definedName>
    <definedName function="false" hidden="false" name="L_PkgStd" vbProcedure="false">OFFSET(98_選單維護_Lists!$AB$6,0,0,MAX(1,COUNTA(98_選單維護_Lists!$AB$6:$AB$65)),1)</definedName>
    <definedName function="false" hidden="false" name="L_PkgTxn" vbProcedure="false">OFFSET(98_選單維護_Lists!$AC$6,0,0,MAX(1,COUNTA(98_選單維護_Lists!$AC$6:$AC$65)),1)</definedName>
    <definedName function="false" hidden="false" name="L_PStatus" vbProcedure="false">OFFSET(98_選單維護_Lists!$N$6,0,0,MAX(1,COUNTA(98_選單維護_Lists!$N$6:$N$65)),1)</definedName>
    <definedName function="false" hidden="false" name="L_PType" vbProcedure="false">OFFSET(98_選單維護_Lists!$J$6,0,0,MAX(1,COUNTA(98_選單維護_Lists!$J$6:$J$65)),1)</definedName>
    <definedName function="false" hidden="false" name="L_Puzzle" vbProcedure="false">OFFSET(98_選單維護_Lists!$D$6,0,0,MAX(1,COUNTA(98_選單維護_Lists!$D$6:$D$65)),1)</definedName>
    <definedName function="false" hidden="false" name="L_RegCat" vbProcedure="false">OFFSET(98_選單維護_Lists!$O$6,0,0,MAX(1,COUNTA(98_選單維護_Lists!$O$6:$O$65)),1)</definedName>
    <definedName function="false" hidden="false" name="L_RegLvl" vbProcedure="false">OFFSET(98_選單維護_Lists!$P$6,0,0,MAX(1,COUNTA(98_選單維護_Lists!$P$6:$P$65)),1)</definedName>
    <definedName function="false" hidden="false" name="L_Risk" vbProcedure="false">OFFSET(98_選單維護_Lists!$G$6,0,0,MAX(1,COUNTA(98_選單維護_Lists!$G$6:$G$65)),1)</definedName>
    <definedName function="false" hidden="false" name="L_RiskCat" vbProcedure="false">OFFSET(98_選單維護_Lists!$S$6,0,0,MAX(1,COUNTA(98_選單維護_Lists!$S$6:$S$65)),1)</definedName>
    <definedName function="false" hidden="false" name="L_S05" vbProcedure="false">OFFSET(98_選單維護_Lists!$H$6,0,0,MAX(1,COUNTA(98_選單維護_Lists!$H$6:$H$65)),1)</definedName>
    <definedName function="false" hidden="false" name="L_S15" vbProcedure="false">OFFSET(98_選單維護_Lists!$I$6,0,0,MAX(1,COUNTA(98_選單維護_Lists!$I$6:$I$65)),1)</definedName>
    <definedName function="false" hidden="false" name="L_Src" vbProcedure="false">OFFSET(98_選單維護_Lists!$M$6,0,0,MAX(1,COUNTA(98_選單維護_Lists!$M$6:$M$65)),1)</definedName>
    <definedName function="false" hidden="false" name="L_Stage" vbProcedure="false">OFFSET(98_選單維護_Lists!$B$6,0,0,MAX(1,COUNTA(98_選單維護_Lists!$B$6:$B$65)),1)</definedName>
    <definedName function="false" hidden="false" name="L_SysDep" vbProcedure="false">OFFSET(98_選單維護_Lists!$AJ$6,0,0,MAX(1,COUNTA(98_選單維護_Lists!$AJ$6:$AJ$65)),1)</definedName>
    <definedName function="false" hidden="false" name="L_Txn" vbProcedure="false">OFFSET(98_選單維護_Lists!$X$6,0,0,MAX(1,COUNTA(98_選單維護_Lists!$X$6:$X$65)),1)</definedName>
    <definedName function="false" hidden="false" name="L_VNMat" vbProcedure="false">OFFSET(98_選單維護_Lists!$AI$6,0,0,MAX(1,COUNTA(98_選單維護_Lists!$AI$6:$AI$65)),1)</definedName>
    <definedName function="false" hidden="false" name="L_WP" vbProcedure="false">OFFSET(98_選單維護_Lists!$R$6,0,0,MAX(1,COUNTA(98_選單維護_Lists!$R$6:$R$65)),1)</definedName>
    <definedName function="false" hidden="false" name="L_YN" vbProcedure="false">OFFSET(98_選單維護_Lists!$L$6,0,0,MAX(1,COUNTA(98_選單維護_Lists!$L$6:$L$65)),1)</definedName>
    <definedName function="false" hidden="false" localSheetId="11" name="_xlnm.Print_Titles" vbProcedure="false">16_能力商機矩陣_CapOppMap!$3:$4,16_能力商機矩陣_CapOppMap!$A:$C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<sst xmlns="http://schemas.openxmlformats.org/spreadsheetml/2006/main" count="8626" uniqueCount="3917">
  <si>
    <r>
      <rPr>
        <b val="true"/>
        <sz val="15"/>
        <color rgb="FFFFFFFF"/>
        <rFont val="微軟正黑體"/>
        <family val="0"/>
        <charset val="1"/>
      </rPr>
      <t xml:space="preserve">00A </t>
    </r>
    <r>
      <rPr>
        <b val="true"/>
        <sz val="15"/>
        <color rgb="FFFFFFFF"/>
        <rFont val="Noto Sans CJK SC"/>
        <family val="2"/>
      </rPr>
      <t xml:space="preserve">從這裡開始｜夥伴版（選一個身分，照著五步走）</t>
    </r>
  </si>
  <si>
    <t xml:space="preserve">key</t>
  </si>
  <si>
    <t xml:space="preserve">去哪頁</t>
  </si>
  <si>
    <t xml:space="preserve">做什麼</t>
  </si>
  <si>
    <t xml:space="preserve">改哪些</t>
  </si>
  <si>
    <t xml:space="preserve">完成的樣子</t>
  </si>
  <si>
    <r>
      <rPr>
        <i val="true"/>
        <sz val="9.5"/>
        <color rgb="FF404040"/>
        <rFont val="Noto Sans CJK SC"/>
        <family val="2"/>
      </rPr>
      <t xml:space="preserve">這是 </t>
    </r>
    <r>
      <rPr>
        <i val="true"/>
        <sz val="9.5"/>
        <color rgb="FF404040"/>
        <rFont val="微軟正黑體"/>
        <family val="0"/>
        <charset val="1"/>
      </rPr>
      <t xml:space="preserve">VMH-EcoMap </t>
    </r>
    <r>
      <rPr>
        <i val="true"/>
        <sz val="9.5"/>
        <color rgb="FF404040"/>
        <rFont val="Noto Sans CJK SC"/>
        <family val="2"/>
      </rPr>
      <t xml:space="preserve">主工具的夥伴版：只留下 </t>
    </r>
    <r>
      <rPr>
        <i val="true"/>
        <sz val="9.5"/>
        <color rgb="FF404040"/>
        <rFont val="微軟正黑體"/>
        <family val="0"/>
        <charset val="1"/>
      </rPr>
      <t xml:space="preserve">7 </t>
    </r>
    <r>
      <rPr>
        <i val="true"/>
        <sz val="9.5"/>
        <color rgb="FF404040"/>
        <rFont val="Noto Sans CJK SC"/>
        <family val="2"/>
      </rPr>
      <t xml:space="preserve">個分頁，把顧問在用的盤點工作區收起來了（資料與公式完整保留，沒有刪任何東西）。★ 選完下拉，下面五步會自動換成你的路徑。看完這頁就可以動手。</t>
    </r>
  </si>
  <si>
    <r>
      <rPr>
        <sz val="11"/>
        <color theme="1"/>
        <rFont val="Noto Sans CJK SC"/>
        <family val="2"/>
      </rPr>
      <t xml:space="preserve">① 夥伴｜第一次打開這個檔</t>
    </r>
    <r>
      <rPr>
        <sz val="11"/>
        <color theme="1"/>
        <rFont val="Calibri"/>
        <family val="2"/>
        <charset val="1"/>
      </rPr>
      <t xml:space="preserve">-1</t>
    </r>
  </si>
  <si>
    <r>
      <rPr>
        <sz val="11"/>
        <color theme="1"/>
        <rFont val="Calibri"/>
        <family val="2"/>
        <charset val="1"/>
      </rPr>
      <t xml:space="preserve">15_</t>
    </r>
    <r>
      <rPr>
        <sz val="11"/>
        <color theme="1"/>
        <rFont val="Noto Sans CJK SC"/>
        <family val="2"/>
      </rPr>
      <t xml:space="preserve">商機字典</t>
    </r>
    <r>
      <rPr>
        <sz val="11"/>
        <color theme="1"/>
        <rFont val="Calibri"/>
        <family val="2"/>
        <charset val="1"/>
      </rPr>
      <t xml:space="preserve">_OppLibrary</t>
    </r>
  </si>
  <si>
    <r>
      <rPr>
        <sz val="11"/>
        <color theme="1"/>
        <rFont val="Noto Sans CJK SC"/>
        <family val="2"/>
      </rPr>
      <t xml:space="preserve">先看這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門越南醫院市場可以做的生意，分成 </t>
    </r>
    <r>
      <rPr>
        <sz val="11"/>
        <color theme="1"/>
        <rFont val="Calibri"/>
        <family val="2"/>
        <charset val="1"/>
      </rPr>
      <t xml:space="preserve">A~J </t>
    </r>
    <r>
      <rPr>
        <sz val="11"/>
        <color theme="1"/>
        <rFont val="Noto Sans CJK SC"/>
        <family val="2"/>
      </rPr>
      <t xml:space="preserve">十個族群。只看「在賣什麼／誰付錢／大概多少錢／越南現況」四欄，找跟你本業有關的。</t>
    </r>
  </si>
  <si>
    <t xml:space="preserve">不用改任何格子</t>
  </si>
  <si>
    <r>
      <rPr>
        <sz val="11"/>
        <color theme="1"/>
        <rFont val="Noto Sans CJK SC"/>
        <family val="2"/>
      </rPr>
      <t xml:space="preserve">圈出 </t>
    </r>
    <r>
      <rPr>
        <sz val="11"/>
        <color theme="1"/>
        <rFont val="Calibri"/>
        <family val="2"/>
        <charset val="1"/>
      </rPr>
      <t xml:space="preserve">3–5 </t>
    </r>
    <r>
      <rPr>
        <sz val="11"/>
        <color theme="1"/>
        <rFont val="Noto Sans CJK SC"/>
        <family val="2"/>
      </rPr>
      <t xml:space="preserve">個你做得到的商機</t>
    </r>
  </si>
  <si>
    <t xml:space="preserve">⌂ 回導引頁</t>
  </si>
  <si>
    <r>
      <rPr>
        <sz val="11"/>
        <color theme="1"/>
        <rFont val="Noto Sans CJK SC"/>
        <family val="2"/>
      </rPr>
      <t xml:space="preserve">① 夥伴｜第一次打開這個檔</t>
    </r>
    <r>
      <rPr>
        <sz val="11"/>
        <color theme="1"/>
        <rFont val="Calibri"/>
        <family val="2"/>
        <charset val="1"/>
      </rPr>
      <t xml:space="preserve">-2</t>
    </r>
  </si>
  <si>
    <r>
      <rPr>
        <sz val="11"/>
        <color theme="1"/>
        <rFont val="Noto Sans CJK SC"/>
        <family val="2"/>
      </rPr>
      <t xml:space="preserve">看 </t>
    </r>
    <r>
      <rPr>
        <sz val="11"/>
        <color theme="1"/>
        <rFont val="Calibri"/>
        <family val="2"/>
        <charset val="1"/>
      </rPr>
      <t xml:space="preserve">L </t>
    </r>
    <r>
      <rPr>
        <sz val="11"/>
        <color theme="1"/>
        <rFont val="Noto Sans CJK SC"/>
        <family val="2"/>
      </rPr>
      <t xml:space="preserve">欄「★白地商機」——越南有這門生意，但聯盟目前沒有能力接。那是最歡迎你補位的位置。</t>
    </r>
  </si>
  <si>
    <t xml:space="preserve">確認裡面有沒有你的位置</t>
  </si>
  <si>
    <t xml:space="preserve">我是誰</t>
  </si>
  <si>
    <t xml:space="preserve">① 夥伴｜第一次打開這個檔</t>
  </si>
  <si>
    <t xml:space="preserve">◀ 先選這裡</t>
  </si>
  <si>
    <r>
      <rPr>
        <sz val="11"/>
        <color theme="1"/>
        <rFont val="Noto Sans CJK SC"/>
        <family val="2"/>
      </rPr>
      <t xml:space="preserve">① 夥伴｜第一次打開這個檔</t>
    </r>
    <r>
      <rPr>
        <sz val="11"/>
        <color theme="1"/>
        <rFont val="Calibri"/>
        <family val="2"/>
        <charset val="1"/>
      </rPr>
      <t xml:space="preserve">-3</t>
    </r>
  </si>
  <si>
    <r>
      <rPr>
        <sz val="11"/>
        <color theme="1"/>
        <rFont val="Calibri"/>
        <family val="2"/>
        <charset val="1"/>
      </rPr>
      <t xml:space="preserve">17_</t>
    </r>
    <r>
      <rPr>
        <sz val="11"/>
        <color theme="1"/>
        <rFont val="Noto Sans CJK SC"/>
        <family val="2"/>
      </rPr>
      <t xml:space="preserve">商機作戰卡</t>
    </r>
    <r>
      <rPr>
        <sz val="11"/>
        <color theme="1"/>
        <rFont val="Calibri"/>
        <family val="2"/>
        <charset val="1"/>
      </rPr>
      <t xml:space="preserve">_OppView</t>
    </r>
  </si>
  <si>
    <t xml:space="preserve">在最上面的下拉選單挑一個你圈出來的商機，這一頁會自動組出作戰卡：需要哪些能力、誰在做、還缺什麼、對手是誰。</t>
  </si>
  <si>
    <t xml:space="preserve">只改下拉那一格</t>
  </si>
  <si>
    <t xml:space="preserve">知道你要補的是哪一塊</t>
  </si>
  <si>
    <r>
      <rPr>
        <sz val="11"/>
        <color theme="1"/>
        <rFont val="Noto Sans CJK SC"/>
        <family val="2"/>
      </rPr>
      <t xml:space="preserve">① 夥伴｜第一次打開這個檔</t>
    </r>
    <r>
      <rPr>
        <sz val="11"/>
        <color theme="1"/>
        <rFont val="Calibri"/>
        <family val="2"/>
        <charset val="1"/>
      </rPr>
      <t xml:space="preserve">-4</t>
    </r>
  </si>
  <si>
    <r>
      <rPr>
        <sz val="11"/>
        <color theme="1"/>
        <rFont val="Calibri"/>
        <family val="2"/>
        <charset val="1"/>
      </rPr>
      <t xml:space="preserve">11_</t>
    </r>
    <r>
      <rPr>
        <sz val="11"/>
        <color theme="1"/>
        <rFont val="Noto Sans CJK SC"/>
        <family val="2"/>
      </rPr>
      <t xml:space="preserve">缺口招募</t>
    </r>
    <r>
      <rPr>
        <sz val="11"/>
        <color theme="1"/>
        <rFont val="Calibri"/>
        <family val="2"/>
        <charset val="1"/>
      </rPr>
      <t xml:space="preserve">_GapRFI</t>
    </r>
  </si>
  <si>
    <r>
      <rPr>
        <sz val="11"/>
        <color theme="1"/>
        <rFont val="Noto Sans CJK SC"/>
        <family val="2"/>
      </rPr>
      <t xml:space="preserve">看紅底的那幾列——那是「牽動 ≥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個商機」的缺口，補一個能同時解鎖好幾門生意，聯盟最急著找人。</t>
    </r>
  </si>
  <si>
    <t xml:space="preserve">選出你要認領的缺口</t>
  </si>
  <si>
    <t xml:space="preserve">步驟</t>
  </si>
  <si>
    <t xml:space="preserve">去哪一頁</t>
  </si>
  <si>
    <t xml:space="preserve">要做什麼</t>
  </si>
  <si>
    <t xml:space="preserve">你只要改這些</t>
  </si>
  <si>
    <r>
      <rPr>
        <sz val="11"/>
        <color theme="1"/>
        <rFont val="Noto Sans CJK SC"/>
        <family val="2"/>
      </rPr>
      <t xml:space="preserve">① 夥伴｜第一次打開這個檔</t>
    </r>
    <r>
      <rPr>
        <sz val="11"/>
        <color theme="1"/>
        <rFont val="Calibri"/>
        <family val="2"/>
        <charset val="1"/>
      </rPr>
      <t xml:space="preserve">-5</t>
    </r>
  </si>
  <si>
    <r>
      <rPr>
        <sz val="11"/>
        <color theme="1"/>
        <rFont val="Noto Sans CJK SC"/>
        <family val="2"/>
      </rPr>
      <t xml:space="preserve">（回報給 </t>
    </r>
    <r>
      <rPr>
        <sz val="11"/>
        <color theme="1"/>
        <rFont val="Calibri"/>
        <family val="2"/>
        <charset val="1"/>
      </rPr>
      <t xml:space="preserve">PI</t>
    </r>
    <r>
      <rPr>
        <sz val="11"/>
        <color theme="1"/>
        <rFont val="Noto Sans CJK SC"/>
        <family val="2"/>
      </rPr>
      <t xml:space="preserve">，不用動這個檔）</t>
    </r>
  </si>
  <si>
    <r>
      <rPr>
        <sz val="11"/>
        <color theme="1"/>
        <rFont val="Noto Sans CJK SC"/>
        <family val="2"/>
      </rPr>
      <t xml:space="preserve">把你能做的商機與想認領的缺口，填進 </t>
    </r>
    <r>
      <rPr>
        <sz val="11"/>
        <color theme="1"/>
        <rFont val="Calibri"/>
        <family val="2"/>
        <charset val="1"/>
      </rPr>
      <t xml:space="preserve">VMH-EcoMap-3 </t>
    </r>
    <r>
      <rPr>
        <sz val="11"/>
        <color theme="1"/>
        <rFont val="Noto Sans CJK SC"/>
        <family val="2"/>
      </rPr>
      <t xml:space="preserve">夥伴提案回覆表交回來。這個主檔由 </t>
    </r>
    <r>
      <rPr>
        <sz val="11"/>
        <color theme="1"/>
        <rFont val="Calibri"/>
        <family val="2"/>
        <charset val="1"/>
      </rPr>
      <t xml:space="preserve">PI </t>
    </r>
    <r>
      <rPr>
        <sz val="11"/>
        <color theme="1"/>
        <rFont val="Noto Sans CJK SC"/>
        <family val="2"/>
      </rPr>
      <t xml:space="preserve">統一維護。</t>
    </r>
  </si>
  <si>
    <t xml:space="preserve">提案回覆表已寄出</t>
  </si>
  <si>
    <r>
      <rPr>
        <b val="true"/>
        <sz val="11"/>
        <color rgb="FF548235"/>
        <rFont val="Noto Sans CJK SC"/>
        <family val="2"/>
      </rPr>
      <t xml:space="preserve">第 </t>
    </r>
    <r>
      <rPr>
        <b val="true"/>
        <sz val="11"/>
        <color rgb="FF548235"/>
        <rFont val="微軟正黑體"/>
        <family val="0"/>
        <charset val="1"/>
      </rPr>
      <t xml:space="preserve">1 </t>
    </r>
    <r>
      <rPr>
        <b val="true"/>
        <sz val="11"/>
        <color rgb="FF548235"/>
        <rFont val="Noto Sans CJK SC"/>
        <family val="2"/>
      </rPr>
      <t xml:space="preserve">步</t>
    </r>
  </si>
  <si>
    <r>
      <rPr>
        <sz val="11"/>
        <color theme="1"/>
        <rFont val="Noto Sans CJK SC"/>
        <family val="2"/>
      </rPr>
      <t xml:space="preserve">② 夥伴｜我已經在夥伴名單上</t>
    </r>
    <r>
      <rPr>
        <sz val="11"/>
        <color theme="1"/>
        <rFont val="Calibri"/>
        <family val="2"/>
        <charset val="1"/>
      </rPr>
      <t xml:space="preserve">-1</t>
    </r>
  </si>
  <si>
    <r>
      <rPr>
        <sz val="11"/>
        <color theme="1"/>
        <rFont val="Calibri"/>
        <family val="2"/>
        <charset val="1"/>
      </rPr>
      <t xml:space="preserve">12_</t>
    </r>
    <r>
      <rPr>
        <sz val="11"/>
        <color theme="1"/>
        <rFont val="Noto Sans CJK SC"/>
        <family val="2"/>
      </rPr>
      <t xml:space="preserve">夥伴視角</t>
    </r>
    <r>
      <rPr>
        <sz val="11"/>
        <color theme="1"/>
        <rFont val="Calibri"/>
        <family val="2"/>
        <charset val="1"/>
      </rPr>
      <t xml:space="preserve">_PartnerView</t>
    </r>
  </si>
  <si>
    <r>
      <rPr>
        <sz val="11"/>
        <color theme="1"/>
        <rFont val="Noto Sans CJK SC"/>
        <family val="2"/>
      </rPr>
      <t xml:space="preserve">在下拉選單選你的代號（顯示「</t>
    </r>
    <r>
      <rPr>
        <sz val="11"/>
        <color theme="1"/>
        <rFont val="Calibri"/>
        <family val="2"/>
        <charset val="1"/>
      </rPr>
      <t xml:space="preserve">P-016 </t>
    </r>
    <r>
      <rPr>
        <sz val="11"/>
        <color theme="1"/>
        <rFont val="Noto Sans CJK SC"/>
        <family val="2"/>
      </rPr>
      <t xml:space="preserve">影像設備與</t>
    </r>
    <r>
      <rPr>
        <sz val="11"/>
        <color theme="1"/>
        <rFont val="Calibri"/>
        <family val="2"/>
        <charset val="1"/>
      </rPr>
      <t xml:space="preserve">PACS</t>
    </r>
    <r>
      <rPr>
        <sz val="11"/>
        <color theme="1"/>
        <rFont val="Noto Sans CJK SC"/>
        <family val="2"/>
      </rPr>
      <t xml:space="preserve">整合商」這種格式），這一頁自動列出你被指名的所有能力項與所屬商機。</t>
    </r>
  </si>
  <si>
    <t xml:space="preserve">看到自己被指名的完整清單</t>
  </si>
  <si>
    <r>
      <rPr>
        <b val="true"/>
        <sz val="11"/>
        <color rgb="FF548235"/>
        <rFont val="Noto Sans CJK SC"/>
        <family val="2"/>
      </rPr>
      <t xml:space="preserve">第 </t>
    </r>
    <r>
      <rPr>
        <b val="true"/>
        <sz val="11"/>
        <color rgb="FF548235"/>
        <rFont val="微軟正黑體"/>
        <family val="0"/>
        <charset val="1"/>
      </rPr>
      <t xml:space="preserve">2 </t>
    </r>
    <r>
      <rPr>
        <b val="true"/>
        <sz val="11"/>
        <color rgb="FF548235"/>
        <rFont val="Noto Sans CJK SC"/>
        <family val="2"/>
      </rPr>
      <t xml:space="preserve">步</t>
    </r>
  </si>
  <si>
    <r>
      <rPr>
        <sz val="11"/>
        <color theme="1"/>
        <rFont val="Noto Sans CJK SC"/>
        <family val="2"/>
      </rPr>
      <t xml:space="preserve">② 夥伴｜我已經在夥伴名單上</t>
    </r>
    <r>
      <rPr>
        <sz val="11"/>
        <color theme="1"/>
        <rFont val="Calibri"/>
        <family val="2"/>
        <charset val="1"/>
      </rPr>
      <t xml:space="preserve">-2</t>
    </r>
  </si>
  <si>
    <t xml:space="preserve">挑一個你有份的商機，看這場仗整體怎麼打：還缺哪些能力、對手是誰、憑什麼贏、卡在哪些法規門檻。</t>
  </si>
  <si>
    <t xml:space="preserve">知道自己在這場仗裡的位置</t>
  </si>
  <si>
    <r>
      <rPr>
        <b val="true"/>
        <sz val="11"/>
        <color rgb="FF548235"/>
        <rFont val="Noto Sans CJK SC"/>
        <family val="2"/>
      </rPr>
      <t xml:space="preserve">第 </t>
    </r>
    <r>
      <rPr>
        <b val="true"/>
        <sz val="11"/>
        <color rgb="FF548235"/>
        <rFont val="微軟正黑體"/>
        <family val="0"/>
        <charset val="1"/>
      </rPr>
      <t xml:space="preserve">3 </t>
    </r>
    <r>
      <rPr>
        <b val="true"/>
        <sz val="11"/>
        <color rgb="FF548235"/>
        <rFont val="Noto Sans CJK SC"/>
        <family val="2"/>
      </rPr>
      <t xml:space="preserve">步</t>
    </r>
  </si>
  <si>
    <r>
      <rPr>
        <sz val="11"/>
        <color theme="1"/>
        <rFont val="Noto Sans CJK SC"/>
        <family val="2"/>
      </rPr>
      <t xml:space="preserve">② 夥伴｜我已經在夥伴名單上</t>
    </r>
    <r>
      <rPr>
        <sz val="11"/>
        <color theme="1"/>
        <rFont val="Calibri"/>
        <family val="2"/>
        <charset val="1"/>
      </rPr>
      <t xml:space="preserve">-3</t>
    </r>
  </si>
  <si>
    <r>
      <rPr>
        <sz val="11"/>
        <color theme="1"/>
        <rFont val="Noto Sans CJK SC"/>
        <family val="2"/>
      </rPr>
      <t xml:space="preserve">看你負責的能力旁邊還缺什麼。如果是你能一起接的，主動說，比等 </t>
    </r>
    <r>
      <rPr>
        <sz val="11"/>
        <color theme="1"/>
        <rFont val="Calibri"/>
        <family val="2"/>
        <charset val="1"/>
      </rPr>
      <t xml:space="preserve">PI </t>
    </r>
    <r>
      <rPr>
        <sz val="11"/>
        <color theme="1"/>
        <rFont val="Noto Sans CJK SC"/>
        <family val="2"/>
      </rPr>
      <t xml:space="preserve">來問快。</t>
    </r>
  </si>
  <si>
    <t xml:space="preserve">列出你可以一起接的缺口</t>
  </si>
  <si>
    <r>
      <rPr>
        <b val="true"/>
        <sz val="11"/>
        <color rgb="FF548235"/>
        <rFont val="Noto Sans CJK SC"/>
        <family val="2"/>
      </rPr>
      <t xml:space="preserve">第 </t>
    </r>
    <r>
      <rPr>
        <b val="true"/>
        <sz val="11"/>
        <color rgb="FF548235"/>
        <rFont val="微軟正黑體"/>
        <family val="0"/>
        <charset val="1"/>
      </rPr>
      <t xml:space="preserve">4 </t>
    </r>
    <r>
      <rPr>
        <b val="true"/>
        <sz val="11"/>
        <color rgb="FF548235"/>
        <rFont val="Noto Sans CJK SC"/>
        <family val="2"/>
      </rPr>
      <t xml:space="preserve">步</t>
    </r>
  </si>
  <si>
    <r>
      <rPr>
        <sz val="11"/>
        <color theme="1"/>
        <rFont val="Noto Sans CJK SC"/>
        <family val="2"/>
      </rPr>
      <t xml:space="preserve">② 夥伴｜我已經在夥伴名單上</t>
    </r>
    <r>
      <rPr>
        <sz val="11"/>
        <color theme="1"/>
        <rFont val="Calibri"/>
        <family val="2"/>
        <charset val="1"/>
      </rPr>
      <t xml:space="preserve">-4</t>
    </r>
  </si>
  <si>
    <r>
      <rPr>
        <sz val="11"/>
        <color theme="1"/>
        <rFont val="Noto Sans CJK SC"/>
        <family val="2"/>
      </rPr>
      <t xml:space="preserve">查你「沒有被指名、但其實做得到」的生意。被指名的清單是 </t>
    </r>
    <r>
      <rPr>
        <sz val="11"/>
        <color theme="1"/>
        <rFont val="Calibri"/>
        <family val="2"/>
        <charset val="1"/>
      </rPr>
      <t xml:space="preserve">PI </t>
    </r>
    <r>
      <rPr>
        <sz val="11"/>
        <color theme="1"/>
        <rFont val="Noto Sans CJK SC"/>
        <family val="2"/>
      </rPr>
      <t xml:space="preserve">的判斷，不一定完整。</t>
    </r>
  </si>
  <si>
    <t xml:space="preserve">列出你想爭取的商機</t>
  </si>
  <si>
    <r>
      <rPr>
        <b val="true"/>
        <sz val="11"/>
        <color rgb="FF548235"/>
        <rFont val="Noto Sans CJK SC"/>
        <family val="2"/>
      </rPr>
      <t xml:space="preserve">第 </t>
    </r>
    <r>
      <rPr>
        <b val="true"/>
        <sz val="11"/>
        <color rgb="FF548235"/>
        <rFont val="微軟正黑體"/>
        <family val="0"/>
        <charset val="1"/>
      </rPr>
      <t xml:space="preserve">5 </t>
    </r>
    <r>
      <rPr>
        <b val="true"/>
        <sz val="11"/>
        <color rgb="FF548235"/>
        <rFont val="Noto Sans CJK SC"/>
        <family val="2"/>
      </rPr>
      <t xml:space="preserve">步</t>
    </r>
  </si>
  <si>
    <r>
      <rPr>
        <sz val="11"/>
        <color theme="1"/>
        <rFont val="Noto Sans CJK SC"/>
        <family val="2"/>
      </rPr>
      <t xml:space="preserve">② 夥伴｜我已經在夥伴名單上</t>
    </r>
    <r>
      <rPr>
        <sz val="11"/>
        <color theme="1"/>
        <rFont val="Calibri"/>
        <family val="2"/>
        <charset val="1"/>
      </rPr>
      <t xml:space="preserve">-5</t>
    </r>
  </si>
  <si>
    <r>
      <rPr>
        <sz val="11"/>
        <color theme="1"/>
        <rFont val="Noto Sans CJK SC"/>
        <family val="2"/>
      </rPr>
      <t xml:space="preserve">有任何異動請 </t>
    </r>
    <r>
      <rPr>
        <sz val="11"/>
        <color theme="1"/>
        <rFont val="Calibri"/>
        <family val="2"/>
        <charset val="1"/>
      </rPr>
      <t xml:space="preserve">PI </t>
    </r>
    <r>
      <rPr>
        <sz val="11"/>
        <color theme="1"/>
        <rFont val="Noto Sans CJK SC"/>
        <family val="2"/>
      </rPr>
      <t xml:space="preserve">更新 </t>
    </r>
    <r>
      <rPr>
        <sz val="11"/>
        <color theme="1"/>
        <rFont val="Calibri"/>
        <family val="2"/>
        <charset val="1"/>
      </rPr>
      <t xml:space="preserve">03 </t>
    </r>
    <r>
      <rPr>
        <sz val="11"/>
        <color theme="1"/>
        <rFont val="Noto Sans CJK SC"/>
        <family val="2"/>
      </rPr>
      <t xml:space="preserve">能力總表與 </t>
    </r>
    <r>
      <rPr>
        <sz val="11"/>
        <color theme="1"/>
        <rFont val="Calibri"/>
        <family val="2"/>
        <charset val="1"/>
      </rPr>
      <t xml:space="preserve">04 </t>
    </r>
    <r>
      <rPr>
        <sz val="11"/>
        <color theme="1"/>
        <rFont val="Noto Sans CJK SC"/>
        <family val="2"/>
      </rPr>
      <t xml:space="preserve">夥伴拼圖，不要自己改——那兩頁是全工具的資料源。</t>
    </r>
  </si>
  <si>
    <t xml:space="preserve">異動已回報</t>
  </si>
  <si>
    <r>
      <rPr>
        <sz val="11"/>
        <color theme="1"/>
        <rFont val="Noto Sans CJK SC"/>
        <family val="2"/>
      </rPr>
      <t xml:space="preserve">③ 業主／老闆｜我要看整體與該打哪一個</t>
    </r>
    <r>
      <rPr>
        <sz val="11"/>
        <color theme="1"/>
        <rFont val="Calibri"/>
        <family val="2"/>
        <charset val="1"/>
      </rPr>
      <t xml:space="preserve">-1</t>
    </r>
  </si>
  <si>
    <r>
      <rPr>
        <sz val="11"/>
        <color theme="1"/>
        <rFont val="Noto Sans CJK SC"/>
        <family val="2"/>
      </rPr>
      <t xml:space="preserve">儀表板</t>
    </r>
    <r>
      <rPr>
        <sz val="11"/>
        <color theme="1"/>
        <rFont val="Calibri"/>
        <family val="2"/>
        <charset val="1"/>
      </rPr>
      <t xml:space="preserve">_Dashboard</t>
    </r>
  </si>
  <si>
    <t xml:space="preserve">六個數字卡加四張圖，三十秒看完整體：商機族群分佈、越南現況、各領域缺口、管線階段。開會先投影這頁。</t>
  </si>
  <si>
    <t xml:space="preserve">掌握整體盤勢</t>
  </si>
  <si>
    <t xml:space="preserve">三十秒認識這個工具</t>
  </si>
  <si>
    <r>
      <rPr>
        <sz val="11"/>
        <color theme="1"/>
        <rFont val="Noto Sans CJK SC"/>
        <family val="2"/>
      </rPr>
      <t xml:space="preserve">③ 業主／老闆｜我要看整體與該打哪一個</t>
    </r>
    <r>
      <rPr>
        <sz val="11"/>
        <color theme="1"/>
        <rFont val="Calibri"/>
        <family val="2"/>
        <charset val="1"/>
      </rPr>
      <t xml:space="preserve">-2</t>
    </r>
  </si>
  <si>
    <r>
      <rPr>
        <sz val="11"/>
        <color theme="1"/>
        <rFont val="Noto Sans CJK SC"/>
        <family val="2"/>
      </rPr>
      <t xml:space="preserve">看 </t>
    </r>
    <r>
      <rPr>
        <sz val="11"/>
        <color theme="1"/>
        <rFont val="Calibri"/>
        <family val="2"/>
        <charset val="1"/>
      </rPr>
      <t xml:space="preserve">Top 10 </t>
    </r>
    <r>
      <rPr>
        <sz val="11"/>
        <color theme="1"/>
        <rFont val="Noto Sans CJK SC"/>
        <family val="2"/>
      </rPr>
      <t xml:space="preserve">攻擊順位表。分數已自動算好＝價值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準備度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越南現況 − 缺口扣分。</t>
    </r>
  </si>
  <si>
    <t xml:space="preserve">知道前十名是哪些</t>
  </si>
  <si>
    <t xml:space="preserve">它在回答什麼</t>
  </si>
  <si>
    <t xml:space="preserve">「大家一起去越南做醫院生意」——哪些生意可以做、我們做得到哪些、缺什麼、誰來補、什麼時候做。</t>
  </si>
  <si>
    <r>
      <rPr>
        <sz val="11"/>
        <color theme="1"/>
        <rFont val="Noto Sans CJK SC"/>
        <family val="2"/>
      </rPr>
      <t xml:space="preserve">③ 業主／老闆｜我要看整體與該打哪一個</t>
    </r>
    <r>
      <rPr>
        <sz val="11"/>
        <color theme="1"/>
        <rFont val="Calibri"/>
        <family val="2"/>
        <charset val="1"/>
      </rPr>
      <t xml:space="preserve">-3</t>
    </r>
  </si>
  <si>
    <r>
      <rPr>
        <sz val="11"/>
        <color theme="1"/>
        <rFont val="Calibri"/>
        <family val="2"/>
        <charset val="1"/>
      </rPr>
      <t xml:space="preserve">14_</t>
    </r>
    <r>
      <rPr>
        <sz val="11"/>
        <color theme="1"/>
        <rFont val="Noto Sans CJK SC"/>
        <family val="2"/>
      </rPr>
      <t xml:space="preserve">商機清單</t>
    </r>
    <r>
      <rPr>
        <sz val="11"/>
        <color theme="1"/>
        <rFont val="Calibri"/>
        <family val="2"/>
        <charset val="1"/>
      </rPr>
      <t xml:space="preserve">_Pipeline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</si>
  <si>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欄下拉選一個商機，名稱、族群、越南現況、涵蓋領域、對應能力數、缺口數、建議付費方與金額級距全部自動帶入。你只要填本案實際的商業判斷。</t>
    </r>
  </si>
  <si>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欄下拉＋商業判斷欄</t>
    </r>
  </si>
  <si>
    <t xml:space="preserve">管線上有你拍板過的商機</t>
  </si>
  <si>
    <t xml:space="preserve">它不回答什麼</t>
  </si>
  <si>
    <r>
      <rPr>
        <sz val="10"/>
        <color rgb="FF000000"/>
        <rFont val="Noto Sans CJK SC"/>
        <family val="2"/>
      </rPr>
      <t xml:space="preserve">不回答「這一案划不划算」。財務試算在另一個檔：</t>
    </r>
    <r>
      <rPr>
        <sz val="10"/>
        <color rgb="FF000000"/>
        <rFont val="微軟正黑體"/>
        <family val="0"/>
        <charset val="1"/>
      </rPr>
      <t xml:space="preserve">VMH-EcoMap-2 </t>
    </r>
    <r>
      <rPr>
        <sz val="10"/>
        <color rgb="FF000000"/>
        <rFont val="Noto Sans CJK SC"/>
        <family val="2"/>
      </rPr>
      <t xml:space="preserve">專案商模試算器。</t>
    </r>
  </si>
  <si>
    <r>
      <rPr>
        <sz val="11"/>
        <color theme="1"/>
        <rFont val="Noto Sans CJK SC"/>
        <family val="2"/>
      </rPr>
      <t xml:space="preserve">③ 業主／老闆｜我要看整體與該打哪一個</t>
    </r>
    <r>
      <rPr>
        <sz val="11"/>
        <color theme="1"/>
        <rFont val="Calibri"/>
        <family val="2"/>
        <charset val="1"/>
      </rPr>
      <t xml:space="preserve">-4</t>
    </r>
  </si>
  <si>
    <t xml:space="preserve">對某一個商機要細節時看這頁：需要哪些能力、誰在做誰還缺、對手是誰、卡哪些門檻。</t>
  </si>
  <si>
    <t xml:space="preserve">知道這一案打不打得動</t>
  </si>
  <si>
    <t xml:space="preserve">核心是兩張表</t>
  </si>
  <si>
    <r>
      <rPr>
        <sz val="10"/>
        <color rgb="FF000000"/>
        <rFont val="微軟正黑體"/>
        <family val="0"/>
        <charset val="1"/>
      </rPr>
      <t xml:space="preserve">03_</t>
    </r>
    <r>
      <rPr>
        <sz val="10"/>
        <color rgb="FF000000"/>
        <rFont val="Noto Sans CJK SC"/>
        <family val="2"/>
      </rPr>
      <t xml:space="preserve">能力總表（我們會什麼，</t>
    </r>
    <r>
      <rPr>
        <sz val="10"/>
        <color rgb="FF000000"/>
        <rFont val="微軟正黑體"/>
        <family val="0"/>
        <charset val="1"/>
      </rPr>
      <t xml:space="preserve">60 </t>
    </r>
    <r>
      <rPr>
        <sz val="10"/>
        <color rgb="FF000000"/>
        <rFont val="Noto Sans CJK SC"/>
        <family val="2"/>
      </rPr>
      <t xml:space="preserve">項）與 </t>
    </r>
    <r>
      <rPr>
        <sz val="10"/>
        <color rgb="FF000000"/>
        <rFont val="微軟正黑體"/>
        <family val="0"/>
        <charset val="1"/>
      </rPr>
      <t xml:space="preserve">15_</t>
    </r>
    <r>
      <rPr>
        <sz val="10"/>
        <color rgb="FF000000"/>
        <rFont val="Noto Sans CJK SC"/>
        <family val="2"/>
      </rPr>
      <t xml:space="preserve">商機字典（市場有什麼，</t>
    </r>
    <r>
      <rPr>
        <sz val="10"/>
        <color rgb="FF000000"/>
        <rFont val="微軟正黑體"/>
        <family val="0"/>
        <charset val="1"/>
      </rPr>
      <t xml:space="preserve">85 </t>
    </r>
    <r>
      <rPr>
        <sz val="10"/>
        <color rgb="FF000000"/>
        <rFont val="Noto Sans CJK SC"/>
        <family val="2"/>
      </rPr>
      <t xml:space="preserve">門）。中間用 </t>
    </r>
    <r>
      <rPr>
        <sz val="10"/>
        <color rgb="FF000000"/>
        <rFont val="微軟正黑體"/>
        <family val="0"/>
        <charset val="1"/>
      </rPr>
      <t xml:space="preserve">16_</t>
    </r>
    <r>
      <rPr>
        <sz val="10"/>
        <color rgb="FF000000"/>
        <rFont val="Noto Sans CJK SC"/>
        <family val="2"/>
      </rPr>
      <t xml:space="preserve">能力商機矩陣 打✓連起來，其餘 </t>
    </r>
    <r>
      <rPr>
        <sz val="10"/>
        <color rgb="FF000000"/>
        <rFont val="微軟正黑體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個分頁全部是這三張表自動算出來的。</t>
    </r>
  </si>
  <si>
    <r>
      <rPr>
        <sz val="11"/>
        <color theme="1"/>
        <rFont val="Noto Sans CJK SC"/>
        <family val="2"/>
      </rPr>
      <t xml:space="preserve">③ 業主／老闆｜我要看整體與該打哪一個</t>
    </r>
    <r>
      <rPr>
        <sz val="11"/>
        <color theme="1"/>
        <rFont val="Calibri"/>
        <family val="2"/>
        <charset val="1"/>
      </rPr>
      <t xml:space="preserve">-5</t>
    </r>
  </si>
  <si>
    <t xml:space="preserve">（跳到另一個檔）</t>
  </si>
  <si>
    <r>
      <rPr>
        <sz val="11"/>
        <color theme="1"/>
        <rFont val="Noto Sans CJK SC"/>
        <family val="2"/>
      </rPr>
      <t xml:space="preserve">要算錢請開 </t>
    </r>
    <r>
      <rPr>
        <sz val="11"/>
        <color theme="1"/>
        <rFont val="Calibri"/>
        <family val="2"/>
        <charset val="1"/>
      </rPr>
      <t xml:space="preserve">VMH-EcoMap-2 </t>
    </r>
    <r>
      <rPr>
        <sz val="11"/>
        <color theme="1"/>
        <rFont val="Noto Sans CJK SC"/>
        <family val="2"/>
      </rPr>
      <t xml:space="preserve">專案商模試算器。這個主檔回答「做不做、誰做、何時做」，不回答「划不划算」。</t>
    </r>
  </si>
  <si>
    <t xml:space="preserve">財務結論已另案試算</t>
  </si>
  <si>
    <t xml:space="preserve">顏色怎麼看</t>
  </si>
  <si>
    <t xml:space="preserve">黃底＝可以改；藍字＝公式，改了會壞；綠＝就緒／通過；橘＝洽談中／注意；紅＝缺口／未通過。</t>
  </si>
  <si>
    <r>
      <rPr>
        <sz val="11"/>
        <color theme="1"/>
        <rFont val="Calibri"/>
        <family val="2"/>
        <charset val="1"/>
      </rPr>
      <t xml:space="preserve">④ PI</t>
    </r>
    <r>
      <rPr>
        <sz val="11"/>
        <color theme="1"/>
        <rFont val="Noto Sans CJK SC"/>
        <family val="2"/>
      </rPr>
      <t xml:space="preserve">／專案經理｜我要跑週會、追進度</t>
    </r>
    <r>
      <rPr>
        <sz val="11"/>
        <color theme="1"/>
        <rFont val="Calibri"/>
        <family val="2"/>
        <charset val="1"/>
      </rPr>
      <t xml:space="preserve">-1</t>
    </r>
  </si>
  <si>
    <r>
      <rPr>
        <sz val="11"/>
        <color theme="1"/>
        <rFont val="Calibri"/>
        <family val="2"/>
        <charset val="1"/>
      </rPr>
      <t xml:space="preserve">13_</t>
    </r>
    <r>
      <rPr>
        <sz val="11"/>
        <color theme="1"/>
        <rFont val="Noto Sans CJK SC"/>
        <family val="2"/>
      </rPr>
      <t xml:space="preserve">待辦看板</t>
    </r>
    <r>
      <rPr>
        <sz val="11"/>
        <color theme="1"/>
        <rFont val="Calibri"/>
        <family val="2"/>
        <charset val="1"/>
      </rPr>
      <t xml:space="preserve">_Actions</t>
    </r>
  </si>
  <si>
    <t xml:space="preserve">未確認強制法規、高風險、缺口三張清單合一。週會直接照這頁跑，不用東翻西找。</t>
  </si>
  <si>
    <t xml:space="preserve">本週要解的事已列出</t>
  </si>
  <si>
    <t xml:space="preserve">分頁標籤顏色</t>
  </si>
  <si>
    <t xml:space="preserve">綠＝入口（從這裡開始）；藍綠＝夥伴看的；深藍＝決策與簡報用；中藍＝顧問工作區；灰＝維護區，平常不用打開。</t>
  </si>
  <si>
    <r>
      <rPr>
        <sz val="11"/>
        <color theme="1"/>
        <rFont val="Calibri"/>
        <family val="2"/>
        <charset val="1"/>
      </rPr>
      <t xml:space="preserve">④ PI</t>
    </r>
    <r>
      <rPr>
        <sz val="11"/>
        <color theme="1"/>
        <rFont val="Noto Sans CJK SC"/>
        <family val="2"/>
      </rPr>
      <t xml:space="preserve">／專案經理｜我要跑週會、追進度</t>
    </r>
    <r>
      <rPr>
        <sz val="11"/>
        <color theme="1"/>
        <rFont val="Calibri"/>
        <family val="2"/>
        <charset val="1"/>
      </rPr>
      <t xml:space="preserve">-2</t>
    </r>
  </si>
  <si>
    <r>
      <rPr>
        <sz val="11"/>
        <color theme="1"/>
        <rFont val="Calibri"/>
        <family val="2"/>
        <charset val="1"/>
      </rPr>
      <t xml:space="preserve">01_</t>
    </r>
    <r>
      <rPr>
        <sz val="11"/>
        <color theme="1"/>
        <rFont val="Noto Sans CJK SC"/>
        <family val="2"/>
      </rPr>
      <t xml:space="preserve">總藍圖</t>
    </r>
    <r>
      <rPr>
        <sz val="11"/>
        <color theme="1"/>
        <rFont val="Calibri"/>
        <family val="2"/>
        <charset val="1"/>
      </rPr>
      <t xml:space="preserve">_Blueprint</t>
    </r>
  </si>
  <si>
    <t xml:space="preserve">紅色缺口與門檻警示就是本週要解的事。各夥伴在這張圖上確認自己的定位。</t>
  </si>
  <si>
    <t xml:space="preserve">缺口地圖已對過</t>
  </si>
  <si>
    <r>
      <rPr>
        <sz val="11"/>
        <color theme="1"/>
        <rFont val="Calibri"/>
        <family val="2"/>
        <charset val="1"/>
      </rPr>
      <t xml:space="preserve">④ PI</t>
    </r>
    <r>
      <rPr>
        <sz val="11"/>
        <color theme="1"/>
        <rFont val="Noto Sans CJK SC"/>
        <family val="2"/>
      </rPr>
      <t xml:space="preserve">／專案經理｜我要跑週會、追進度</t>
    </r>
    <r>
      <rPr>
        <sz val="11"/>
        <color theme="1"/>
        <rFont val="Calibri"/>
        <family val="2"/>
        <charset val="1"/>
      </rPr>
      <t xml:space="preserve">-3</t>
    </r>
  </si>
  <si>
    <r>
      <rPr>
        <sz val="11"/>
        <color theme="1"/>
        <rFont val="Calibri"/>
        <family val="2"/>
        <charset val="1"/>
      </rPr>
      <t xml:space="preserve">03_</t>
    </r>
    <r>
      <rPr>
        <sz val="11"/>
        <color theme="1"/>
        <rFont val="Noto Sans CJK SC"/>
        <family val="2"/>
      </rPr>
      <t xml:space="preserve">能力總表</t>
    </r>
    <r>
      <rPr>
        <sz val="11"/>
        <color theme="1"/>
        <rFont val="Calibri"/>
        <family val="2"/>
        <charset val="1"/>
      </rPr>
      <t xml:space="preserve">_Master</t>
    </r>
  </si>
  <si>
    <r>
      <rPr>
        <sz val="11"/>
        <color theme="1"/>
        <rFont val="Noto Sans CJK SC"/>
        <family val="2"/>
      </rPr>
      <t xml:space="preserve">有任何盤點異動只改這裡——階段、拼圖狀態、分數。這是單一資料源，其他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個分頁全部自動連動。</t>
    </r>
  </si>
  <si>
    <t xml:space="preserve">只改黃色儲存格</t>
  </si>
  <si>
    <t xml:space="preserve">異動已寫入，全檔連動</t>
  </si>
  <si>
    <t xml:space="preserve">五個身分一覽（投影時用這塊，讓每個人先認領自己的角色）</t>
  </si>
  <si>
    <r>
      <rPr>
        <sz val="11"/>
        <color theme="1"/>
        <rFont val="Calibri"/>
        <family val="2"/>
        <charset val="1"/>
      </rPr>
      <t xml:space="preserve">④ PI</t>
    </r>
    <r>
      <rPr>
        <sz val="11"/>
        <color theme="1"/>
        <rFont val="Noto Sans CJK SC"/>
        <family val="2"/>
      </rPr>
      <t xml:space="preserve">／專案經理｜我要跑週會、追進度</t>
    </r>
    <r>
      <rPr>
        <sz val="11"/>
        <color theme="1"/>
        <rFont val="Calibri"/>
        <family val="2"/>
        <charset val="1"/>
      </rPr>
      <t xml:space="preserve">-4</t>
    </r>
  </si>
  <si>
    <r>
      <rPr>
        <sz val="11"/>
        <color theme="1"/>
        <rFont val="Calibri"/>
        <family val="2"/>
        <charset val="1"/>
      </rPr>
      <t xml:space="preserve">05_</t>
    </r>
    <r>
      <rPr>
        <sz val="11"/>
        <color theme="1"/>
        <rFont val="Noto Sans CJK SC"/>
        <family val="2"/>
      </rPr>
      <t xml:space="preserve">法規門檻</t>
    </r>
    <r>
      <rPr>
        <sz val="11"/>
        <color theme="1"/>
        <rFont val="Calibri"/>
        <family val="2"/>
        <charset val="1"/>
      </rPr>
      <t xml:space="preserve">_Gates</t>
    </r>
  </si>
  <si>
    <r>
      <rPr>
        <sz val="11"/>
        <color theme="1"/>
        <rFont val="Noto Sans CJK SC"/>
        <family val="2"/>
      </rPr>
      <t xml:space="preserve">本階段的強制法規確認了沒？未確認不得過關。這是 </t>
    </r>
    <r>
      <rPr>
        <sz val="11"/>
        <color theme="1"/>
        <rFont val="Calibri"/>
        <family val="2"/>
        <charset val="1"/>
      </rPr>
      <t xml:space="preserve">Gate</t>
    </r>
    <r>
      <rPr>
        <sz val="11"/>
        <color theme="1"/>
        <rFont val="Noto Sans CJK SC"/>
        <family val="2"/>
      </rPr>
      <t xml:space="preserve">，不是 </t>
    </r>
    <r>
      <rPr>
        <sz val="11"/>
        <color theme="1"/>
        <rFont val="Calibri"/>
        <family val="2"/>
        <charset val="1"/>
      </rPr>
      <t xml:space="preserve">Task</t>
    </r>
    <r>
      <rPr>
        <sz val="11"/>
        <color theme="1"/>
        <rFont val="Noto Sans CJK SC"/>
        <family val="2"/>
      </rPr>
      <t xml:space="preserve">，不能往後排。</t>
    </r>
  </si>
  <si>
    <t xml:space="preserve">本階段法規狀態已更新</t>
  </si>
  <si>
    <r>
      <rPr>
        <sz val="10"/>
        <color rgb="FF2F5597"/>
        <rFont val="Noto Sans CJK SC"/>
        <family val="2"/>
      </rPr>
      <t xml:space="preserve">第一步就去 → </t>
    </r>
    <r>
      <rPr>
        <sz val="10"/>
        <color rgb="FF2F5597"/>
        <rFont val="微軟正黑體"/>
        <family val="0"/>
        <charset val="1"/>
      </rPr>
      <t xml:space="preserve">15_</t>
    </r>
    <r>
      <rPr>
        <sz val="10"/>
        <color rgb="FF2F5597"/>
        <rFont val="Noto Sans CJK SC"/>
        <family val="2"/>
      </rPr>
      <t xml:space="preserve">商機字典</t>
    </r>
    <r>
      <rPr>
        <sz val="10"/>
        <color rgb="FF2F5597"/>
        <rFont val="微軟正黑體"/>
        <family val="0"/>
        <charset val="1"/>
      </rPr>
      <t xml:space="preserve">_OppLibrary</t>
    </r>
  </si>
  <si>
    <r>
      <rPr>
        <sz val="11"/>
        <color theme="1"/>
        <rFont val="Calibri"/>
        <family val="2"/>
        <charset val="1"/>
      </rPr>
      <t xml:space="preserve">④ PI</t>
    </r>
    <r>
      <rPr>
        <sz val="11"/>
        <color theme="1"/>
        <rFont val="Noto Sans CJK SC"/>
        <family val="2"/>
      </rPr>
      <t xml:space="preserve">／專案經理｜我要跑週會、追進度</t>
    </r>
    <r>
      <rPr>
        <sz val="11"/>
        <color theme="1"/>
        <rFont val="Calibri"/>
        <family val="2"/>
        <charset val="1"/>
      </rPr>
      <t xml:space="preserve">-5</t>
    </r>
  </si>
  <si>
    <r>
      <rPr>
        <sz val="11"/>
        <color theme="1"/>
        <rFont val="Calibri"/>
        <family val="2"/>
        <charset val="1"/>
      </rPr>
      <t xml:space="preserve">10_</t>
    </r>
    <r>
      <rPr>
        <sz val="11"/>
        <color theme="1"/>
        <rFont val="Noto Sans CJK SC"/>
        <family val="2"/>
      </rPr>
      <t xml:space="preserve">決策紀錄</t>
    </r>
    <r>
      <rPr>
        <sz val="11"/>
        <color theme="1"/>
        <rFont val="Calibri"/>
        <family val="2"/>
        <charset val="1"/>
      </rPr>
      <t xml:space="preserve">_Log</t>
    </r>
  </si>
  <si>
    <t xml:space="preserve">決議、升級事項、擱置理由都寫這裡。這頁不上鎖，自由書寫。三年後要回答「當初為什麼這樣決定」，靠的就是它。</t>
  </si>
  <si>
    <t xml:space="preserve">整頁自由書寫</t>
  </si>
  <si>
    <t xml:space="preserve">本週決議已留痕</t>
  </si>
  <si>
    <t xml:space="preserve">② 夥伴｜我已經在夥伴名單上</t>
  </si>
  <si>
    <r>
      <rPr>
        <sz val="10"/>
        <color rgb="FF2F5597"/>
        <rFont val="Noto Sans CJK SC"/>
        <family val="2"/>
      </rPr>
      <t xml:space="preserve">第一步就去 → </t>
    </r>
    <r>
      <rPr>
        <sz val="10"/>
        <color rgb="FF2F5597"/>
        <rFont val="微軟正黑體"/>
        <family val="0"/>
        <charset val="1"/>
      </rPr>
      <t xml:space="preserve">12_</t>
    </r>
    <r>
      <rPr>
        <sz val="10"/>
        <color rgb="FF2F5597"/>
        <rFont val="Noto Sans CJK SC"/>
        <family val="2"/>
      </rPr>
      <t xml:space="preserve">夥伴視角</t>
    </r>
    <r>
      <rPr>
        <sz val="10"/>
        <color rgb="FF2F5597"/>
        <rFont val="微軟正黑體"/>
        <family val="0"/>
        <charset val="1"/>
      </rPr>
      <t xml:space="preserve">_PartnerView</t>
    </r>
  </si>
  <si>
    <r>
      <rPr>
        <sz val="11"/>
        <color theme="1"/>
        <rFont val="Noto Sans CJK SC"/>
        <family val="2"/>
      </rPr>
      <t xml:space="preserve">⑤ 顧問／分析師｜我要更新盤點資料</t>
    </r>
    <r>
      <rPr>
        <sz val="11"/>
        <color theme="1"/>
        <rFont val="Calibri"/>
        <family val="2"/>
        <charset val="1"/>
      </rPr>
      <t xml:space="preserve">-1</t>
    </r>
  </si>
  <si>
    <r>
      <rPr>
        <sz val="11"/>
        <color theme="1"/>
        <rFont val="Noto Sans CJK SC"/>
        <family val="2"/>
      </rPr>
      <t xml:space="preserve">單一資料源。新增能力請到第一個空白列（第 </t>
    </r>
    <r>
      <rPr>
        <sz val="11"/>
        <color theme="1"/>
        <rFont val="Calibri"/>
        <family val="2"/>
        <charset val="1"/>
      </rPr>
      <t xml:space="preserve">65 </t>
    </r>
    <r>
      <rPr>
        <sz val="11"/>
        <color theme="1"/>
        <rFont val="Noto Sans CJK SC"/>
        <family val="2"/>
      </rPr>
      <t xml:space="preserve">列起）填 </t>
    </r>
    <r>
      <rPr>
        <sz val="11"/>
        <color theme="1"/>
        <rFont val="Calibri"/>
        <family val="2"/>
        <charset val="1"/>
      </rPr>
      <t xml:space="preserve">CAP-061…</t>
    </r>
    <r>
      <rPr>
        <sz val="11"/>
        <color theme="1"/>
        <rFont val="Noto Sans CJK SC"/>
        <family val="2"/>
      </rPr>
      <t xml:space="preserve">，只要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欄有 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CJK SC"/>
        <family val="2"/>
      </rPr>
      <t xml:space="preserve">，分數、判斷、總藍圖矩陣、缺口計數全部自動出現。</t>
    </r>
  </si>
  <si>
    <t xml:space="preserve">新能力已納入全檔統計</t>
  </si>
  <si>
    <t xml:space="preserve">③ 業主／老闆｜我要看整體與該打哪一個</t>
  </si>
  <si>
    <r>
      <rPr>
        <sz val="10"/>
        <color rgb="FF2F5597"/>
        <rFont val="Noto Sans CJK SC"/>
        <family val="2"/>
      </rPr>
      <t xml:space="preserve">第一步就去 → 儀表板</t>
    </r>
    <r>
      <rPr>
        <sz val="10"/>
        <color rgb="FF2F5597"/>
        <rFont val="微軟正黑體"/>
        <family val="0"/>
        <charset val="1"/>
      </rPr>
      <t xml:space="preserve">_Dashboard</t>
    </r>
  </si>
  <si>
    <r>
      <rPr>
        <sz val="11"/>
        <color theme="1"/>
        <rFont val="Noto Sans CJK SC"/>
        <family val="2"/>
      </rPr>
      <t xml:space="preserve">⑤ 顧問／分析師｜我要更新盤點資料</t>
    </r>
    <r>
      <rPr>
        <sz val="11"/>
        <color theme="1"/>
        <rFont val="Calibri"/>
        <family val="2"/>
        <charset val="1"/>
      </rPr>
      <t xml:space="preserve">-2</t>
    </r>
  </si>
  <si>
    <r>
      <rPr>
        <sz val="11"/>
        <color theme="1"/>
        <rFont val="Calibri"/>
        <family val="2"/>
        <charset val="1"/>
      </rPr>
      <t xml:space="preserve">16_</t>
    </r>
    <r>
      <rPr>
        <sz val="11"/>
        <color theme="1"/>
        <rFont val="Noto Sans CJK SC"/>
        <family val="2"/>
      </rPr>
      <t xml:space="preserve">能力商機矩陣</t>
    </r>
    <r>
      <rPr>
        <sz val="11"/>
        <color theme="1"/>
        <rFont val="Calibri"/>
        <family val="2"/>
        <charset val="1"/>
      </rPr>
      <t xml:space="preserve">_CapOppMap</t>
    </r>
  </si>
  <si>
    <r>
      <rPr>
        <sz val="11"/>
        <color theme="1"/>
        <rFont val="Noto Sans CJK SC"/>
        <family val="2"/>
      </rPr>
      <t xml:space="preserve">用打「✓」建立能力 ↔ 商機的多對多關聯，不用打字。勾完 </t>
    </r>
    <r>
      <rPr>
        <sz val="11"/>
        <color theme="1"/>
        <rFont val="Calibri"/>
        <family val="2"/>
        <charset val="1"/>
      </rPr>
      <t xml:space="preserve">03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AF </t>
    </r>
    <r>
      <rPr>
        <sz val="11"/>
        <color theme="1"/>
        <rFont val="Noto Sans CJK SC"/>
        <family val="2"/>
      </rPr>
      <t xml:space="preserve">欄、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全部自動更新。</t>
    </r>
  </si>
  <si>
    <t xml:space="preserve">只在格子裡打 ✓</t>
  </si>
  <si>
    <t xml:space="preserve">關聯已建立</t>
  </si>
  <si>
    <r>
      <rPr>
        <b val="true"/>
        <sz val="10"/>
        <color rgb="FFFFFFFF"/>
        <rFont val="微軟正黑體"/>
        <family val="0"/>
        <charset val="1"/>
      </rPr>
      <t xml:space="preserve">④ PI</t>
    </r>
    <r>
      <rPr>
        <b val="true"/>
        <sz val="10"/>
        <color rgb="FFFFFFFF"/>
        <rFont val="Noto Sans CJK SC"/>
        <family val="2"/>
      </rPr>
      <t xml:space="preserve">／專案經理｜我要跑週會、追進度</t>
    </r>
  </si>
  <si>
    <r>
      <rPr>
        <sz val="10"/>
        <color rgb="FF2F5597"/>
        <rFont val="Noto Sans CJK SC"/>
        <family val="2"/>
      </rPr>
      <t xml:space="preserve">第一步就去 → </t>
    </r>
    <r>
      <rPr>
        <sz val="10"/>
        <color rgb="FF2F5597"/>
        <rFont val="微軟正黑體"/>
        <family val="0"/>
        <charset val="1"/>
      </rPr>
      <t xml:space="preserve">13_</t>
    </r>
    <r>
      <rPr>
        <sz val="10"/>
        <color rgb="FF2F5597"/>
        <rFont val="Noto Sans CJK SC"/>
        <family val="2"/>
      </rPr>
      <t xml:space="preserve">待辦看板</t>
    </r>
    <r>
      <rPr>
        <sz val="10"/>
        <color rgb="FF2F5597"/>
        <rFont val="微軟正黑體"/>
        <family val="0"/>
        <charset val="1"/>
      </rPr>
      <t xml:space="preserve">_Actions</t>
    </r>
  </si>
  <si>
    <r>
      <rPr>
        <sz val="11"/>
        <color theme="1"/>
        <rFont val="Noto Sans CJK SC"/>
        <family val="2"/>
      </rPr>
      <t xml:space="preserve">⑤ 顧問／分析師｜我要更新盤點資料</t>
    </r>
    <r>
      <rPr>
        <sz val="11"/>
        <color theme="1"/>
        <rFont val="Calibri"/>
        <family val="2"/>
        <charset val="1"/>
      </rPr>
      <t xml:space="preserve">-3</t>
    </r>
  </si>
  <si>
    <r>
      <rPr>
        <sz val="11"/>
        <color theme="1"/>
        <rFont val="Calibri"/>
        <family val="2"/>
        <charset val="1"/>
      </rPr>
      <t xml:space="preserve">04_</t>
    </r>
    <r>
      <rPr>
        <sz val="11"/>
        <color theme="1"/>
        <rFont val="Noto Sans CJK SC"/>
        <family val="2"/>
      </rPr>
      <t xml:space="preserve">夥伴拼圖</t>
    </r>
    <r>
      <rPr>
        <sz val="11"/>
        <color theme="1"/>
        <rFont val="Calibri"/>
        <family val="2"/>
        <charset val="1"/>
      </rPr>
      <t xml:space="preserve">_Partners</t>
    </r>
  </si>
  <si>
    <r>
      <rPr>
        <sz val="11"/>
        <color theme="1"/>
        <rFont val="Noto Sans CJK SC"/>
        <family val="2"/>
      </rPr>
      <t xml:space="preserve">新夥伴只要填名稱，</t>
    </r>
    <r>
      <rPr>
        <sz val="11"/>
        <color theme="1"/>
        <rFont val="Calibri"/>
        <family val="2"/>
        <charset val="1"/>
      </rPr>
      <t xml:space="preserve">ID </t>
    </r>
    <r>
      <rPr>
        <sz val="11"/>
        <color theme="1"/>
        <rFont val="Noto Sans CJK SC"/>
        <family val="2"/>
      </rPr>
      <t xml:space="preserve">自動編號；右側 </t>
    </r>
    <r>
      <rPr>
        <sz val="11"/>
        <color theme="1"/>
        <rFont val="Calibri"/>
        <family val="2"/>
        <charset val="1"/>
      </rPr>
      <t xml:space="preserve">U–AD </t>
    </r>
    <r>
      <rPr>
        <sz val="11"/>
        <color theme="1"/>
        <rFont val="Noto Sans CJK SC"/>
        <family val="2"/>
      </rPr>
      <t xml:space="preserve">勾選 </t>
    </r>
    <r>
      <rPr>
        <sz val="11"/>
        <color theme="1"/>
        <rFont val="Calibri"/>
        <family val="2"/>
        <charset val="1"/>
      </rPr>
      <t xml:space="preserve">D01–D10</t>
    </r>
    <r>
      <rPr>
        <sz val="11"/>
        <color theme="1"/>
        <rFont val="Noto Sans CJK SC"/>
        <family val="2"/>
      </rPr>
      <t xml:space="preserve">，涵蓋領域欄自動組成，不用打「</t>
    </r>
    <r>
      <rPr>
        <sz val="11"/>
        <color theme="1"/>
        <rFont val="Calibri"/>
        <family val="2"/>
        <charset val="1"/>
      </rPr>
      <t xml:space="preserve">D01; D04</t>
    </r>
    <r>
      <rPr>
        <sz val="11"/>
        <color theme="1"/>
        <rFont val="Noto Sans CJK SC"/>
        <family val="2"/>
      </rPr>
      <t xml:space="preserve">」這種格式。</t>
    </r>
  </si>
  <si>
    <t xml:space="preserve">改黃色格＋勾選欄</t>
  </si>
  <si>
    <t xml:space="preserve">夥伴名冊與覆蓋矩陣已更新</t>
  </si>
  <si>
    <t xml:space="preserve">⑤ 顧問／分析師｜我要更新盤點資料</t>
  </si>
  <si>
    <r>
      <rPr>
        <sz val="10"/>
        <color rgb="FF2F5597"/>
        <rFont val="Noto Sans CJK SC"/>
        <family val="2"/>
      </rPr>
      <t xml:space="preserve">第一步就去 → </t>
    </r>
    <r>
      <rPr>
        <sz val="10"/>
        <color rgb="FF2F5597"/>
        <rFont val="微軟正黑體"/>
        <family val="0"/>
        <charset val="1"/>
      </rPr>
      <t xml:space="preserve">03_</t>
    </r>
    <r>
      <rPr>
        <sz val="10"/>
        <color rgb="FF2F5597"/>
        <rFont val="Noto Sans CJK SC"/>
        <family val="2"/>
      </rPr>
      <t xml:space="preserve">能力總表</t>
    </r>
    <r>
      <rPr>
        <sz val="10"/>
        <color rgb="FF2F5597"/>
        <rFont val="微軟正黑體"/>
        <family val="0"/>
        <charset val="1"/>
      </rPr>
      <t xml:space="preserve">_Master</t>
    </r>
  </si>
  <si>
    <r>
      <rPr>
        <sz val="11"/>
        <color theme="1"/>
        <rFont val="Noto Sans CJK SC"/>
        <family val="2"/>
      </rPr>
      <t xml:space="preserve">⑤ 顧問／分析師｜我要更新盤點資料</t>
    </r>
    <r>
      <rPr>
        <sz val="11"/>
        <color theme="1"/>
        <rFont val="Calibri"/>
        <family val="2"/>
        <charset val="1"/>
      </rPr>
      <t xml:space="preserve">-4</t>
    </r>
  </si>
  <si>
    <r>
      <rPr>
        <sz val="11"/>
        <color theme="1"/>
        <rFont val="Calibri"/>
        <family val="2"/>
        <charset val="1"/>
      </rPr>
      <t xml:space="preserve">02_</t>
    </r>
    <r>
      <rPr>
        <sz val="11"/>
        <color theme="1"/>
        <rFont val="Noto Sans CJK SC"/>
        <family val="2"/>
      </rPr>
      <t xml:space="preserve">情境權重</t>
    </r>
    <r>
      <rPr>
        <sz val="11"/>
        <color theme="1"/>
        <rFont val="Calibri"/>
        <family val="2"/>
        <charset val="1"/>
      </rPr>
      <t xml:space="preserve">_Scenario</t>
    </r>
  </si>
  <si>
    <r>
      <rPr>
        <sz val="11"/>
        <color theme="1"/>
        <rFont val="Noto Sans CJK SC"/>
        <family val="2"/>
      </rPr>
      <t xml:space="preserve">調整評分權重（合計必須等於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項能力的價值分與準備分會同步重算。改這裡等於改全檔的排序邏輯。</t>
    </r>
  </si>
  <si>
    <t xml:space="preserve">評分邏輯已調整</t>
  </si>
  <si>
    <r>
      <rPr>
        <sz val="11"/>
        <color theme="1"/>
        <rFont val="Noto Sans CJK SC"/>
        <family val="2"/>
      </rPr>
      <t xml:space="preserve">⑤ 顧問／分析師｜我要更新盤點資料</t>
    </r>
    <r>
      <rPr>
        <sz val="11"/>
        <color theme="1"/>
        <rFont val="Calibri"/>
        <family val="2"/>
        <charset val="1"/>
      </rPr>
      <t xml:space="preserve">-5</t>
    </r>
  </si>
  <si>
    <r>
      <rPr>
        <sz val="11"/>
        <color theme="1"/>
        <rFont val="Calibri"/>
        <family val="2"/>
        <charset val="1"/>
      </rPr>
      <t xml:space="preserve">98_</t>
    </r>
    <r>
      <rPr>
        <sz val="11"/>
        <color theme="1"/>
        <rFont val="Noto Sans CJK SC"/>
        <family val="2"/>
      </rPr>
      <t xml:space="preserve">選單維護</t>
    </r>
    <r>
      <rPr>
        <sz val="11"/>
        <color theme="1"/>
        <rFont val="Calibri"/>
        <family val="2"/>
        <charset val="1"/>
      </rPr>
      <t xml:space="preserve">_Lists</t>
    </r>
  </si>
  <si>
    <t xml:space="preserve">所有下拉選單的唯一維護處。要新增選項只在該欄最下方接著往下填，全工具的下拉自動增加。請勿刪標題列、勿在清單中間留空白。</t>
  </si>
  <si>
    <t xml:space="preserve">選單已擴充</t>
  </si>
  <si>
    <r>
      <rPr>
        <b val="true"/>
        <sz val="10"/>
        <color rgb="FF833C00"/>
        <rFont val="Noto Sans CJK SC"/>
        <family val="2"/>
      </rPr>
      <t xml:space="preserve">★ 這一頁沒有任何數字要你填。夥伴版的 </t>
    </r>
    <r>
      <rPr>
        <b val="true"/>
        <sz val="10"/>
        <color rgb="FF833C00"/>
        <rFont val="微軟正黑體"/>
        <family val="0"/>
        <charset val="1"/>
      </rPr>
      <t xml:space="preserve">7 </t>
    </r>
    <r>
      <rPr>
        <b val="true"/>
        <sz val="10"/>
        <color rgb="FF833C00"/>
        <rFont val="Noto Sans CJK SC"/>
        <family val="2"/>
      </rPr>
      <t xml:space="preserve">個分頁全部是唯讀的參考資料，你只需要在 </t>
    </r>
    <r>
      <rPr>
        <b val="true"/>
        <sz val="10"/>
        <color rgb="FF833C00"/>
        <rFont val="微軟正黑體"/>
        <family val="0"/>
        <charset val="1"/>
      </rPr>
      <t xml:space="preserve">17 </t>
    </r>
    <r>
      <rPr>
        <b val="true"/>
        <sz val="10"/>
        <color rgb="FF833C00"/>
        <rFont val="Noto Sans CJK SC"/>
        <family val="2"/>
      </rPr>
      <t xml:space="preserve">商機作戰卡與 </t>
    </r>
    <r>
      <rPr>
        <b val="true"/>
        <sz val="10"/>
        <color rgb="FF833C00"/>
        <rFont val="微軟正黑體"/>
        <family val="0"/>
        <charset val="1"/>
      </rPr>
      <t xml:space="preserve">12 </t>
    </r>
    <r>
      <rPr>
        <b val="true"/>
        <sz val="10"/>
        <color rgb="FF833C00"/>
        <rFont val="Noto Sans CJK SC"/>
        <family val="2"/>
      </rPr>
      <t xml:space="preserve">夥伴視角上方的下拉選單挑選項目。要回報請用 </t>
    </r>
    <r>
      <rPr>
        <b val="true"/>
        <sz val="10"/>
        <color rgb="FF833C00"/>
        <rFont val="微軟正黑體"/>
        <family val="0"/>
        <charset val="1"/>
      </rPr>
      <t xml:space="preserve">VMH-EcoMap-3 </t>
    </r>
    <r>
      <rPr>
        <b val="true"/>
        <sz val="10"/>
        <color rgb="FF833C00"/>
        <rFont val="Noto Sans CJK SC"/>
        <family val="2"/>
      </rPr>
      <t xml:space="preserve">夥伴提案回覆表，不要改這個檔。</t>
    </r>
  </si>
  <si>
    <r>
      <rPr>
        <b val="true"/>
        <sz val="15"/>
        <color rgb="FFFFFFFF"/>
        <rFont val="Noto Sans CJK SC"/>
        <family val="2"/>
      </rPr>
      <t xml:space="preserve">儀表板｜</t>
    </r>
    <r>
      <rPr>
        <b val="true"/>
        <sz val="15"/>
        <color rgb="FFFFFFFF"/>
        <rFont val="微軟正黑體"/>
        <family val="0"/>
        <charset val="1"/>
      </rPr>
      <t xml:space="preserve">Dashboard</t>
    </r>
    <r>
      <rPr>
        <b val="true"/>
        <sz val="15"/>
        <color rgb="FFFFFFFF"/>
        <rFont val="Noto Sans CJK SC"/>
        <family val="2"/>
      </rPr>
      <t xml:space="preserve">（開會先投影這一頁：四張圖與六個數字，全部自動更新）</t>
    </r>
  </si>
  <si>
    <r>
      <rPr>
        <i val="true"/>
        <sz val="9.5"/>
        <color rgb="FF404040"/>
        <rFont val="Noto Sans CJK SC"/>
        <family val="2"/>
      </rPr>
      <t xml:space="preserve">❓ 這頁在回答：整體盤勢如何？該打的前十名是哪些？　　▸ 本頁全部是公式與圖表，不需要也不可以輸入。數字來源：</t>
    </r>
    <r>
      <rPr>
        <i val="true"/>
        <sz val="9.5"/>
        <color rgb="FF404040"/>
        <rFont val="微軟正黑體"/>
        <family val="0"/>
        <charset val="1"/>
      </rPr>
      <t xml:space="preserve">03 </t>
    </r>
    <r>
      <rPr>
        <i val="true"/>
        <sz val="9.5"/>
        <color rgb="FF404040"/>
        <rFont val="Noto Sans CJK SC"/>
        <family val="2"/>
      </rPr>
      <t xml:space="preserve">能力總表、</t>
    </r>
    <r>
      <rPr>
        <i val="true"/>
        <sz val="9.5"/>
        <color rgb="FF404040"/>
        <rFont val="微軟正黑體"/>
        <family val="0"/>
        <charset val="1"/>
      </rPr>
      <t xml:space="preserve">14 </t>
    </r>
    <r>
      <rPr>
        <i val="true"/>
        <sz val="9.5"/>
        <color rgb="FF404040"/>
        <rFont val="Noto Sans CJK SC"/>
        <family val="2"/>
      </rPr>
      <t xml:space="preserve">商機清單、</t>
    </r>
    <r>
      <rPr>
        <i val="true"/>
        <sz val="9.5"/>
        <color rgb="FF404040"/>
        <rFont val="微軟正黑體"/>
        <family val="0"/>
        <charset val="1"/>
      </rPr>
      <t xml:space="preserve">15 </t>
    </r>
    <r>
      <rPr>
        <i val="true"/>
        <sz val="9.5"/>
        <color rgb="FF404040"/>
        <rFont val="Noto Sans CJK SC"/>
        <family val="2"/>
      </rPr>
      <t xml:space="preserve">商機字典。看完這頁要細節：能力面→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總藍圖，商機面→</t>
    </r>
    <r>
      <rPr>
        <i val="true"/>
        <sz val="9.5"/>
        <color rgb="FF404040"/>
        <rFont val="微軟正黑體"/>
        <family val="0"/>
        <charset val="1"/>
      </rPr>
      <t xml:space="preserve">15 </t>
    </r>
    <r>
      <rPr>
        <i val="true"/>
        <sz val="9.5"/>
        <color rgb="FF404040"/>
        <rFont val="Noto Sans CJK SC"/>
        <family val="2"/>
      </rPr>
      <t xml:space="preserve">商機字典／</t>
    </r>
    <r>
      <rPr>
        <i val="true"/>
        <sz val="9.5"/>
        <color rgb="FF404040"/>
        <rFont val="微軟正黑體"/>
        <family val="0"/>
        <charset val="1"/>
      </rPr>
      <t xml:space="preserve">14 </t>
    </r>
    <r>
      <rPr>
        <i val="true"/>
        <sz val="9.5"/>
        <color rgb="FF404040"/>
        <rFont val="Noto Sans CJK SC"/>
        <family val="2"/>
      </rPr>
      <t xml:space="preserve">商機清單。</t>
    </r>
  </si>
  <si>
    <t xml:space="preserve">商機族群分佈</t>
  </si>
  <si>
    <t xml:space="preserve">越南現況</t>
  </si>
  <si>
    <t xml:space="preserve">各領域缺口數</t>
  </si>
  <si>
    <t xml:space="preserve">商機管線階段</t>
  </si>
  <si>
    <t xml:space="preserve">能力總數</t>
  </si>
  <si>
    <t xml:space="preserve">○缺口（能力）</t>
  </si>
  <si>
    <r>
      <rPr>
        <b val="true"/>
        <sz val="10"/>
        <color rgb="FF548235"/>
        <rFont val="Noto Sans CJK SC"/>
        <family val="2"/>
      </rPr>
      <t xml:space="preserve">立即推進 </t>
    </r>
    <r>
      <rPr>
        <b val="true"/>
        <sz val="10"/>
        <color rgb="FF548235"/>
        <rFont val="微軟正黑體"/>
        <family val="0"/>
        <charset val="1"/>
      </rPr>
      <t xml:space="preserve">Go</t>
    </r>
  </si>
  <si>
    <t xml:space="preserve">規劃投資與交易架構</t>
  </si>
  <si>
    <t xml:space="preserve">①已成熟</t>
  </si>
  <si>
    <r>
      <rPr>
        <sz val="8"/>
        <color rgb="FF000000"/>
        <rFont val="微軟正黑體"/>
        <family val="0"/>
        <charset val="1"/>
      </rPr>
      <t xml:space="preserve">D01 </t>
    </r>
    <r>
      <rPr>
        <sz val="8"/>
        <color rgb="FF000000"/>
        <rFont val="Noto Sans CJK SC"/>
        <family val="2"/>
      </rPr>
      <t xml:space="preserve">治理與投資</t>
    </r>
  </si>
  <si>
    <r>
      <rPr>
        <sz val="8"/>
        <color rgb="FF000000"/>
        <rFont val="微軟正黑體"/>
        <family val="0"/>
        <charset val="1"/>
      </rPr>
      <t xml:space="preserve">Lead </t>
    </r>
    <r>
      <rPr>
        <sz val="8"/>
        <color rgb="FF000000"/>
        <rFont val="Noto Sans CJK SC"/>
        <family val="2"/>
      </rPr>
      <t xml:space="preserve">潛在</t>
    </r>
  </si>
  <si>
    <t xml:space="preserve">建築工程與設施</t>
  </si>
  <si>
    <t xml:space="preserve">②起步中</t>
  </si>
  <si>
    <r>
      <rPr>
        <sz val="8"/>
        <color rgb="FF000000"/>
        <rFont val="微軟正黑體"/>
        <family val="0"/>
        <charset val="1"/>
      </rPr>
      <t xml:space="preserve">D02 </t>
    </r>
    <r>
      <rPr>
        <sz val="8"/>
        <color rgb="FF000000"/>
        <rFont val="Noto Sans CJK SC"/>
        <family val="2"/>
      </rPr>
      <t xml:space="preserve">臨床服務模式</t>
    </r>
  </si>
  <si>
    <r>
      <rPr>
        <sz val="8"/>
        <color rgb="FF000000"/>
        <rFont val="微軟正黑體"/>
        <family val="0"/>
        <charset val="1"/>
      </rPr>
      <t xml:space="preserve">Qualified </t>
    </r>
    <r>
      <rPr>
        <sz val="8"/>
        <color rgb="FF000000"/>
        <rFont val="Noto Sans CJK SC"/>
        <family val="2"/>
      </rPr>
      <t xml:space="preserve">已篩選</t>
    </r>
  </si>
  <si>
    <t xml:space="preserve">醫材與臨床設備</t>
  </si>
  <si>
    <t xml:space="preserve">③尚未出現</t>
  </si>
  <si>
    <r>
      <rPr>
        <sz val="8"/>
        <color rgb="FF000000"/>
        <rFont val="微軟正黑體"/>
        <family val="0"/>
        <charset val="1"/>
      </rPr>
      <t xml:space="preserve">D03 </t>
    </r>
    <r>
      <rPr>
        <sz val="8"/>
        <color rgb="FF000000"/>
        <rFont val="Noto Sans CJK SC"/>
        <family val="2"/>
      </rPr>
      <t xml:space="preserve">醫院設施與機電</t>
    </r>
  </si>
  <si>
    <r>
      <rPr>
        <sz val="8"/>
        <color rgb="FF000000"/>
        <rFont val="微軟正黑體"/>
        <family val="0"/>
        <charset val="1"/>
      </rPr>
      <t xml:space="preserve">Proposal </t>
    </r>
    <r>
      <rPr>
        <sz val="8"/>
        <color rgb="FF000000"/>
        <rFont val="Noto Sans CJK SC"/>
        <family val="2"/>
      </rPr>
      <t xml:space="preserve">已提案</t>
    </r>
  </si>
  <si>
    <t xml:space="preserve">商機總數</t>
  </si>
  <si>
    <t xml:space="preserve">③越南尚未出現</t>
  </si>
  <si>
    <t xml:space="preserve">★白地商機</t>
  </si>
  <si>
    <t xml:space="preserve">數位基建與資安</t>
  </si>
  <si>
    <r>
      <rPr>
        <sz val="8"/>
        <color rgb="FF000000"/>
        <rFont val="微軟正黑體"/>
        <family val="0"/>
        <charset val="1"/>
      </rPr>
      <t xml:space="preserve">D04 </t>
    </r>
    <r>
      <rPr>
        <sz val="8"/>
        <color rgb="FF000000"/>
        <rFont val="Noto Sans CJK SC"/>
        <family val="2"/>
      </rPr>
      <t xml:space="preserve">數位基建與物聯網</t>
    </r>
  </si>
  <si>
    <r>
      <rPr>
        <sz val="8"/>
        <color rgb="FF000000"/>
        <rFont val="微軟正黑體"/>
        <family val="0"/>
        <charset val="1"/>
      </rPr>
      <t xml:space="preserve">Negotiation </t>
    </r>
    <r>
      <rPr>
        <sz val="8"/>
        <color rgb="FF000000"/>
        <rFont val="Noto Sans CJK SC"/>
        <family val="2"/>
      </rPr>
      <t xml:space="preserve">議約中</t>
    </r>
  </si>
  <si>
    <t xml:space="preserve">醫療資訊與資料</t>
  </si>
  <si>
    <r>
      <rPr>
        <sz val="8"/>
        <color rgb="FF000000"/>
        <rFont val="微軟正黑體"/>
        <family val="0"/>
        <charset val="1"/>
      </rPr>
      <t xml:space="preserve">D05 </t>
    </r>
    <r>
      <rPr>
        <sz val="8"/>
        <color rgb="FF000000"/>
        <rFont val="Noto Sans CJK SC"/>
        <family val="2"/>
      </rPr>
      <t xml:space="preserve">醫材與診斷</t>
    </r>
  </si>
  <si>
    <r>
      <rPr>
        <sz val="8"/>
        <color rgb="FF000000"/>
        <rFont val="微軟正黑體"/>
        <family val="0"/>
        <charset val="1"/>
      </rPr>
      <t xml:space="preserve">Won </t>
    </r>
    <r>
      <rPr>
        <sz val="8"/>
        <color rgb="FF000000"/>
        <rFont val="Noto Sans CJK SC"/>
        <family val="2"/>
      </rPr>
      <t xml:space="preserve">已簽約</t>
    </r>
  </si>
  <si>
    <r>
      <rPr>
        <sz val="8"/>
        <color rgb="FF000000"/>
        <rFont val="微軟正黑體"/>
        <family val="0"/>
        <charset val="1"/>
      </rPr>
      <t xml:space="preserve">AI</t>
    </r>
    <r>
      <rPr>
        <sz val="8"/>
        <color rgb="FF000000"/>
        <rFont val="Noto Sans CJK SC"/>
        <family val="2"/>
      </rPr>
      <t xml:space="preserve">與智慧醫療</t>
    </r>
  </si>
  <si>
    <r>
      <rPr>
        <sz val="8"/>
        <color rgb="FF000000"/>
        <rFont val="微軟正黑體"/>
        <family val="0"/>
        <charset val="1"/>
      </rPr>
      <t xml:space="preserve">D06 </t>
    </r>
    <r>
      <rPr>
        <sz val="8"/>
        <color rgb="FF000000"/>
        <rFont val="Noto Sans CJK SC"/>
        <family val="2"/>
      </rPr>
      <t xml:space="preserve">醫療資訊與資料</t>
    </r>
  </si>
  <si>
    <t xml:space="preserve">品質認證與人才</t>
  </si>
  <si>
    <r>
      <rPr>
        <sz val="8"/>
        <color rgb="FF000000"/>
        <rFont val="微軟正黑體"/>
        <family val="0"/>
        <charset val="1"/>
      </rPr>
      <t xml:space="preserve">D07 </t>
    </r>
    <r>
      <rPr>
        <sz val="8"/>
        <color rgb="FF000000"/>
        <rFont val="Noto Sans CJK SC"/>
        <family val="2"/>
      </rPr>
      <t xml:space="preserve">品質與病安</t>
    </r>
  </si>
  <si>
    <t xml:space="preserve">供應鏈與維運服務</t>
  </si>
  <si>
    <r>
      <rPr>
        <sz val="8"/>
        <color rgb="FF000000"/>
        <rFont val="微軟正黑體"/>
        <family val="0"/>
        <charset val="1"/>
      </rPr>
      <t xml:space="preserve">D08 </t>
    </r>
    <r>
      <rPr>
        <sz val="8"/>
        <color rgb="FF000000"/>
        <rFont val="Noto Sans CJK SC"/>
        <family val="2"/>
      </rPr>
      <t xml:space="preserve">人才與技轉</t>
    </r>
  </si>
  <si>
    <t xml:space="preserve">照護服務新業態</t>
  </si>
  <si>
    <r>
      <rPr>
        <sz val="8"/>
        <color rgb="FF000000"/>
        <rFont val="微軟正黑體"/>
        <family val="0"/>
        <charset val="1"/>
      </rPr>
      <t xml:space="preserve">D09 </t>
    </r>
    <r>
      <rPr>
        <sz val="8"/>
        <color rgb="FF000000"/>
        <rFont val="Noto Sans CJK SC"/>
        <family val="2"/>
      </rPr>
      <t xml:space="preserve">供應鏈與維運</t>
    </r>
  </si>
  <si>
    <t xml:space="preserve">商模支付與病人生態</t>
  </si>
  <si>
    <r>
      <rPr>
        <sz val="8"/>
        <color rgb="FF000000"/>
        <rFont val="微軟正黑體"/>
        <family val="0"/>
        <charset val="1"/>
      </rPr>
      <t xml:space="preserve">D10 </t>
    </r>
    <r>
      <rPr>
        <sz val="8"/>
        <color rgb="FF000000"/>
        <rFont val="Noto Sans CJK SC"/>
        <family val="2"/>
      </rPr>
      <t xml:space="preserve">商模與病人生態</t>
    </r>
  </si>
  <si>
    <r>
      <rPr>
        <b val="true"/>
        <sz val="11"/>
        <color rgb="FF1F3864"/>
        <rFont val="微軟正黑體"/>
        <family val="0"/>
        <charset val="1"/>
      </rPr>
      <t xml:space="preserve">Top 10 </t>
    </r>
    <r>
      <rPr>
        <b val="true"/>
        <sz val="11"/>
        <color rgb="FF1F3864"/>
        <rFont val="Noto Sans CJK SC"/>
        <family val="2"/>
      </rPr>
      <t xml:space="preserve">攻擊順位（</t>
    </r>
    <r>
      <rPr>
        <b val="true"/>
        <sz val="11"/>
        <color rgb="FF1F3864"/>
        <rFont val="微軟正黑體"/>
        <family val="0"/>
        <charset val="1"/>
      </rPr>
      <t xml:space="preserve">0.45×</t>
    </r>
    <r>
      <rPr>
        <b val="true"/>
        <sz val="11"/>
        <color rgb="FF1F3864"/>
        <rFont val="Noto Sans CJK SC"/>
        <family val="2"/>
      </rPr>
      <t xml:space="preserve">價值＋</t>
    </r>
    <r>
      <rPr>
        <b val="true"/>
        <sz val="11"/>
        <color rgb="FF1F3864"/>
        <rFont val="微軟正黑體"/>
        <family val="0"/>
        <charset val="1"/>
      </rPr>
      <t xml:space="preserve">0.35×</t>
    </r>
    <r>
      <rPr>
        <b val="true"/>
        <sz val="11"/>
        <color rgb="FF1F3864"/>
        <rFont val="Noto Sans CJK SC"/>
        <family val="2"/>
      </rPr>
      <t xml:space="preserve">準備＋</t>
    </r>
    <r>
      <rPr>
        <b val="true"/>
        <sz val="11"/>
        <color rgb="FF1F3864"/>
        <rFont val="微軟正黑體"/>
        <family val="0"/>
        <charset val="1"/>
      </rPr>
      <t xml:space="preserve">0.2×</t>
    </r>
    <r>
      <rPr>
        <b val="true"/>
        <sz val="11"/>
        <color rgb="FF1F3864"/>
        <rFont val="Noto Sans CJK SC"/>
        <family val="2"/>
      </rPr>
      <t xml:space="preserve">越南現況－缺口扣分；白地商機另走 </t>
    </r>
    <r>
      <rPr>
        <b val="true"/>
        <sz val="11"/>
        <color rgb="FF1F3864"/>
        <rFont val="微軟正黑體"/>
        <family val="0"/>
        <charset val="1"/>
      </rPr>
      <t xml:space="preserve">13④</t>
    </r>
    <r>
      <rPr>
        <b val="true"/>
        <sz val="11"/>
        <color rgb="FF1F3864"/>
        <rFont val="Noto Sans CJK SC"/>
        <family val="2"/>
      </rPr>
      <t xml:space="preserve">）</t>
    </r>
  </si>
  <si>
    <t xml:space="preserve">順位</t>
  </si>
  <si>
    <t xml:space="preserve">商機</t>
  </si>
  <si>
    <t xml:space="preserve">優先分</t>
  </si>
  <si>
    <t xml:space="preserve">○缺口</t>
  </si>
  <si>
    <r>
      <rPr>
        <i val="true"/>
        <sz val="9"/>
        <color rgb="FF606770"/>
        <rFont val="Noto Sans CJK SC"/>
        <family val="2"/>
      </rPr>
      <t xml:space="preserve">★ 本頁圖表與數字全部自動連動：</t>
    </r>
    <r>
      <rPr>
        <i val="true"/>
        <sz val="9"/>
        <color rgb="FF606770"/>
        <rFont val="微軟正黑體"/>
        <family val="0"/>
        <charset val="1"/>
      </rPr>
      <t xml:space="preserve">03/14/15 </t>
    </r>
    <r>
      <rPr>
        <i val="true"/>
        <sz val="9"/>
        <color rgb="FF606770"/>
        <rFont val="Noto Sans CJK SC"/>
        <family val="2"/>
      </rPr>
      <t xml:space="preserve">的資料一改，重新開啟或按 </t>
    </r>
    <r>
      <rPr>
        <i val="true"/>
        <sz val="9"/>
        <color rgb="FF606770"/>
        <rFont val="微軟正黑體"/>
        <family val="0"/>
        <charset val="1"/>
      </rPr>
      <t xml:space="preserve">F9 </t>
    </r>
    <r>
      <rPr>
        <i val="true"/>
        <sz val="9"/>
        <color rgb="FF606770"/>
        <rFont val="Noto Sans CJK SC"/>
        <family val="2"/>
      </rPr>
      <t xml:space="preserve">即更新。不要在本頁輸入任何東西。要看單一商機怎麼打 → </t>
    </r>
    <r>
      <rPr>
        <i val="true"/>
        <sz val="9"/>
        <color rgb="FF606770"/>
        <rFont val="微軟正黑體"/>
        <family val="0"/>
        <charset val="1"/>
      </rPr>
      <t xml:space="preserve">17 </t>
    </r>
    <r>
      <rPr>
        <i val="true"/>
        <sz val="9"/>
        <color rgb="FF606770"/>
        <rFont val="Noto Sans CJK SC"/>
        <family val="2"/>
      </rPr>
      <t xml:space="preserve">商機作戰卡。</t>
    </r>
  </si>
  <si>
    <r>
      <rPr>
        <b val="true"/>
        <sz val="15"/>
        <color rgb="FFFFFFFF"/>
        <rFont val="微軟正黑體"/>
        <family val="0"/>
        <charset val="1"/>
      </rPr>
      <t xml:space="preserve">15 </t>
    </r>
    <r>
      <rPr>
        <b val="true"/>
        <sz val="15"/>
        <color rgb="FFFFFFFF"/>
        <rFont val="Noto Sans CJK SC"/>
        <family val="2"/>
      </rPr>
      <t xml:space="preserve">商機字典｜</t>
    </r>
    <r>
      <rPr>
        <b val="true"/>
        <sz val="15"/>
        <color rgb="FFFFFFFF"/>
        <rFont val="微軟正黑體"/>
        <family val="0"/>
        <charset val="1"/>
      </rPr>
      <t xml:space="preserve">Opportunity Library</t>
    </r>
    <r>
      <rPr>
        <b val="true"/>
        <sz val="15"/>
        <color rgb="FFFFFFFF"/>
        <rFont val="Noto Sans CJK SC"/>
        <family val="2"/>
      </rPr>
      <t xml:space="preserve">（越南醫院市場有哪些生意可以做）</t>
    </r>
  </si>
  <si>
    <r>
      <rPr>
        <i val="true"/>
        <sz val="9.5"/>
        <color rgb="FF404040"/>
        <rFont val="Noto Sans CJK SC"/>
        <family val="2"/>
      </rPr>
      <t xml:space="preserve">❓ 這頁在回答：越南醫院市場有哪 </t>
    </r>
    <r>
      <rPr>
        <i val="true"/>
        <sz val="9.5"/>
        <color rgb="FF404040"/>
        <rFont val="微軟正黑體"/>
        <family val="0"/>
        <charset val="1"/>
      </rPr>
      <t xml:space="preserve">85 </t>
    </r>
    <r>
      <rPr>
        <i val="true"/>
        <sz val="9.5"/>
        <color rgb="FF404040"/>
        <rFont val="Noto Sans CJK SC"/>
        <family val="2"/>
      </rPr>
      <t xml:space="preserve">門生意可以做？（★不熟醫療產業先看這頁）　　▸ 不熟醫療產業的夥伴請先看這頁：</t>
    </r>
    <r>
      <rPr>
        <i val="true"/>
        <sz val="9.5"/>
        <color rgb="FF404040"/>
        <rFont val="微軟正黑體"/>
        <family val="0"/>
        <charset val="1"/>
      </rPr>
      <t xml:space="preserve">85 </t>
    </r>
    <r>
      <rPr>
        <i val="true"/>
        <sz val="9.5"/>
        <color rgb="FF404040"/>
        <rFont val="Noto Sans CJK SC"/>
        <family val="2"/>
      </rPr>
      <t xml:space="preserve">種可以獨立談的生意，分成 </t>
    </r>
    <r>
      <rPr>
        <i val="true"/>
        <sz val="9.5"/>
        <color rgb="FF404040"/>
        <rFont val="微軟正黑體"/>
        <family val="0"/>
        <charset val="1"/>
      </rPr>
      <t xml:space="preserve">A~J </t>
    </r>
    <r>
      <rPr>
        <i val="true"/>
        <sz val="9.5"/>
        <color rgb="FF404040"/>
        <rFont val="Noto Sans CJK SC"/>
        <family val="2"/>
      </rPr>
      <t xml:space="preserve">十個族群，說明它在賣什麼、誰付錢、大概多少錢、通常什麼階段切入，以及「越南現況」——標③尚未出現的，代表越南目前幾乎沒人在做，是主動出擊的空間。藍字欄位（</t>
    </r>
    <r>
      <rPr>
        <i val="true"/>
        <sz val="9.5"/>
        <color rgb="FF404040"/>
        <rFont val="微軟正黑體"/>
        <family val="0"/>
        <charset val="1"/>
      </rPr>
      <t xml:space="preserve">G-L</t>
    </r>
    <r>
      <rPr>
        <i val="true"/>
        <sz val="9.5"/>
        <color rgb="FF404040"/>
        <rFont val="Noto Sans CJK SC"/>
        <family val="2"/>
      </rPr>
      <t xml:space="preserve">、</t>
    </r>
    <r>
      <rPr>
        <i val="true"/>
        <sz val="9.5"/>
        <color rgb="FF404040"/>
        <rFont val="微軟正黑體"/>
        <family val="0"/>
        <charset val="1"/>
      </rPr>
      <t xml:space="preserve">T</t>
    </r>
    <r>
      <rPr>
        <i val="true"/>
        <sz val="9.5"/>
        <color rgb="FF404040"/>
        <rFont val="Noto Sans CJK SC"/>
        <family val="2"/>
      </rPr>
      <t xml:space="preserve">）由 </t>
    </r>
    <r>
      <rPr>
        <i val="true"/>
        <sz val="9.5"/>
        <color rgb="FF404040"/>
        <rFont val="微軟正黑體"/>
        <family val="0"/>
        <charset val="1"/>
      </rPr>
      <t xml:space="preserve">16 </t>
    </r>
    <r>
      <rPr>
        <i val="true"/>
        <sz val="9.5"/>
        <color rgb="FF404040"/>
        <rFont val="Noto Sans CJK SC"/>
        <family val="2"/>
      </rPr>
      <t xml:space="preserve">能力商機矩陣自動算出。</t>
    </r>
    <r>
      <rPr>
        <i val="true"/>
        <sz val="9.5"/>
        <color rgb="FF404040"/>
        <rFont val="微軟正黑體"/>
        <family val="0"/>
        <charset val="1"/>
      </rPr>
      <t xml:space="preserve">14 </t>
    </r>
    <r>
      <rPr>
        <i val="true"/>
        <sz val="9.5"/>
        <color rgb="FF404040"/>
        <rFont val="Noto Sans CJK SC"/>
        <family val="2"/>
      </rPr>
      <t xml:space="preserve">商機清單的商機下拉就是從本頁 </t>
    </r>
    <r>
      <rPr>
        <i val="true"/>
        <sz val="9.5"/>
        <color rgb="FF404040"/>
        <rFont val="微軟正黑體"/>
        <family val="0"/>
        <charset val="1"/>
      </rPr>
      <t xml:space="preserve">B </t>
    </r>
    <r>
      <rPr>
        <i val="true"/>
        <sz val="9.5"/>
        <color rgb="FF404040"/>
        <rFont val="Noto Sans CJK SC"/>
        <family val="2"/>
      </rPr>
      <t xml:space="preserve">欄來的。</t>
    </r>
  </si>
  <si>
    <r>
      <rPr>
        <b val="true"/>
        <sz val="8.5"/>
        <color rgb="FFC00000"/>
        <rFont val="Noto Sans CJK SC"/>
        <family val="2"/>
      </rPr>
      <t xml:space="preserve">★ 本頁每一列對應 </t>
    </r>
    <r>
      <rPr>
        <b val="true"/>
        <sz val="8.5"/>
        <color rgb="FFC00000"/>
        <rFont val="微軟正黑體"/>
        <family val="0"/>
        <charset val="1"/>
      </rPr>
      <t xml:space="preserve">16 </t>
    </r>
    <r>
      <rPr>
        <b val="true"/>
        <sz val="8.5"/>
        <color rgb="FFC00000"/>
        <rFont val="Noto Sans CJK SC"/>
        <family val="2"/>
      </rPr>
      <t xml:space="preserve">能力商機矩陣的一個欄位（第</t>
    </r>
    <r>
      <rPr>
        <b val="true"/>
        <sz val="8.5"/>
        <color rgb="FFC00000"/>
        <rFont val="微軟正黑體"/>
        <family val="0"/>
        <charset val="1"/>
      </rPr>
      <t xml:space="preserve">5</t>
    </r>
    <r>
      <rPr>
        <b val="true"/>
        <sz val="8.5"/>
        <color rgb="FFC00000"/>
        <rFont val="Noto Sans CJK SC"/>
        <family val="2"/>
      </rPr>
      <t xml:space="preserve">列↔</t>
    </r>
    <r>
      <rPr>
        <b val="true"/>
        <sz val="8.5"/>
        <color rgb="FFC00000"/>
        <rFont val="微軟正黑體"/>
        <family val="0"/>
        <charset val="1"/>
      </rPr>
      <t xml:space="preserve">D</t>
    </r>
    <r>
      <rPr>
        <b val="true"/>
        <sz val="8.5"/>
        <color rgb="FFC00000"/>
        <rFont val="Noto Sans CJK SC"/>
        <family val="2"/>
      </rPr>
      <t xml:space="preserve">欄、第</t>
    </r>
    <r>
      <rPr>
        <b val="true"/>
        <sz val="8.5"/>
        <color rgb="FFC00000"/>
        <rFont val="微軟正黑體"/>
        <family val="0"/>
        <charset val="1"/>
      </rPr>
      <t xml:space="preserve">6</t>
    </r>
    <r>
      <rPr>
        <b val="true"/>
        <sz val="8.5"/>
        <color rgb="FFC00000"/>
        <rFont val="Noto Sans CJK SC"/>
        <family val="2"/>
      </rPr>
      <t xml:space="preserve">列↔</t>
    </r>
    <r>
      <rPr>
        <b val="true"/>
        <sz val="8.5"/>
        <color rgb="FFC00000"/>
        <rFont val="微軟正黑體"/>
        <family val="0"/>
        <charset val="1"/>
      </rPr>
      <t xml:space="preserve">E</t>
    </r>
    <r>
      <rPr>
        <b val="true"/>
        <sz val="8.5"/>
        <color rgb="FFC00000"/>
        <rFont val="Noto Sans CJK SC"/>
        <family val="2"/>
      </rPr>
      <t xml:space="preserve">欄…），請不要插入或刪除列，要新增請在最下方空白列往下填。</t>
    </r>
  </si>
  <si>
    <r>
      <rPr>
        <b val="true"/>
        <sz val="10"/>
        <color rgb="FFFFFFFF"/>
        <rFont val="Noto Sans CJK SC"/>
        <family val="2"/>
      </rPr>
      <t xml:space="preserve">商機代號
</t>
    </r>
    <r>
      <rPr>
        <b val="true"/>
        <sz val="10"/>
        <color rgb="FFFFFFFF"/>
        <rFont val="微軟正黑體"/>
        <family val="0"/>
        <charset val="1"/>
      </rPr>
      <t xml:space="preserve">OPP ID</t>
    </r>
  </si>
  <si>
    <r>
      <rPr>
        <b val="true"/>
        <sz val="10"/>
        <color rgb="FFFFFFFF"/>
        <rFont val="Noto Sans CJK SC"/>
        <family val="2"/>
      </rPr>
      <t xml:space="preserve">商機名稱（中）
</t>
    </r>
    <r>
      <rPr>
        <b val="true"/>
        <sz val="10"/>
        <color rgb="FFFFFFFF"/>
        <rFont val="微軟正黑體"/>
        <family val="0"/>
        <charset val="1"/>
      </rPr>
      <t xml:space="preserve">Opportunity</t>
    </r>
  </si>
  <si>
    <t xml:space="preserve">Opportunity (EN)</t>
  </si>
  <si>
    <r>
      <rPr>
        <b val="true"/>
        <sz val="10"/>
        <color rgb="FFFFFFFF"/>
        <rFont val="Noto Sans CJK SC"/>
        <family val="2"/>
      </rPr>
      <t xml:space="preserve">商機族群
</t>
    </r>
    <r>
      <rPr>
        <b val="true"/>
        <sz val="10"/>
        <color rgb="FFFFFFFF"/>
        <rFont val="微軟正黑體"/>
        <family val="0"/>
        <charset val="1"/>
      </rPr>
      <t xml:space="preserve">Family</t>
    </r>
  </si>
  <si>
    <r>
      <rPr>
        <b val="true"/>
        <sz val="10"/>
        <color rgb="FFFFFFFF"/>
        <rFont val="Noto Sans CJK SC"/>
        <family val="2"/>
      </rPr>
      <t xml:space="preserve">這門生意在賣什麼／誰付錢
</t>
    </r>
    <r>
      <rPr>
        <b val="true"/>
        <sz val="10"/>
        <color rgb="FFFFFFFF"/>
        <rFont val="微軟正黑體"/>
        <family val="0"/>
        <charset val="1"/>
      </rPr>
      <t xml:space="preserve">What we sell &amp; who pays</t>
    </r>
  </si>
  <si>
    <r>
      <rPr>
        <b val="true"/>
        <sz val="10"/>
        <color rgb="FFFFFFFF"/>
        <rFont val="Noto Sans CJK SC"/>
        <family val="2"/>
      </rPr>
      <t xml:space="preserve">越南現況
</t>
    </r>
    <r>
      <rPr>
        <b val="true"/>
        <sz val="10"/>
        <color rgb="FFFFFFFF"/>
        <rFont val="微軟正黑體"/>
        <family val="0"/>
        <charset val="1"/>
      </rPr>
      <t xml:space="preserve">VN maturity</t>
    </r>
  </si>
  <si>
    <r>
      <rPr>
        <b val="true"/>
        <sz val="10"/>
        <color rgb="FFFFFFFF"/>
        <rFont val="Noto Sans CJK SC"/>
        <family val="2"/>
      </rPr>
      <t xml:space="preserve">涵蓋領域（自動）
</t>
    </r>
    <r>
      <rPr>
        <b val="true"/>
        <sz val="10"/>
        <color rgb="FFFFFFFF"/>
        <rFont val="微軟正黑體"/>
        <family val="0"/>
        <charset val="1"/>
      </rPr>
      <t xml:space="preserve">Domains</t>
    </r>
  </si>
  <si>
    <r>
      <rPr>
        <b val="true"/>
        <sz val="10"/>
        <color rgb="FFFFFFFF"/>
        <rFont val="Noto Sans CJK SC"/>
        <family val="2"/>
      </rPr>
      <t xml:space="preserve">對應能力
</t>
    </r>
    <r>
      <rPr>
        <b val="true"/>
        <sz val="10"/>
        <color rgb="FFFFFFFF"/>
        <rFont val="微軟正黑體"/>
        <family val="0"/>
        <charset val="1"/>
      </rPr>
      <t xml:space="preserve">CAP</t>
    </r>
    <r>
      <rPr>
        <b val="true"/>
        <sz val="10"/>
        <color rgb="FFFFFFFF"/>
        <rFont val="Noto Sans CJK SC"/>
        <family val="2"/>
      </rPr>
      <t xml:space="preserve">數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自動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</si>
  <si>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平均價值分
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自動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</si>
  <si>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平均準備分
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自動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</si>
  <si>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○缺口數
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自動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</si>
  <si>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★聯盟能力對應狀態（自動）
</t>
    </r>
    <r>
      <rPr>
        <b val="true"/>
        <sz val="10"/>
        <color rgb="FFFFFFFF"/>
        <rFont val="微軟正黑體"/>
        <family val="0"/>
        <charset val="1"/>
      </rPr>
      <t xml:space="preserve">Our position</t>
    </r>
  </si>
  <si>
    <r>
      <rPr>
        <b val="true"/>
        <sz val="10"/>
        <color rgb="FFFFFFFF"/>
        <rFont val="Noto Sans CJK SC"/>
        <family val="2"/>
      </rPr>
      <t xml:space="preserve">典型切入階段
</t>
    </r>
    <r>
      <rPr>
        <b val="true"/>
        <sz val="10"/>
        <color rgb="FFFFFFFF"/>
        <rFont val="微軟正黑體"/>
        <family val="0"/>
        <charset val="1"/>
      </rPr>
      <t xml:space="preserve">Stage</t>
    </r>
  </si>
  <si>
    <r>
      <rPr>
        <b val="true"/>
        <sz val="10"/>
        <color rgb="FFFFFFFF"/>
        <rFont val="Noto Sans CJK SC"/>
        <family val="2"/>
      </rPr>
      <t xml:space="preserve">典型付費方
</t>
    </r>
    <r>
      <rPr>
        <b val="true"/>
        <sz val="10"/>
        <color rgb="FFFFFFFF"/>
        <rFont val="微軟正黑體"/>
        <family val="0"/>
        <charset val="1"/>
      </rPr>
      <t xml:space="preserve">Typical payer</t>
    </r>
  </si>
  <si>
    <r>
      <rPr>
        <b val="true"/>
        <sz val="10"/>
        <color rgb="FFFFFFFF"/>
        <rFont val="Noto Sans CJK SC"/>
        <family val="2"/>
      </rPr>
      <t xml:space="preserve">典型交易模式
</t>
    </r>
    <r>
      <rPr>
        <b val="true"/>
        <sz val="10"/>
        <color rgb="FFFFFFFF"/>
        <rFont val="微軟正黑體"/>
        <family val="0"/>
        <charset val="1"/>
      </rPr>
      <t xml:space="preserve">Txn mode</t>
    </r>
  </si>
  <si>
    <r>
      <rPr>
        <b val="true"/>
        <sz val="10"/>
        <color rgb="FFFFFFFF"/>
        <rFont val="Noto Sans CJK SC"/>
        <family val="2"/>
      </rPr>
      <t xml:space="preserve">典型金額級距
</t>
    </r>
    <r>
      <rPr>
        <b val="true"/>
        <sz val="10"/>
        <color rgb="FFFFFFFF"/>
        <rFont val="微軟正黑體"/>
        <family val="0"/>
        <charset val="1"/>
      </rPr>
      <t xml:space="preserve">Amount tier</t>
    </r>
  </si>
  <si>
    <r>
      <rPr>
        <b val="true"/>
        <sz val="10"/>
        <color rgb="FFFFFFFF"/>
        <rFont val="Noto Sans CJK SC"/>
        <family val="2"/>
      </rPr>
      <t xml:space="preserve">可否獨立成案
</t>
    </r>
    <r>
      <rPr>
        <b val="true"/>
        <sz val="10"/>
        <color rgb="FFFFFFFF"/>
        <rFont val="微軟正黑體"/>
        <family val="0"/>
        <charset val="1"/>
      </rPr>
      <t xml:space="preserve">Standalone</t>
    </r>
  </si>
  <si>
    <r>
      <rPr>
        <b val="true"/>
        <sz val="10"/>
        <color rgb="FFFFFFFF"/>
        <rFont val="Noto Sans CJK SC"/>
        <family val="2"/>
      </rPr>
      <t xml:space="preserve">建議主責
</t>
    </r>
    <r>
      <rPr>
        <b val="true"/>
        <sz val="10"/>
        <color rgb="FFFFFFFF"/>
        <rFont val="微軟正黑體"/>
        <family val="0"/>
        <charset val="1"/>
      </rPr>
      <t xml:space="preserve">Lead</t>
    </r>
  </si>
  <si>
    <r>
      <rPr>
        <b val="true"/>
        <sz val="10"/>
        <color rgb="FFFFFFFF"/>
        <rFont val="Noto Sans CJK SC"/>
        <family val="2"/>
      </rPr>
      <t xml:space="preserve">越南在地重點／注意事項
</t>
    </r>
    <r>
      <rPr>
        <b val="true"/>
        <sz val="10"/>
        <color rgb="FFFFFFFF"/>
        <rFont val="微軟正黑體"/>
        <family val="0"/>
        <charset val="1"/>
      </rPr>
      <t xml:space="preserve">Vietnam notes</t>
    </r>
  </si>
  <si>
    <r>
      <rPr>
        <b val="true"/>
        <sz val="10"/>
        <color rgb="FFFFFFFF"/>
        <rFont val="Noto Sans CJK SC"/>
        <family val="2"/>
      </rPr>
      <t xml:space="preserve">已列入</t>
    </r>
    <r>
      <rPr>
        <b val="true"/>
        <sz val="10"/>
        <color rgb="FFFFFFFF"/>
        <rFont val="微軟正黑體"/>
        <family val="0"/>
        <charset val="1"/>
      </rPr>
      <t xml:space="preserve">14
</t>
    </r>
    <r>
      <rPr>
        <b val="true"/>
        <sz val="10"/>
        <color rgb="FFFFFFFF"/>
        <rFont val="Noto Sans CJK SC"/>
        <family val="2"/>
      </rPr>
      <t xml:space="preserve">商機清單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自動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</si>
  <si>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代號＋名稱
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下拉用</t>
    </r>
    <r>
      <rPr>
        <b val="true"/>
        <sz val="10"/>
        <color rgb="FFFFFFFF"/>
        <rFont val="微軟正黑體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勿刪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</si>
  <si>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主要競爭者／在地玩家
</t>
    </r>
    <r>
      <rPr>
        <b val="true"/>
        <sz val="10"/>
        <color rgb="FFFFFFFF"/>
        <rFont val="微軟正黑體"/>
        <family val="0"/>
        <charset val="1"/>
      </rPr>
      <t xml:space="preserve">Competitors &amp; incumbents</t>
    </r>
  </si>
  <si>
    <r>
      <rPr>
        <b val="true"/>
        <sz val="10"/>
        <color rgb="FFFFFFFF"/>
        <rFont val="Noto Sans CJK SC"/>
        <family val="2"/>
      </rPr>
      <t xml:space="preserve">我們的切入角度
</t>
    </r>
    <r>
      <rPr>
        <b val="true"/>
        <sz val="10"/>
        <color rgb="FFFFFFFF"/>
        <rFont val="微軟正黑體"/>
        <family val="0"/>
        <charset val="1"/>
      </rPr>
      <t xml:space="preserve">Our angle</t>
    </r>
  </si>
  <si>
    <r>
      <rPr>
        <b val="true"/>
        <sz val="10"/>
        <color rgb="FFFFFFFF"/>
        <rFont val="Noto Sans CJK SC"/>
        <family val="2"/>
      </rPr>
      <t xml:space="preserve">群晶主導
</t>
    </r>
    <r>
      <rPr>
        <b val="true"/>
        <sz val="10"/>
        <color rgb="FFFFFFFF"/>
        <rFont val="微軟正黑體"/>
        <family val="0"/>
        <charset val="1"/>
      </rPr>
      <t xml:space="preserve">CAP</t>
    </r>
    <r>
      <rPr>
        <b val="true"/>
        <sz val="10"/>
        <color rgb="FFFFFFFF"/>
        <rFont val="Noto Sans CJK SC"/>
        <family val="2"/>
      </rPr>
      <t xml:space="preserve">數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自動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</si>
  <si>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攻擊優先分
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自動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</si>
  <si>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攻擊順位
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自動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</si>
  <si>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★層級
</t>
    </r>
    <r>
      <rPr>
        <b val="true"/>
        <sz val="10"/>
        <color rgb="FFFFFFFF"/>
        <rFont val="Microsoft JhengHei"/>
        <family val="0"/>
        <charset val="1"/>
      </rPr>
      <t xml:space="preserve">Layer</t>
    </r>
  </si>
  <si>
    <r>
      <rPr>
        <b val="true"/>
        <sz val="10"/>
        <color rgb="FFFFFFFF"/>
        <rFont val="Noto Sans CJK SC"/>
        <family val="2"/>
      </rPr>
      <t xml:space="preserve">★深研提示（本項專屬發現）
</t>
    </r>
    <r>
      <rPr>
        <b val="true"/>
        <sz val="10"/>
        <color rgb="FFFFFFFF"/>
        <rFont val="Microsoft JhengHei"/>
        <family val="0"/>
        <charset val="1"/>
      </rPr>
      <t xml:space="preserve">Research finding</t>
    </r>
  </si>
  <si>
    <r>
      <rPr>
        <b val="true"/>
        <sz val="10"/>
        <color rgb="FFFFFFFF"/>
        <rFont val="Noto Sans CJK SC"/>
        <family val="2"/>
      </rPr>
      <t xml:space="preserve">信心
</t>
    </r>
    <r>
      <rPr>
        <b val="true"/>
        <sz val="10"/>
        <color rgb="FFFFFFFF"/>
        <rFont val="Microsoft JhengHei"/>
        <family val="0"/>
        <charset val="1"/>
      </rPr>
      <t xml:space="preserve">Conf</t>
    </r>
  </si>
  <si>
    <r>
      <rPr>
        <b val="true"/>
        <sz val="10"/>
        <color rgb="FFFFFFFF"/>
        <rFont val="Noto Sans CJK SC"/>
        <family val="2"/>
      </rPr>
      <t xml:space="preserve">★越南現況（家族／領域趨勢）
</t>
    </r>
    <r>
      <rPr>
        <b val="true"/>
        <sz val="10"/>
        <color rgb="FFFFFFFF"/>
        <rFont val="Microsoft JhengHei"/>
        <family val="0"/>
        <charset val="1"/>
      </rPr>
      <t xml:space="preserve">VN status now</t>
    </r>
  </si>
  <si>
    <t xml:space="preserve">OPP-01</t>
  </si>
  <si>
    <r>
      <rPr>
        <b val="true"/>
        <sz val="9.5"/>
        <color rgb="FF203864"/>
        <rFont val="Noto Sans CJK SC"/>
        <family val="2"/>
      </rPr>
      <t xml:space="preserve">醫院投資規劃與</t>
    </r>
    <r>
      <rPr>
        <b val="true"/>
        <sz val="9.5"/>
        <color rgb="FF203864"/>
        <rFont val="微軟正黑體"/>
        <family val="0"/>
        <charset val="1"/>
      </rPr>
      <t xml:space="preserve">PPP</t>
    </r>
    <r>
      <rPr>
        <b val="true"/>
        <sz val="9.5"/>
        <color rgb="FF203864"/>
        <rFont val="Noto Sans CJK SC"/>
        <family val="2"/>
      </rPr>
      <t xml:space="preserve">交易架構顧問</t>
    </r>
  </si>
  <si>
    <t xml:space="preserve">Hospital Investment &amp; PPP Structuring</t>
  </si>
  <si>
    <r>
      <rPr>
        <sz val="9"/>
        <color rgb="FF000000"/>
        <rFont val="微軟正黑體"/>
        <family val="0"/>
        <charset val="1"/>
      </rPr>
      <t xml:space="preserve">A </t>
    </r>
    <r>
      <rPr>
        <sz val="9"/>
        <color rgb="FF000000"/>
        <rFont val="Noto Sans CJK SC"/>
        <family val="2"/>
      </rPr>
      <t xml:space="preserve">規劃投資與交易架構</t>
    </r>
  </si>
  <si>
    <t xml:space="preserve">把「要不要蓋、誰出錢、風險怎麼分」變成可以簽的交易架構；賣可行性報告、財務模型與契約設計</t>
  </si>
  <si>
    <t xml:space="preserve">② 起步中：剛開始有人做</t>
  </si>
  <si>
    <t xml:space="preserve">G0</t>
  </si>
  <si>
    <t xml:space="preserve">越南政府／衛生部預算</t>
  </si>
  <si>
    <t xml:space="preserve">顧問服務</t>
  </si>
  <si>
    <t xml:space="preserve">500K-2M USD</t>
  </si>
  <si>
    <t xml:space="preserve">是</t>
  </si>
  <si>
    <t xml:space="preserve">PPP Advisor</t>
  </si>
  <si>
    <r>
      <rPr>
        <sz val="9"/>
        <color rgb="FF000000"/>
        <rFont val="微軟正黑體"/>
        <family val="0"/>
        <charset val="1"/>
      </rPr>
      <t xml:space="preserve">⚠Decree 71/2025 </t>
    </r>
    <r>
      <rPr>
        <sz val="9"/>
        <color rgb="FF000000"/>
        <rFont val="Noto Sans CJK SC"/>
        <family val="2"/>
      </rPr>
      <t xml:space="preserve">已被 </t>
    </r>
    <r>
      <rPr>
        <sz val="9"/>
        <color rgb="FF000000"/>
        <rFont val="微軟正黑體"/>
        <family val="0"/>
        <charset val="1"/>
      </rPr>
      <t xml:space="preserve">Nghị định 243/2025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2025-09-11</t>
    </r>
    <r>
      <rPr>
        <sz val="9"/>
        <color rgb="FF000000"/>
        <rFont val="Noto Sans CJK SC"/>
        <family val="2"/>
      </rPr>
      <t xml:space="preserve">生效）第</t>
    </r>
    <r>
      <rPr>
        <sz val="9"/>
        <color rgb="FF000000"/>
        <rFont val="微軟正黑體"/>
        <family val="0"/>
        <charset val="1"/>
      </rPr>
      <t xml:space="preserve">81</t>
    </r>
    <r>
      <rPr>
        <sz val="9"/>
        <color rgb="FF000000"/>
        <rFont val="Noto Sans CJK SC"/>
        <family val="2"/>
      </rPr>
      <t xml:space="preserve">條全部廢止，現行細則為</t>
    </r>
    <r>
      <rPr>
        <sz val="9"/>
        <color rgb="FF000000"/>
        <rFont val="微軟正黑體"/>
        <family val="0"/>
        <charset val="1"/>
      </rPr>
      <t xml:space="preserve">243/2025</t>
    </r>
    <r>
      <rPr>
        <sz val="9"/>
        <color rgb="FF000000"/>
        <rFont val="Noto Sans CJK SC"/>
        <family val="2"/>
      </rPr>
      <t xml:space="preserve">體系（另含</t>
    </r>
    <r>
      <rPr>
        <sz val="9"/>
        <color rgb="FF000000"/>
        <rFont val="微軟正黑體"/>
        <family val="0"/>
        <charset val="1"/>
      </rPr>
      <t xml:space="preserve">312/2025</t>
    </r>
    <r>
      <rPr>
        <sz val="9"/>
        <color rgb="FF000000"/>
        <rFont val="Noto Sans CJK SC"/>
        <family val="2"/>
      </rPr>
      <t xml:space="preserve">財務管理、</t>
    </r>
    <r>
      <rPr>
        <sz val="9"/>
        <color rgb="FF000000"/>
        <rFont val="微軟正黑體"/>
        <family val="0"/>
        <charset val="1"/>
      </rPr>
      <t xml:space="preserve">257/2025 BT</t>
    </r>
    <r>
      <rPr>
        <sz val="9"/>
        <color rgb="FF000000"/>
        <rFont val="Noto Sans CJK SC"/>
        <family val="2"/>
      </rPr>
      <t xml:space="preserve">合約、</t>
    </r>
    <r>
      <rPr>
        <sz val="9"/>
        <color rgb="FF000000"/>
        <rFont val="微軟正黑體"/>
        <family val="0"/>
        <charset val="1"/>
      </rPr>
      <t xml:space="preserve">19/2026</t>
    </r>
    <r>
      <rPr>
        <sz val="9"/>
        <color rgb="FF000000"/>
        <rFont val="Noto Sans CJK SC"/>
        <family val="2"/>
      </rPr>
      <t xml:space="preserve">重點專案審定）；醫療</t>
    </r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門檻在新體系下的條文位置待查。案例面：河內</t>
    </r>
    <r>
      <rPr>
        <sz val="9"/>
        <color rgb="FF000000"/>
        <rFont val="微軟正黑體"/>
        <family val="0"/>
        <charset val="1"/>
      </rPr>
      <t xml:space="preserve">2026-08-10</t>
    </r>
    <r>
      <rPr>
        <sz val="9"/>
        <color rgb="FF000000"/>
        <rFont val="Noto Sans CJK SC"/>
        <family val="2"/>
      </rPr>
      <t xml:space="preserve">核准醫療綜合體</t>
    </r>
    <r>
      <rPr>
        <sz val="9"/>
        <color rgb="FF000000"/>
        <rFont val="微軟正黑體"/>
        <family val="0"/>
        <charset val="1"/>
      </rPr>
      <t xml:space="preserve">PPP-BT</t>
    </r>
    <r>
      <rPr>
        <sz val="9"/>
        <color rgb="FF000000"/>
        <rFont val="Noto Sans CJK SC"/>
        <family val="2"/>
      </rPr>
      <t xml:space="preserve">案（逾</t>
    </r>
    <r>
      <rPr>
        <sz val="9"/>
        <color rgb="FF000000"/>
        <rFont val="微軟正黑體"/>
        <family val="0"/>
        <charset val="1"/>
      </rPr>
      <t xml:space="preserve">14.2</t>
    </r>
    <r>
      <rPr>
        <sz val="9"/>
        <color rgb="FF000000"/>
        <rFont val="Noto Sans CJK SC"/>
        <family val="2"/>
      </rPr>
      <t xml:space="preserve">兆越盾、</t>
    </r>
    <r>
      <rPr>
        <sz val="9"/>
        <color rgb="FF000000"/>
        <rFont val="微軟正黑體"/>
        <family val="0"/>
        <charset val="1"/>
      </rPr>
      <t xml:space="preserve">1,600</t>
    </r>
    <r>
      <rPr>
        <sz val="9"/>
        <color rgb="FF000000"/>
        <rFont val="Noto Sans CJK SC"/>
        <family val="2"/>
      </rPr>
      <t xml:space="preserve">床）——市場已從「僅</t>
    </r>
    <r>
      <rPr>
        <sz val="9"/>
        <color rgb="FF000000"/>
        <rFont val="微軟正黑體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案」進入新階段</t>
    </r>
  </si>
  <si>
    <r>
      <rPr>
        <sz val="9"/>
        <color rgb="FF000000"/>
        <rFont val="Noto Sans CJK SC"/>
        <family val="2"/>
      </rPr>
      <t xml:space="preserve">世銀</t>
    </r>
    <r>
      <rPr>
        <sz val="9"/>
        <color rgb="FF000000"/>
        <rFont val="微軟正黑體"/>
        <family val="0"/>
        <charset val="1"/>
      </rPr>
      <t xml:space="preserve">/ADB</t>
    </r>
    <r>
      <rPr>
        <sz val="9"/>
        <color rgb="FF000000"/>
        <rFont val="Noto Sans CJK SC"/>
        <family val="2"/>
      </rPr>
      <t xml:space="preserve">體系顧問、四大會計師事務所；越南健康</t>
    </r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全國僅</t>
    </r>
    <r>
      <rPr>
        <sz val="9"/>
        <color rgb="FF000000"/>
        <rFont val="微軟正黑體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案、無成熟本土顧問</t>
    </r>
  </si>
  <si>
    <r>
      <rPr>
        <sz val="9"/>
        <color rgb="FF000000"/>
        <rFont val="Noto Sans CJK SC"/>
        <family val="2"/>
      </rPr>
      <t xml:space="preserve">台灣醫院全生命週期實績＋願意當</t>
    </r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先行者（</t>
    </r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細則已改為 </t>
    </r>
    <r>
      <rPr>
        <sz val="9"/>
        <color rgb="FF000000"/>
        <rFont val="微軟正黑體"/>
        <family val="0"/>
        <charset val="1"/>
      </rPr>
      <t xml:space="preserve">Nghị định 243/2025 </t>
    </r>
    <r>
      <rPr>
        <sz val="9"/>
        <color rgb="FF000000"/>
        <rFont val="Noto Sans CJK SC"/>
        <family val="2"/>
      </rPr>
      <t xml:space="preserve">體系）</t>
    </r>
  </si>
  <si>
    <r>
      <rPr>
        <b val="true"/>
        <sz val="9"/>
        <color rgb="FFFFFFFF"/>
        <rFont val="Microsoft JhengHei"/>
        <family val="0"/>
        <charset val="1"/>
      </rPr>
      <t xml:space="preserve">G </t>
    </r>
    <r>
      <rPr>
        <b val="true"/>
        <sz val="9"/>
        <color rgb="FFFFFFFF"/>
        <rFont val="Noto Sans CJK SC"/>
        <family val="2"/>
      </rPr>
      <t xml:space="preserve">治理合規層（跨層）</t>
    </r>
  </si>
  <si>
    <r>
      <rPr>
        <sz val="9"/>
        <rFont val="Noto Sans CJK SC"/>
        <family val="2"/>
      </rPr>
      <t xml:space="preserve">修正</t>
    </r>
    <r>
      <rPr>
        <sz val="9"/>
        <rFont val="Microsoft JhengHei"/>
        <family val="0"/>
        <charset val="1"/>
      </rPr>
      <t xml:space="preserve">note</t>
    </r>
    <r>
      <rPr>
        <sz val="9"/>
        <rFont val="Noto Sans CJK SC"/>
        <family val="2"/>
      </rPr>
      <t xml:space="preserve">：門檻取消的法源是</t>
    </r>
    <r>
      <rPr>
        <sz val="9"/>
        <rFont val="Microsoft JhengHei"/>
        <family val="0"/>
        <charset val="1"/>
      </rPr>
      <t xml:space="preserve">Law 57/2024</t>
    </r>
    <r>
      <rPr>
        <sz val="9"/>
        <rFont val="Noto Sans CJK SC"/>
        <family val="2"/>
      </rPr>
      <t xml:space="preserve">修法（</t>
    </r>
    <r>
      <rPr>
        <sz val="9"/>
        <rFont val="Microsoft JhengHei"/>
        <family val="0"/>
        <charset val="1"/>
      </rPr>
      <t xml:space="preserve">2025-01-15</t>
    </r>
    <r>
      <rPr>
        <sz val="9"/>
        <rFont val="Noto Sans CJK SC"/>
        <family val="2"/>
      </rPr>
      <t xml:space="preserve">生效）；</t>
    </r>
    <r>
      <rPr>
        <sz val="9"/>
        <rFont val="Microsoft JhengHei"/>
        <family val="0"/>
        <charset val="1"/>
      </rPr>
      <t xml:space="preserve">Decree 71/2025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2025-03-28</t>
    </r>
    <r>
      <rPr>
        <sz val="9"/>
        <rFont val="Noto Sans CJK SC"/>
        <family val="2"/>
      </rPr>
      <t xml:space="preserve">生效）⚠已被 </t>
    </r>
    <r>
      <rPr>
        <sz val="9"/>
        <rFont val="Microsoft JhengHei"/>
        <family val="0"/>
        <charset val="1"/>
      </rPr>
      <t xml:space="preserve">Nghị định 243/2025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2025-09-11</t>
    </r>
    <r>
      <rPr>
        <sz val="9"/>
        <rFont val="Noto Sans CJK SC"/>
        <family val="2"/>
      </rPr>
      <t xml:space="preserve">生效）第</t>
    </r>
    <r>
      <rPr>
        <sz val="9"/>
        <rFont val="Microsoft JhengHei"/>
        <family val="0"/>
        <charset val="1"/>
      </rPr>
      <t xml:space="preserve">81</t>
    </r>
    <r>
      <rPr>
        <sz val="9"/>
        <rFont val="Noto Sans CJK SC"/>
        <family val="2"/>
      </rPr>
      <t xml:space="preserve">條全部廢止，引用時務必改用</t>
    </r>
    <r>
      <rPr>
        <sz val="9"/>
        <rFont val="Microsoft JhengHei"/>
        <family val="0"/>
        <charset val="1"/>
      </rPr>
      <t xml:space="preserve">243/2025</t>
    </r>
    <r>
      <rPr>
        <sz val="9"/>
        <rFont val="Noto Sans CJK SC"/>
        <family val="2"/>
      </rPr>
      <t xml:space="preserve">體系。「全國健康</t>
    </r>
    <r>
      <rPr>
        <sz val="9"/>
        <rFont val="Microsoft JhengHei"/>
        <family val="0"/>
        <charset val="1"/>
      </rPr>
      <t xml:space="preserve">PPP</t>
    </r>
    <r>
      <rPr>
        <sz val="9"/>
        <rFont val="Noto Sans CJK SC"/>
        <family val="2"/>
      </rPr>
      <t xml:space="preserve">僅</t>
    </r>
    <r>
      <rPr>
        <sz val="9"/>
        <rFont val="Microsoft JhengHei"/>
        <family val="0"/>
        <charset val="1"/>
      </rPr>
      <t xml:space="preserve">2</t>
    </r>
    <r>
      <rPr>
        <sz val="9"/>
        <rFont val="Noto Sans CJK SC"/>
        <family val="2"/>
      </rPr>
      <t xml:space="preserve">案（安沛、峴港）」為</t>
    </r>
    <r>
      <rPr>
        <sz val="9"/>
        <rFont val="Microsoft JhengHei"/>
        <family val="0"/>
        <charset val="1"/>
      </rPr>
      <t xml:space="preserve">2024-08</t>
    </r>
    <r>
      <rPr>
        <sz val="9"/>
        <rFont val="Noto Sans CJK SC"/>
        <family val="2"/>
      </rPr>
      <t xml:space="preserve">官方數據、</t>
    </r>
    <r>
      <rPr>
        <sz val="9"/>
        <rFont val="Microsoft JhengHei"/>
        <family val="0"/>
        <charset val="1"/>
      </rPr>
      <t xml:space="preserve">2026</t>
    </r>
    <r>
      <rPr>
        <sz val="9"/>
        <rFont val="Noto Sans CJK SC"/>
        <family val="2"/>
      </rPr>
      <t xml:space="preserve">年未見官方重申；新增大案：河內市人民議會</t>
    </r>
    <r>
      <rPr>
        <sz val="9"/>
        <rFont val="Microsoft JhengHei"/>
        <family val="0"/>
        <charset val="1"/>
      </rPr>
      <t xml:space="preserve">2026-08-10</t>
    </r>
    <r>
      <rPr>
        <sz val="9"/>
        <rFont val="Noto Sans CJK SC"/>
        <family val="2"/>
      </rPr>
      <t xml:space="preserve">核准「醫療綜合體－高齡者照護－河內醫科大學」</t>
    </r>
    <r>
      <rPr>
        <sz val="9"/>
        <rFont val="Microsoft JhengHei"/>
        <family val="0"/>
        <charset val="1"/>
      </rPr>
      <t xml:space="preserve">PPP-BT</t>
    </r>
    <r>
      <rPr>
        <sz val="9"/>
        <rFont val="Noto Sans CJK SC"/>
        <family val="2"/>
      </rPr>
      <t xml:space="preserve">案，總投資逾</t>
    </r>
    <r>
      <rPr>
        <sz val="9"/>
        <rFont val="Microsoft JhengHei"/>
        <family val="0"/>
        <charset val="1"/>
      </rPr>
      <t xml:space="preserve">14.2</t>
    </r>
    <r>
      <rPr>
        <sz val="9"/>
        <rFont val="Noto Sans CJK SC"/>
        <family val="2"/>
      </rPr>
      <t xml:space="preserve">兆越盾、含</t>
    </r>
    <r>
      <rPr>
        <sz val="9"/>
        <rFont val="Microsoft JhengHei"/>
        <family val="0"/>
        <charset val="1"/>
      </rPr>
      <t xml:space="preserve">1,600</t>
    </r>
    <r>
      <rPr>
        <sz val="9"/>
        <rFont val="Noto Sans CJK SC"/>
        <family val="2"/>
      </rPr>
      <t xml:space="preserve">床教學醫院。衛生部醫療</t>
    </r>
    <r>
      <rPr>
        <sz val="9"/>
        <rFont val="Microsoft JhengHei"/>
        <family val="0"/>
        <charset val="1"/>
      </rPr>
      <t xml:space="preserve">PPP</t>
    </r>
    <r>
      <rPr>
        <sz val="9"/>
        <rFont val="Noto Sans CJK SC"/>
        <family val="2"/>
      </rPr>
      <t xml:space="preserve">指引通知自</t>
    </r>
    <r>
      <rPr>
        <sz val="9"/>
        <rFont val="Microsoft JhengHei"/>
        <family val="0"/>
        <charset val="1"/>
      </rPr>
      <t xml:space="preserve">2024-06</t>
    </r>
    <r>
      <rPr>
        <sz val="9"/>
        <rFont val="Noto Sans CJK SC"/>
        <family val="2"/>
      </rPr>
      <t xml:space="preserve">徵詢至今仍為草案。</t>
    </r>
  </si>
  <si>
    <t xml:space="preserve">A</t>
  </si>
  <si>
    <r>
      <rPr>
        <sz val="9"/>
        <rFont val="Microsoft JhengHei"/>
        <family val="0"/>
        <charset val="1"/>
      </rPr>
      <t xml:space="preserve">Law 57/2024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2025-01</t>
    </r>
    <r>
      <rPr>
        <sz val="9"/>
        <rFont val="Noto Sans CJK SC"/>
        <family val="2"/>
      </rPr>
      <t xml:space="preserve">生效）取消</t>
    </r>
    <r>
      <rPr>
        <sz val="9"/>
        <rFont val="Microsoft JhengHei"/>
        <family val="0"/>
        <charset val="1"/>
      </rPr>
      <t xml:space="preserve">PPP</t>
    </r>
    <r>
      <rPr>
        <sz val="9"/>
        <rFont val="Noto Sans CJK SC"/>
        <family val="2"/>
      </rPr>
      <t xml:space="preserve">投資門檻、恢復</t>
    </r>
    <r>
      <rPr>
        <sz val="9"/>
        <rFont val="Microsoft JhengHei"/>
        <family val="0"/>
        <charset val="1"/>
      </rPr>
      <t xml:space="preserve">BT</t>
    </r>
    <r>
      <rPr>
        <sz val="9"/>
        <rFont val="Noto Sans CJK SC"/>
        <family val="2"/>
      </rPr>
      <t xml:space="preserve">模式；</t>
    </r>
    <r>
      <rPr>
        <sz val="9"/>
        <rFont val="Microsoft JhengHei"/>
        <family val="0"/>
        <charset val="1"/>
      </rPr>
      <t xml:space="preserve">Decree 71/2025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2025-03-28</t>
    </r>
    <r>
      <rPr>
        <sz val="9"/>
        <rFont val="Noto Sans CJK SC"/>
        <family val="2"/>
      </rPr>
      <t xml:space="preserve">生效）刪除細則限制、招標縮至</t>
    </r>
    <r>
      <rPr>
        <sz val="9"/>
        <rFont val="Microsoft JhengHei"/>
        <family val="0"/>
        <charset val="1"/>
      </rPr>
      <t xml:space="preserve">10-60</t>
    </r>
    <r>
      <rPr>
        <sz val="9"/>
        <rFont val="Noto Sans CJK SC"/>
        <family val="2"/>
      </rPr>
      <t xml:space="preserve">天，⚠但已被</t>
    </r>
    <r>
      <rPr>
        <sz val="9"/>
        <rFont val="Microsoft JhengHei"/>
        <family val="0"/>
        <charset val="1"/>
      </rPr>
      <t xml:space="preserve">Nghị định 243/2025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2025-09-11</t>
    </r>
    <r>
      <rPr>
        <sz val="9"/>
        <rFont val="Noto Sans CJK SC"/>
        <family val="2"/>
      </rPr>
      <t xml:space="preserve">）全部廢止。健康</t>
    </r>
    <r>
      <rPr>
        <sz val="9"/>
        <rFont val="Microsoft JhengHei"/>
        <family val="0"/>
        <charset val="1"/>
      </rPr>
      <t xml:space="preserve">PPP</t>
    </r>
    <r>
      <rPr>
        <sz val="9"/>
        <rFont val="Noto Sans CJK SC"/>
        <family val="2"/>
      </rPr>
      <t xml:space="preserve">原僅</t>
    </r>
    <r>
      <rPr>
        <sz val="9"/>
        <rFont val="Microsoft JhengHei"/>
        <family val="0"/>
        <charset val="1"/>
      </rPr>
      <t xml:space="preserve">2</t>
    </r>
    <r>
      <rPr>
        <sz val="9"/>
        <rFont val="Noto Sans CJK SC"/>
        <family val="2"/>
      </rPr>
      <t xml:space="preserve">案（安沛、峴港），</t>
    </r>
    <r>
      <rPr>
        <sz val="9"/>
        <rFont val="Microsoft JhengHei"/>
        <family val="0"/>
        <charset val="1"/>
      </rPr>
      <t xml:space="preserve">2026-08-10</t>
    </r>
    <r>
      <rPr>
        <sz val="9"/>
        <rFont val="Noto Sans CJK SC"/>
        <family val="2"/>
      </rPr>
      <t xml:space="preserve">河內核准逾</t>
    </r>
    <r>
      <rPr>
        <sz val="9"/>
        <rFont val="Microsoft JhengHei"/>
        <family val="0"/>
        <charset val="1"/>
      </rPr>
      <t xml:space="preserve">14.2</t>
    </r>
    <r>
      <rPr>
        <sz val="9"/>
        <rFont val="Noto Sans CJK SC"/>
        <family val="2"/>
      </rPr>
      <t xml:space="preserve">兆越盾醫療綜合體</t>
    </r>
    <r>
      <rPr>
        <sz val="9"/>
        <rFont val="Microsoft JhengHei"/>
        <family val="0"/>
        <charset val="1"/>
      </rPr>
      <t xml:space="preserve">PPP-BT</t>
    </r>
    <r>
      <rPr>
        <sz val="9"/>
        <rFont val="Noto Sans CJK SC"/>
        <family val="2"/>
      </rPr>
      <t xml:space="preserve">案。外資交易熱：</t>
    </r>
    <r>
      <rPr>
        <sz val="9"/>
        <rFont val="Microsoft JhengHei"/>
        <family val="0"/>
        <charset val="1"/>
      </rPr>
      <t xml:space="preserve">Thomson</t>
    </r>
    <r>
      <rPr>
        <sz val="9"/>
        <rFont val="Noto Sans CJK SC"/>
        <family val="2"/>
      </rPr>
      <t xml:space="preserve">收購</t>
    </r>
    <r>
      <rPr>
        <sz val="9"/>
        <rFont val="Microsoft JhengHei"/>
        <family val="0"/>
        <charset val="1"/>
      </rPr>
      <t xml:space="preserve">FV</t>
    </r>
    <r>
      <rPr>
        <sz val="9"/>
        <rFont val="Noto Sans CJK SC"/>
        <family val="2"/>
      </rPr>
      <t xml:space="preserve">醫院</t>
    </r>
    <r>
      <rPr>
        <sz val="9"/>
        <rFont val="Microsoft JhengHei"/>
        <family val="0"/>
        <charset val="1"/>
      </rPr>
      <t xml:space="preserve">3.81</t>
    </r>
    <r>
      <rPr>
        <sz val="9"/>
        <rFont val="Noto Sans CJK SC"/>
        <family val="2"/>
      </rPr>
      <t xml:space="preserve">億美元（越南史上最大醫療交易）、</t>
    </r>
    <r>
      <rPr>
        <sz val="9"/>
        <rFont val="Microsoft JhengHei"/>
        <family val="0"/>
        <charset val="1"/>
      </rPr>
      <t xml:space="preserve">Raffles</t>
    </r>
    <r>
      <rPr>
        <sz val="9"/>
        <rFont val="Noto Sans CJK SC"/>
        <family val="2"/>
      </rPr>
      <t xml:space="preserve">收購</t>
    </r>
    <r>
      <rPr>
        <sz val="9"/>
        <rFont val="Microsoft JhengHei"/>
        <family val="0"/>
        <charset val="1"/>
      </rPr>
      <t xml:space="preserve">AIH</t>
    </r>
    <r>
      <rPr>
        <sz val="9"/>
        <rFont val="Noto Sans CJK SC"/>
        <family val="2"/>
      </rPr>
      <t xml:space="preserve">。外資可</t>
    </r>
    <r>
      <rPr>
        <sz val="9"/>
        <rFont val="Microsoft JhengHei"/>
        <family val="0"/>
        <charset val="1"/>
      </rPr>
      <t xml:space="preserve">100%</t>
    </r>
    <r>
      <rPr>
        <sz val="9"/>
        <rFont val="Noto Sans CJK SC"/>
        <family val="2"/>
      </rPr>
      <t xml:space="preserve">持有醫院，門檻</t>
    </r>
    <r>
      <rPr>
        <sz val="9"/>
        <rFont val="Microsoft JhengHei"/>
        <family val="0"/>
        <charset val="1"/>
      </rPr>
      <t xml:space="preserve">2,000</t>
    </r>
    <r>
      <rPr>
        <sz val="9"/>
        <rFont val="Noto Sans CJK SC"/>
        <family val="2"/>
      </rPr>
      <t xml:space="preserve">萬美元。</t>
    </r>
  </si>
  <si>
    <t xml:space="preserve">OPP-02</t>
  </si>
  <si>
    <t xml:space="preserve">臨床服務定位與營運模式規劃</t>
  </si>
  <si>
    <t xml:space="preserve">Clinical Service Model &amp; Operations Planning</t>
  </si>
  <si>
    <t xml:space="preserve">決定這家醫院要看什麼病、開幾床、病人怎麼走；後面所有採購金額都由它決定</t>
  </si>
  <si>
    <t xml:space="preserve">G1</t>
  </si>
  <si>
    <r>
      <rPr>
        <sz val="9"/>
        <color rgb="FF000000"/>
        <rFont val="Noto Sans CJK SC"/>
        <family val="2"/>
      </rPr>
      <t xml:space="preserve">醫院業主資本支出</t>
    </r>
    <r>
      <rPr>
        <sz val="9"/>
        <color rgb="FF000000"/>
        <rFont val="微軟正黑體"/>
        <family val="0"/>
        <charset val="1"/>
      </rPr>
      <t xml:space="preserve">(CAPEX)</t>
    </r>
  </si>
  <si>
    <t xml:space="preserve">100K-500K USD</t>
  </si>
  <si>
    <t xml:space="preserve">Clinical Planner</t>
  </si>
  <si>
    <r>
      <rPr>
        <sz val="9"/>
        <color rgb="FF000000"/>
        <rFont val="Noto Sans CJK SC"/>
        <family val="2"/>
      </rPr>
      <t xml:space="preserve">河內／胡志明市公立醫院使用率超過設計量能</t>
    </r>
    <r>
      <rPr>
        <sz val="9"/>
        <color rgb="FF000000"/>
        <rFont val="微軟正黑體"/>
        <family val="0"/>
        <charset val="1"/>
      </rPr>
      <t xml:space="preserve">200%</t>
    </r>
    <r>
      <rPr>
        <sz val="9"/>
        <color rgb="FF000000"/>
        <rFont val="Noto Sans CJK SC"/>
        <family val="2"/>
      </rPr>
      <t xml:space="preserve">，服務組合與分流設計是真正的痛點</t>
    </r>
  </si>
  <si>
    <t xml:space="preserve">國際醫管顧問零星進場；公立醫院多自行規劃</t>
  </si>
  <si>
    <t xml:space="preserve">台灣參考醫院的真實營運數據在地化，不是紙上模型</t>
  </si>
  <si>
    <r>
      <rPr>
        <sz val="9"/>
        <rFont val="Noto Sans CJK SC"/>
        <family val="2"/>
      </rPr>
      <t xml:space="preserve">（本項無專屬發現——見同列右方的家族／領域趨勢，或 </t>
    </r>
    <r>
      <rPr>
        <sz val="9"/>
        <rFont val="Microsoft JhengHei"/>
        <family val="0"/>
        <charset val="1"/>
      </rPr>
      <t xml:space="preserve">19</t>
    </r>
    <r>
      <rPr>
        <sz val="9"/>
        <rFont val="Noto Sans CJK SC"/>
        <family val="2"/>
      </rPr>
      <t xml:space="preserve">／</t>
    </r>
    <r>
      <rPr>
        <sz val="9"/>
        <rFont val="Microsoft JhengHei"/>
        <family val="0"/>
        <charset val="1"/>
      </rPr>
      <t xml:space="preserve">20 </t>
    </r>
    <r>
      <rPr>
        <sz val="9"/>
        <rFont val="Noto Sans CJK SC"/>
        <family val="2"/>
      </rPr>
      <t xml:space="preserve">分頁）</t>
    </r>
  </si>
  <si>
    <t xml:space="preserve">B</t>
  </si>
  <si>
    <t xml:space="preserve">OPP-03</t>
  </si>
  <si>
    <t xml:space="preserve">外資醫院綠地投資與經營</t>
  </si>
  <si>
    <t xml:space="preserve">Foreign-invested Greenfield Hospital</t>
  </si>
  <si>
    <t xml:space="preserve">自己蓋、自己開一家醫院，賺中產階級自費與商業保險；也接回每年赴海外就醫的病人</t>
  </si>
  <si>
    <t xml:space="preserve">民間投資方／基金</t>
  </si>
  <si>
    <t xml:space="preserve">民營醫院投資</t>
  </si>
  <si>
    <t xml:space="preserve">&gt;10M USD</t>
  </si>
  <si>
    <t xml:space="preserve">Commercial Director</t>
  </si>
  <si>
    <r>
      <rPr>
        <sz val="9"/>
        <color rgb="FF000000"/>
        <rFont val="Noto Sans CJK SC"/>
        <family val="2"/>
      </rPr>
      <t xml:space="preserve">外資醫院最低註冊資本</t>
    </r>
    <r>
      <rPr>
        <sz val="9"/>
        <color rgb="FF000000"/>
        <rFont val="微軟正黑體"/>
        <family val="0"/>
        <charset val="1"/>
      </rPr>
      <t xml:space="preserve">US$20m</t>
    </r>
    <r>
      <rPr>
        <sz val="9"/>
        <color rgb="FF000000"/>
        <rFont val="Noto Sans CJK SC"/>
        <family val="2"/>
      </rPr>
      <t xml:space="preserve">、每床樓地板</t>
    </r>
    <r>
      <rPr>
        <sz val="9"/>
        <color rgb="FF000000"/>
        <rFont val="微軟正黑體"/>
        <family val="0"/>
        <charset val="1"/>
      </rPr>
      <t xml:space="preserve">50</t>
    </r>
    <r>
      <rPr>
        <sz val="9"/>
        <color rgb="FF000000"/>
        <rFont val="Noto Sans CJK SC"/>
        <family val="2"/>
      </rPr>
      <t xml:space="preserve">㎡；私立僅占</t>
    </r>
    <r>
      <rPr>
        <sz val="9"/>
        <color rgb="FF000000"/>
        <rFont val="微軟正黑體"/>
        <family val="0"/>
        <charset val="1"/>
      </rPr>
      <t xml:space="preserve">5.8%</t>
    </r>
    <r>
      <rPr>
        <sz val="9"/>
        <color rgb="FF000000"/>
        <rFont val="Noto Sans CJK SC"/>
        <family val="2"/>
      </rPr>
      <t xml:space="preserve">床數，政策目標</t>
    </r>
    <r>
      <rPr>
        <sz val="9"/>
        <color rgb="FF000000"/>
        <rFont val="微軟正黑體"/>
        <family val="0"/>
        <charset val="1"/>
      </rPr>
      <t xml:space="preserve">2030</t>
    </r>
    <r>
      <rPr>
        <sz val="9"/>
        <color rgb="FF000000"/>
        <rFont val="Noto Sans CJK SC"/>
        <family val="2"/>
      </rPr>
      <t xml:space="preserve">年</t>
    </r>
    <r>
      <rPr>
        <sz val="9"/>
        <color rgb="FF000000"/>
        <rFont val="微軟正黑體"/>
        <family val="0"/>
        <charset val="1"/>
      </rPr>
      <t xml:space="preserve">15%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2050</t>
    </r>
    <r>
      <rPr>
        <sz val="9"/>
        <color rgb="FF000000"/>
        <rFont val="Noto Sans CJK SC"/>
        <family val="2"/>
      </rPr>
      <t xml:space="preserve">年</t>
    </r>
    <r>
      <rPr>
        <sz val="9"/>
        <color rgb="FF000000"/>
        <rFont val="微軟正黑體"/>
        <family val="0"/>
        <charset val="1"/>
      </rPr>
      <t xml:space="preserve">25%</t>
    </r>
  </si>
  <si>
    <r>
      <rPr>
        <sz val="9"/>
        <color rgb="FF000000"/>
        <rFont val="微軟正黑體"/>
        <family val="0"/>
        <charset val="1"/>
      </rPr>
      <t xml:space="preserve">Vinmec(9</t>
    </r>
    <r>
      <rPr>
        <sz val="9"/>
        <color rgb="FF000000"/>
        <rFont val="Noto Sans CJK SC"/>
        <family val="2"/>
      </rPr>
      <t xml:space="preserve">院</t>
    </r>
    <r>
      <rPr>
        <sz val="9"/>
        <color rgb="FF000000"/>
        <rFont val="微軟正黑體"/>
        <family val="0"/>
        <charset val="1"/>
      </rPr>
      <t xml:space="preserve">)/Hoan My/Tam Anh </t>
    </r>
    <r>
      <rPr>
        <sz val="9"/>
        <color rgb="FF000000"/>
        <rFont val="Noto Sans CJK SC"/>
        <family val="2"/>
      </rPr>
      <t xml:space="preserve">連鎖擴張；</t>
    </r>
    <r>
      <rPr>
        <sz val="9"/>
        <color rgb="FF000000"/>
        <rFont val="微軟正黑體"/>
        <family val="0"/>
        <charset val="1"/>
      </rPr>
      <t xml:space="preserve">FV </t>
    </r>
    <r>
      <rPr>
        <sz val="9"/>
        <color rgb="FF000000"/>
        <rFont val="Noto Sans CJK SC"/>
        <family val="2"/>
      </rPr>
      <t xml:space="preserve">已被 </t>
    </r>
    <r>
      <rPr>
        <sz val="9"/>
        <color rgb="FF000000"/>
        <rFont val="微軟正黑體"/>
        <family val="0"/>
        <charset val="1"/>
      </rPr>
      <t xml:space="preserve">Thomson Medical </t>
    </r>
    <r>
      <rPr>
        <sz val="9"/>
        <color rgb="FF000000"/>
        <rFont val="Noto Sans CJK SC"/>
        <family val="2"/>
      </rPr>
      <t xml:space="preserve">以約</t>
    </r>
    <r>
      <rPr>
        <sz val="9"/>
        <color rgb="FF000000"/>
        <rFont val="微軟正黑體"/>
        <family val="0"/>
        <charset val="1"/>
      </rPr>
      <t xml:space="preserve">US$3.8</t>
    </r>
    <r>
      <rPr>
        <sz val="9"/>
        <color rgb="FF000000"/>
        <rFont val="Noto Sans CJK SC"/>
        <family val="2"/>
      </rPr>
      <t xml:space="preserve">億收購</t>
    </r>
  </si>
  <si>
    <t xml:space="preserve">不與連鎖拚規模，聚焦專科旗艦＋台灣醫療品牌接外流病人</t>
  </si>
  <si>
    <r>
      <rPr>
        <b val="true"/>
        <sz val="9"/>
        <color rgb="FFFFFFFF"/>
        <rFont val="Microsoft JhengHei"/>
        <family val="0"/>
        <charset val="1"/>
      </rPr>
      <t xml:space="preserve">L7 </t>
    </r>
    <r>
      <rPr>
        <b val="true"/>
        <sz val="9"/>
        <color rgb="FFFFFFFF"/>
        <rFont val="Noto Sans CJK SC"/>
        <family val="2"/>
      </rPr>
      <t xml:space="preserve">商模金流層</t>
    </r>
  </si>
  <si>
    <r>
      <rPr>
        <sz val="9"/>
        <rFont val="Microsoft JhengHei"/>
        <family val="0"/>
        <charset val="1"/>
      </rPr>
      <t xml:space="preserve">WTO</t>
    </r>
    <r>
      <rPr>
        <sz val="9"/>
        <rFont val="Noto Sans CJK SC"/>
        <family val="2"/>
      </rPr>
      <t xml:space="preserve">承諾允許</t>
    </r>
    <r>
      <rPr>
        <sz val="9"/>
        <rFont val="Microsoft JhengHei"/>
        <family val="0"/>
        <charset val="1"/>
      </rPr>
      <t xml:space="preserve">100%</t>
    </r>
    <r>
      <rPr>
        <sz val="9"/>
        <rFont val="Noto Sans CJK SC"/>
        <family val="2"/>
      </rPr>
      <t xml:space="preserve">外資醫院；醫院最低投資</t>
    </r>
    <r>
      <rPr>
        <sz val="9"/>
        <rFont val="Microsoft JhengHei"/>
        <family val="0"/>
        <charset val="1"/>
      </rPr>
      <t xml:space="preserve">2,000</t>
    </r>
    <r>
      <rPr>
        <sz val="9"/>
        <rFont val="Noto Sans CJK SC"/>
        <family val="2"/>
      </rPr>
      <t xml:space="preserve">萬美元、綜合門診</t>
    </r>
    <r>
      <rPr>
        <sz val="9"/>
        <rFont val="Microsoft JhengHei"/>
        <family val="0"/>
        <charset val="1"/>
      </rPr>
      <t xml:space="preserve">200</t>
    </r>
    <r>
      <rPr>
        <sz val="9"/>
        <rFont val="Noto Sans CJK SC"/>
        <family val="2"/>
      </rPr>
      <t xml:space="preserve">萬、專科</t>
    </r>
    <r>
      <rPr>
        <sz val="9"/>
        <rFont val="Microsoft JhengHei"/>
        <family val="0"/>
        <charset val="1"/>
      </rPr>
      <t xml:space="preserve">20</t>
    </r>
    <r>
      <rPr>
        <sz val="9"/>
        <rFont val="Noto Sans CJK SC"/>
        <family val="2"/>
      </rPr>
      <t xml:space="preserve">萬。</t>
    </r>
    <r>
      <rPr>
        <sz val="9"/>
        <rFont val="Microsoft JhengHei"/>
        <family val="0"/>
        <charset val="1"/>
      </rPr>
      <t xml:space="preserve">Thomson/FV</t>
    </r>
    <r>
      <rPr>
        <sz val="9"/>
        <rFont val="Noto Sans CJK SC"/>
        <family val="2"/>
      </rPr>
      <t xml:space="preserve">案（</t>
    </r>
    <r>
      <rPr>
        <sz val="9"/>
        <rFont val="Microsoft JhengHei"/>
        <family val="0"/>
        <charset val="1"/>
      </rPr>
      <t xml:space="preserve">3.81</t>
    </r>
    <r>
      <rPr>
        <sz val="9"/>
        <rFont val="Noto Sans CJK SC"/>
        <family val="2"/>
      </rPr>
      <t xml:space="preserve">億美元、</t>
    </r>
    <r>
      <rPr>
        <sz val="9"/>
        <rFont val="Microsoft JhengHei"/>
        <family val="0"/>
        <charset val="1"/>
      </rPr>
      <t xml:space="preserve">16.8×EBITDA</t>
    </r>
    <r>
      <rPr>
        <sz val="9"/>
        <rFont val="Noto Sans CJK SC"/>
        <family val="2"/>
      </rPr>
      <t xml:space="preserve">）為估值標竿。</t>
    </r>
  </si>
  <si>
    <t xml:space="preserve">OPP-04</t>
  </si>
  <si>
    <t xml:space="preserve">公立醫院合作經營高端診區</t>
  </si>
  <si>
    <t xml:space="preserve">Public-hospital Premium Wing (BCC/JV)</t>
  </si>
  <si>
    <t xml:space="preserve">出資在公立醫院裡蓋一個高階門診／影像／腫瘤診區，跟院方分帳；病人自費與商業保險付錢</t>
  </si>
  <si>
    <t xml:space="preserve">G2</t>
  </si>
  <si>
    <t xml:space="preserve">共址合資</t>
  </si>
  <si>
    <t xml:space="preserve">2M-10M USD</t>
  </si>
  <si>
    <t xml:space="preserve">需組合</t>
  </si>
  <si>
    <t xml:space="preserve">Commercial Lead</t>
  </si>
  <si>
    <t xml:space="preserve">越南稱「社會化」，是最快取得公立醫院病人量的路徑，但法律灰帶大，合規設計要先做</t>
  </si>
  <si>
    <t xml:space="preserve">（待調查）</t>
  </si>
  <si>
    <t xml:space="preserve">OPP-05</t>
  </si>
  <si>
    <t xml:space="preserve">省級醫院升級改造整案</t>
  </si>
  <si>
    <t xml:space="preserve">Provincial Hospital Upgrade Programme</t>
  </si>
  <si>
    <r>
      <rPr>
        <sz val="9"/>
        <color rgb="FF000000"/>
        <rFont val="Noto Sans CJK SC"/>
        <family val="2"/>
      </rPr>
      <t xml:space="preserve">把老舊的省級醫院手術室、</t>
    </r>
    <r>
      <rPr>
        <sz val="9"/>
        <color rgb="FF000000"/>
        <rFont val="微軟正黑體"/>
        <family val="0"/>
        <charset val="1"/>
      </rPr>
      <t xml:space="preserve">ICU</t>
    </r>
    <r>
      <rPr>
        <sz val="9"/>
        <color rgb="FF000000"/>
        <rFont val="Noto Sans CJK SC"/>
        <family val="2"/>
      </rPr>
      <t xml:space="preserve">、影像區整區翻新再配設備；省預算＋中央專項計畫付錢</t>
    </r>
  </si>
  <si>
    <t xml:space="preserve">① 已成熟：在地已有供應商</t>
  </si>
  <si>
    <t xml:space="preserve">省級衛生局預算</t>
  </si>
  <si>
    <t xml:space="preserve">政府採購</t>
  </si>
  <si>
    <t xml:space="preserve">Healthcare Architect</t>
  </si>
  <si>
    <r>
      <rPr>
        <sz val="9"/>
        <color rgb="FF000000"/>
        <rFont val="微軟正黑體"/>
        <family val="0"/>
        <charset val="1"/>
      </rPr>
      <t xml:space="preserve">60</t>
    </r>
    <r>
      <rPr>
        <sz val="9"/>
        <color rgb="FF000000"/>
        <rFont val="Noto Sans CJK SC"/>
        <family val="2"/>
      </rPr>
      <t xml:space="preserve">多個省、標案流量穩定，但目前多由在地與中韓廠商拿下，價格競爭激烈</t>
    </r>
  </si>
  <si>
    <r>
      <rPr>
        <sz val="9"/>
        <color rgb="FF000000"/>
        <rFont val="Noto Sans CJK SC"/>
        <family val="2"/>
      </rPr>
      <t xml:space="preserve">省級標案多由在地與中韓 </t>
    </r>
    <r>
      <rPr>
        <sz val="9"/>
        <color rgb="FF000000"/>
        <rFont val="微軟正黑體"/>
        <family val="0"/>
        <charset val="1"/>
      </rPr>
      <t xml:space="preserve">EPC </t>
    </r>
    <r>
      <rPr>
        <sz val="9"/>
        <color rgb="FF000000"/>
        <rFont val="Noto Sans CJK SC"/>
        <family val="2"/>
      </rPr>
      <t xml:space="preserve">低價取得</t>
    </r>
  </si>
  <si>
    <t xml:space="preserve">不拚土建低價，賣「機電＋驗證確效＋開院」整包品質</t>
  </si>
  <si>
    <r>
      <rPr>
        <b val="true"/>
        <sz val="9"/>
        <color rgb="FFFFFFFF"/>
        <rFont val="Microsoft JhengHei"/>
        <family val="0"/>
        <charset val="1"/>
      </rPr>
      <t xml:space="preserve">L1 </t>
    </r>
    <r>
      <rPr>
        <b val="true"/>
        <sz val="9"/>
        <color rgb="FFFFFFFF"/>
        <rFont val="Noto Sans CJK SC"/>
        <family val="2"/>
      </rPr>
      <t xml:space="preserve">實體基礎層</t>
    </r>
  </si>
  <si>
    <r>
      <rPr>
        <sz val="9"/>
        <rFont val="Noto Sans CJK SC"/>
        <family val="2"/>
      </rPr>
      <t xml:space="preserve">峴港</t>
    </r>
    <r>
      <rPr>
        <sz val="9"/>
        <rFont val="Microsoft JhengHei"/>
        <family val="0"/>
        <charset val="1"/>
      </rPr>
      <t xml:space="preserve">2021-25</t>
    </r>
    <r>
      <rPr>
        <sz val="9"/>
        <rFont val="Noto Sans CJK SC"/>
        <family val="2"/>
      </rPr>
      <t xml:space="preserve">規劃</t>
    </r>
    <r>
      <rPr>
        <sz val="9"/>
        <rFont val="Microsoft JhengHei"/>
        <family val="0"/>
        <charset val="1"/>
      </rPr>
      <t xml:space="preserve">7</t>
    </r>
    <r>
      <rPr>
        <sz val="9"/>
        <rFont val="Noto Sans CJK SC"/>
        <family val="2"/>
      </rPr>
      <t xml:space="preserve">醫院項目</t>
    </r>
    <r>
      <rPr>
        <sz val="9"/>
        <rFont val="Microsoft JhengHei"/>
        <family val="0"/>
        <charset val="1"/>
      </rPr>
      <t xml:space="preserve">13.6</t>
    </r>
    <r>
      <rPr>
        <sz val="9"/>
        <rFont val="Noto Sans CJK SC"/>
        <family val="2"/>
      </rPr>
      <t xml:space="preserve">兆越盾；白梅二院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越德二院各約</t>
    </r>
    <r>
      <rPr>
        <sz val="9"/>
        <rFont val="Microsoft JhengHei"/>
        <family val="0"/>
        <charset val="1"/>
      </rPr>
      <t xml:space="preserve">5,000</t>
    </r>
    <r>
      <rPr>
        <sz val="9"/>
        <rFont val="Noto Sans CJK SC"/>
        <family val="2"/>
      </rPr>
      <t xml:space="preserve">億越盾（約</t>
    </r>
    <r>
      <rPr>
        <sz val="9"/>
        <rFont val="Microsoft JhengHei"/>
        <family val="0"/>
        <charset val="1"/>
      </rPr>
      <t xml:space="preserve">1.9</t>
    </r>
    <r>
      <rPr>
        <sz val="9"/>
        <rFont val="Noto Sans CJK SC"/>
        <family val="2"/>
      </rPr>
      <t xml:space="preserve">億美元）、設計各</t>
    </r>
    <r>
      <rPr>
        <sz val="9"/>
        <rFont val="Microsoft JhengHei"/>
        <family val="0"/>
        <charset val="1"/>
      </rPr>
      <t xml:space="preserve">1,000</t>
    </r>
    <r>
      <rPr>
        <sz val="9"/>
        <rFont val="Noto Sans CJK SC"/>
        <family val="2"/>
      </rPr>
      <t xml:space="preserve">床，</t>
    </r>
    <r>
      <rPr>
        <sz val="9"/>
        <rFont val="Microsoft JhengHei"/>
        <family val="0"/>
        <charset val="1"/>
      </rPr>
      <t xml:space="preserve">2025-12-19</t>
    </r>
    <r>
      <rPr>
        <sz val="9"/>
        <rFont val="Noto Sans CJK SC"/>
        <family val="2"/>
      </rPr>
      <t xml:space="preserve">落成、</t>
    </r>
    <r>
      <rPr>
        <sz val="9"/>
        <rFont val="Microsoft JhengHei"/>
        <family val="0"/>
        <charset val="1"/>
      </rPr>
      <t xml:space="preserve">2026-06/07</t>
    </r>
    <r>
      <rPr>
        <sz val="9"/>
        <rFont val="Noto Sans CJK SC"/>
        <family val="2"/>
      </rPr>
      <t xml:space="preserve">分別收治病人；六大醫院升級國際水準列入</t>
    </r>
    <r>
      <rPr>
        <sz val="9"/>
        <rFont val="Microsoft JhengHei"/>
        <family val="0"/>
        <charset val="1"/>
      </rPr>
      <t xml:space="preserve">2021-2030</t>
    </r>
    <r>
      <rPr>
        <sz val="9"/>
        <rFont val="Noto Sans CJK SC"/>
        <family val="2"/>
      </rPr>
      <t xml:space="preserve">規劃。</t>
    </r>
  </si>
  <si>
    <t xml:space="preserve">OPP-06</t>
  </si>
  <si>
    <t xml:space="preserve">醫院建築與院區總體規劃設計</t>
  </si>
  <si>
    <t xml:space="preserve">Hospital Master Planning &amp; Design</t>
  </si>
  <si>
    <r>
      <rPr>
        <sz val="9"/>
        <color rgb="FF000000"/>
        <rFont val="微軟正黑體"/>
        <family val="0"/>
        <charset val="1"/>
      </rPr>
      <t xml:space="preserve">B </t>
    </r>
    <r>
      <rPr>
        <sz val="9"/>
        <color rgb="FF000000"/>
        <rFont val="Noto Sans CJK SC"/>
        <family val="2"/>
      </rPr>
      <t xml:space="preserve">建築工程與設施</t>
    </r>
  </si>
  <si>
    <t xml:space="preserve">院區配置、醫療功能空間與感染管制動線的規劃設計服務，是工程統包的前置設計費</t>
  </si>
  <si>
    <r>
      <rPr>
        <sz val="9"/>
        <color rgb="FF000000"/>
        <rFont val="Noto Sans CJK SC"/>
        <family val="2"/>
      </rPr>
      <t xml:space="preserve">須符合 </t>
    </r>
    <r>
      <rPr>
        <sz val="9"/>
        <color rgb="FF000000"/>
        <rFont val="微軟正黑體"/>
        <family val="0"/>
        <charset val="1"/>
      </rPr>
      <t xml:space="preserve">QCVN 01:2021/BXD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TCVN 5687:2024</t>
    </r>
    <r>
      <rPr>
        <sz val="9"/>
        <color rgb="FF000000"/>
        <rFont val="Noto Sans CJK SC"/>
        <family val="2"/>
      </rPr>
      <t xml:space="preserve">（手術室</t>
    </r>
    <r>
      <rPr>
        <sz val="9"/>
        <color rgb="FF000000"/>
        <rFont val="微軟正黑體"/>
        <family val="0"/>
        <charset val="1"/>
      </rPr>
      <t xml:space="preserve">&gt;36</t>
    </r>
    <r>
      <rPr>
        <sz val="9"/>
        <color rgb="FF000000"/>
        <rFont val="Noto Sans CJK SC"/>
        <family val="2"/>
      </rPr>
      <t xml:space="preserve">㎡、淨高</t>
    </r>
    <r>
      <rPr>
        <sz val="9"/>
        <color rgb="FF000000"/>
        <rFont val="微軟正黑體"/>
        <family val="0"/>
        <charset val="1"/>
      </rPr>
      <t xml:space="preserve">&gt;3.1m</t>
    </r>
    <r>
      <rPr>
        <sz val="9"/>
        <color rgb="FF000000"/>
        <rFont val="Noto Sans CJK SC"/>
        <family val="2"/>
      </rPr>
      <t xml:space="preserve">）與消防審查流程</t>
    </r>
  </si>
  <si>
    <t xml:space="preserve">國際醫療建築事務所＋越南在地設計院</t>
  </si>
  <si>
    <t xml:space="preserve">醫療機能規劃與感控動線的臨床輸入（台灣參考醫院背書）</t>
  </si>
  <si>
    <r>
      <rPr>
        <sz val="9"/>
        <rFont val="Noto Sans CJK SC"/>
        <family val="2"/>
      </rPr>
      <t xml:space="preserve">白梅二院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越德二院已投運：</t>
    </r>
    <r>
      <rPr>
        <sz val="9"/>
        <rFont val="Microsoft JhengHei"/>
        <family val="0"/>
        <charset val="1"/>
      </rPr>
      <t xml:space="preserve">2025-12-19</t>
    </r>
    <r>
      <rPr>
        <sz val="9"/>
        <rFont val="Noto Sans CJK SC"/>
        <family val="2"/>
      </rPr>
      <t xml:space="preserve">落成，白梅二院</t>
    </r>
    <r>
      <rPr>
        <sz val="9"/>
        <rFont val="Microsoft JhengHei"/>
        <family val="0"/>
        <charset val="1"/>
      </rPr>
      <t xml:space="preserve">2026-06-26</t>
    </r>
    <r>
      <rPr>
        <sz val="9"/>
        <rFont val="Noto Sans CJK SC"/>
        <family val="2"/>
      </rPr>
      <t xml:space="preserve">收治（首期</t>
    </r>
    <r>
      <rPr>
        <sz val="9"/>
        <rFont val="Microsoft JhengHei"/>
        <family val="0"/>
        <charset val="1"/>
      </rPr>
      <t xml:space="preserve">325</t>
    </r>
    <r>
      <rPr>
        <sz val="9"/>
        <rFont val="Noto Sans CJK SC"/>
        <family val="2"/>
      </rPr>
      <t xml:space="preserve">床）、越德二院</t>
    </r>
    <r>
      <rPr>
        <sz val="9"/>
        <rFont val="Microsoft JhengHei"/>
        <family val="0"/>
        <charset val="1"/>
      </rPr>
      <t xml:space="preserve">2026-07-09</t>
    </r>
    <r>
      <rPr>
        <sz val="9"/>
        <rFont val="Noto Sans CJK SC"/>
        <family val="2"/>
      </rPr>
      <t xml:space="preserve">開幕（首期</t>
    </r>
    <r>
      <rPr>
        <sz val="9"/>
        <rFont val="Microsoft JhengHei"/>
        <family val="0"/>
        <charset val="1"/>
      </rPr>
      <t xml:space="preserve">300</t>
    </r>
    <r>
      <rPr>
        <sz val="9"/>
        <rFont val="Noto Sans CJK SC"/>
        <family val="2"/>
      </rPr>
      <t xml:space="preserve">床），設計各</t>
    </r>
    <r>
      <rPr>
        <sz val="9"/>
        <rFont val="Microsoft JhengHei"/>
        <family val="0"/>
        <charset val="1"/>
      </rPr>
      <t xml:space="preserve">1,000</t>
    </r>
    <r>
      <rPr>
        <sz val="9"/>
        <rFont val="Noto Sans CJK SC"/>
        <family val="2"/>
      </rPr>
      <t xml:space="preserve">床、各約</t>
    </r>
    <r>
      <rPr>
        <sz val="9"/>
        <rFont val="Microsoft JhengHei"/>
        <family val="0"/>
        <charset val="1"/>
      </rPr>
      <t xml:space="preserve">5,000</t>
    </r>
    <r>
      <rPr>
        <sz val="9"/>
        <rFont val="Noto Sans CJK SC"/>
        <family val="2"/>
      </rPr>
      <t xml:space="preserve">億越盾。政府監察（</t>
    </r>
    <r>
      <rPr>
        <sz val="9"/>
        <rFont val="Microsoft JhengHei"/>
        <family val="0"/>
        <charset val="1"/>
      </rPr>
      <t xml:space="preserve">2025-04</t>
    </r>
    <r>
      <rPr>
        <sz val="9"/>
        <rFont val="Noto Sans CJK SC"/>
        <family val="2"/>
      </rPr>
      <t xml:space="preserve">）指兩大標案</t>
    </r>
    <r>
      <rPr>
        <sz val="9"/>
        <rFont val="Microsoft JhengHei"/>
        <family val="0"/>
        <charset val="1"/>
      </rPr>
      <t xml:space="preserve">4,389.9</t>
    </r>
    <r>
      <rPr>
        <sz val="9"/>
        <rFont val="Noto Sans CJK SC"/>
        <family val="2"/>
      </rPr>
      <t xml:space="preserve">億越盾全流程違規。</t>
    </r>
    <r>
      <rPr>
        <sz val="9"/>
        <rFont val="Microsoft JhengHei"/>
        <family val="0"/>
        <charset val="1"/>
      </rPr>
      <t xml:space="preserve">TCVN 5687:2024</t>
    </r>
    <r>
      <rPr>
        <sz val="9"/>
        <rFont val="Noto Sans CJK SC"/>
        <family val="2"/>
      </rPr>
      <t xml:space="preserve">（通風空調）更新；</t>
    </r>
    <r>
      <rPr>
        <sz val="9"/>
        <rFont val="Microsoft JhengHei"/>
        <family val="0"/>
        <charset val="1"/>
      </rPr>
      <t xml:space="preserve">Decree 96/2023</t>
    </r>
    <r>
      <rPr>
        <sz val="9"/>
        <rFont val="Noto Sans CJK SC"/>
        <family val="2"/>
      </rPr>
      <t xml:space="preserve">第</t>
    </r>
    <r>
      <rPr>
        <sz val="9"/>
        <rFont val="Microsoft JhengHei"/>
        <family val="0"/>
        <charset val="1"/>
      </rPr>
      <t xml:space="preserve">40-41</t>
    </r>
    <r>
      <rPr>
        <sz val="9"/>
        <rFont val="Noto Sans CJK SC"/>
        <family val="2"/>
      </rPr>
      <t xml:space="preserve">條為手術室執照錨點；醫療廢水強制</t>
    </r>
    <r>
      <rPr>
        <sz val="9"/>
        <rFont val="Microsoft JhengHei"/>
        <family val="0"/>
        <charset val="1"/>
      </rPr>
      <t xml:space="preserve">QCVN 28:2010</t>
    </r>
    <r>
      <rPr>
        <sz val="9"/>
        <rFont val="Noto Sans CJK SC"/>
        <family val="2"/>
      </rPr>
      <t xml:space="preserve">。</t>
    </r>
    <r>
      <rPr>
        <sz val="9"/>
        <rFont val="Microsoft JhengHei"/>
        <family val="0"/>
        <charset val="1"/>
      </rPr>
      <t xml:space="preserve">Decree 58/2025</t>
    </r>
    <r>
      <rPr>
        <sz val="9"/>
        <rFont val="Noto Sans CJK SC"/>
        <family val="2"/>
      </rPr>
      <t xml:space="preserve">確立屋頂光電自發自用制，已由</t>
    </r>
    <r>
      <rPr>
        <sz val="9"/>
        <rFont val="Microsoft JhengHei"/>
        <family val="0"/>
        <charset val="1"/>
      </rPr>
      <t xml:space="preserve">Nghị định 243/2026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2026-06-26</t>
    </r>
    <r>
      <rPr>
        <sz val="9"/>
        <rFont val="Noto Sans CJK SC"/>
        <family val="2"/>
      </rPr>
      <t xml:space="preserve">生效）修訂：餘電可售上限由</t>
    </r>
    <r>
      <rPr>
        <sz val="9"/>
        <rFont val="Microsoft JhengHei"/>
        <family val="0"/>
        <charset val="1"/>
      </rPr>
      <t xml:space="preserve">20%</t>
    </r>
    <r>
      <rPr>
        <sz val="9"/>
        <rFont val="Noto Sans CJK SC"/>
        <family val="2"/>
      </rPr>
      <t xml:space="preserve">提高至</t>
    </r>
    <r>
      <rPr>
        <sz val="9"/>
        <rFont val="Microsoft JhengHei"/>
        <family val="0"/>
        <charset val="1"/>
      </rPr>
      <t xml:space="preserve">50%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2030-12-31</t>
    </r>
    <r>
      <rPr>
        <sz val="9"/>
        <rFont val="Noto Sans CJK SC"/>
        <family val="2"/>
      </rPr>
      <t xml:space="preserve">前電網條件允許可再協議）、通報門檻改依逆變器容量（</t>
    </r>
    <r>
      <rPr>
        <sz val="9"/>
        <rFont val="Microsoft JhengHei"/>
        <family val="0"/>
        <charset val="1"/>
      </rPr>
      <t xml:space="preserve">&lt;1kW</t>
    </r>
    <r>
      <rPr>
        <sz val="9"/>
        <rFont val="Noto Sans CJK SC"/>
        <family val="2"/>
      </rPr>
      <t xml:space="preserve">免通報、≥</t>
    </r>
    <r>
      <rPr>
        <sz val="9"/>
        <rFont val="Microsoft JhengHei"/>
        <family val="0"/>
        <charset val="1"/>
      </rPr>
      <t xml:space="preserve">1kW</t>
    </r>
    <r>
      <rPr>
        <sz val="9"/>
        <rFont val="Noto Sans CJK SC"/>
        <family val="2"/>
      </rPr>
      <t xml:space="preserve">須提前</t>
    </r>
    <r>
      <rPr>
        <sz val="9"/>
        <rFont val="Microsoft JhengHei"/>
        <family val="0"/>
        <charset val="1"/>
      </rPr>
      <t xml:space="preserve">10</t>
    </r>
    <r>
      <rPr>
        <sz val="9"/>
        <rFont val="Noto Sans CJK SC"/>
        <family val="2"/>
      </rPr>
      <t xml:space="preserve">工作日通報）。</t>
    </r>
  </si>
  <si>
    <t xml:space="preserve">OPP-07</t>
  </si>
  <si>
    <r>
      <rPr>
        <b val="true"/>
        <sz val="9.5"/>
        <color rgb="FF203864"/>
        <rFont val="Noto Sans CJK SC"/>
        <family val="2"/>
      </rPr>
      <t xml:space="preserve">千床級醫院統包工程</t>
    </r>
    <r>
      <rPr>
        <b val="true"/>
        <sz val="9.5"/>
        <color rgb="FF203864"/>
        <rFont val="微軟正黑體"/>
        <family val="0"/>
        <charset val="1"/>
      </rPr>
      <t xml:space="preserve">(EPC)</t>
    </r>
  </si>
  <si>
    <t xml:space="preserve">Turnkey Hospital EPC</t>
  </si>
  <si>
    <r>
      <rPr>
        <sz val="9"/>
        <color rgb="FF000000"/>
        <rFont val="Noto Sans CJK SC"/>
        <family val="2"/>
      </rPr>
      <t xml:space="preserve">從設計、土建、機電到醫療設備整合，一次交付一整家醫院；省／中央資本預算或</t>
    </r>
    <r>
      <rPr>
        <sz val="9"/>
        <color rgb="FF000000"/>
        <rFont val="微軟正黑體"/>
        <family val="0"/>
        <charset val="1"/>
      </rPr>
      <t xml:space="preserve">ODA</t>
    </r>
    <r>
      <rPr>
        <sz val="9"/>
        <color rgb="FF000000"/>
        <rFont val="Noto Sans CJK SC"/>
        <family val="2"/>
      </rPr>
      <t xml:space="preserve">付錢</t>
    </r>
  </si>
  <si>
    <t xml:space="preserve">G4</t>
  </si>
  <si>
    <r>
      <rPr>
        <sz val="9"/>
        <color rgb="FF000000"/>
        <rFont val="Noto Sans CJK SC"/>
        <family val="2"/>
      </rPr>
      <t xml:space="preserve">統包工程</t>
    </r>
    <r>
      <rPr>
        <sz val="9"/>
        <color rgb="FF000000"/>
        <rFont val="微軟正黑體"/>
        <family val="0"/>
        <charset val="1"/>
      </rPr>
      <t xml:space="preserve">(EPC)</t>
    </r>
  </si>
  <si>
    <t xml:space="preserve">MEP Lead</t>
  </si>
  <si>
    <r>
      <rPr>
        <sz val="9"/>
        <color rgb="FF000000"/>
        <rFont val="Noto Sans CJK SC"/>
        <family val="2"/>
      </rPr>
      <t xml:space="preserve">胡志明市三家</t>
    </r>
    <r>
      <rPr>
        <sz val="9"/>
        <color rgb="FF000000"/>
        <rFont val="微軟正黑體"/>
        <family val="0"/>
        <charset val="1"/>
      </rPr>
      <t xml:space="preserve">1000</t>
    </r>
    <r>
      <rPr>
        <sz val="9"/>
        <color rgb="FF000000"/>
        <rFont val="Noto Sans CJK SC"/>
        <family val="2"/>
      </rPr>
      <t xml:space="preserve">床門戶醫院每家約</t>
    </r>
    <r>
      <rPr>
        <sz val="9"/>
        <color rgb="FF000000"/>
        <rFont val="微軟正黑體"/>
        <family val="0"/>
        <charset val="1"/>
      </rPr>
      <t xml:space="preserve">US$72-75m</t>
    </r>
    <r>
      <rPr>
        <sz val="9"/>
        <color rgb="FF000000"/>
        <rFont val="Noto Sans CJK SC"/>
        <family val="2"/>
      </rPr>
      <t xml:space="preserve">（≒</t>
    </r>
    <r>
      <rPr>
        <sz val="9"/>
        <color rgb="FF000000"/>
        <rFont val="微軟正黑體"/>
        <family val="0"/>
        <charset val="1"/>
      </rPr>
      <t xml:space="preserve">US$73k/</t>
    </r>
    <r>
      <rPr>
        <sz val="9"/>
        <color rgb="FF000000"/>
        <rFont val="Noto Sans CJK SC"/>
        <family val="2"/>
      </rPr>
      <t xml:space="preserve">床，</t>
    </r>
    <r>
      <rPr>
        <sz val="9"/>
        <color rgb="FF000000"/>
        <rFont val="微軟正黑體"/>
        <family val="0"/>
        <charset val="1"/>
      </rPr>
      <t xml:space="preserve">2025</t>
    </r>
    <r>
      <rPr>
        <sz val="9"/>
        <color rgb="FF000000"/>
        <rFont val="Noto Sans CJK SC"/>
        <family val="2"/>
      </rPr>
      <t xml:space="preserve">年開幕）可作為報價基準</t>
    </r>
  </si>
  <si>
    <r>
      <rPr>
        <sz val="9"/>
        <rFont val="Noto Sans CJK SC"/>
        <family val="2"/>
      </rPr>
      <t xml:space="preserve">警示案例：白梅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越德二院停擺</t>
    </r>
    <r>
      <rPr>
        <sz val="9"/>
        <rFont val="Microsoft JhengHei"/>
        <family val="0"/>
        <charset val="1"/>
      </rPr>
      <t xml:space="preserve">6-7</t>
    </r>
    <r>
      <rPr>
        <sz val="9"/>
        <rFont val="Noto Sans CJK SC"/>
        <family val="2"/>
      </rPr>
      <t xml:space="preserve">年後於</t>
    </r>
    <r>
      <rPr>
        <sz val="9"/>
        <rFont val="Microsoft JhengHei"/>
        <family val="0"/>
        <charset val="1"/>
      </rPr>
      <t xml:space="preserve">2026</t>
    </r>
    <r>
      <rPr>
        <sz val="9"/>
        <rFont val="Noto Sans CJK SC"/>
        <family val="2"/>
      </rPr>
      <t xml:space="preserve">年終於投運，惟政府監察結論指兩大標案（</t>
    </r>
    <r>
      <rPr>
        <sz val="9"/>
        <rFont val="Microsoft JhengHei"/>
        <family val="0"/>
        <charset val="1"/>
      </rPr>
      <t xml:space="preserve">4,389.9</t>
    </r>
    <r>
      <rPr>
        <sz val="9"/>
        <rFont val="Noto Sans CJK SC"/>
        <family val="2"/>
      </rPr>
      <t xml:space="preserve">億越盾、占</t>
    </r>
    <r>
      <rPr>
        <sz val="9"/>
        <rFont val="Microsoft JhengHei"/>
        <family val="0"/>
        <charset val="1"/>
      </rPr>
      <t xml:space="preserve">10</t>
    </r>
    <r>
      <rPr>
        <sz val="9"/>
        <rFont val="Noto Sans CJK SC"/>
        <family val="2"/>
      </rPr>
      <t xml:space="preserve">標案</t>
    </r>
    <r>
      <rPr>
        <sz val="9"/>
        <rFont val="Microsoft JhengHei"/>
        <family val="0"/>
        <charset val="1"/>
      </rPr>
      <t xml:space="preserve">76.6%</t>
    </r>
    <r>
      <rPr>
        <sz val="9"/>
        <rFont val="Noto Sans CJK SC"/>
        <family val="2"/>
      </rPr>
      <t xml:space="preserve">）從招標文件編製到履約全環節違規，樁基變更浪費約</t>
    </r>
    <r>
      <rPr>
        <sz val="9"/>
        <rFont val="Microsoft JhengHei"/>
        <family val="0"/>
        <charset val="1"/>
      </rPr>
      <t xml:space="preserve">207</t>
    </r>
    <r>
      <rPr>
        <sz val="9"/>
        <rFont val="Noto Sans CJK SC"/>
        <family val="2"/>
      </rPr>
      <t xml:space="preserve">億越盾、一項設備合約價</t>
    </r>
    <r>
      <rPr>
        <sz val="9"/>
        <rFont val="Microsoft JhengHei"/>
        <family val="0"/>
        <charset val="1"/>
      </rPr>
      <t xml:space="preserve">132</t>
    </r>
    <r>
      <rPr>
        <sz val="9"/>
        <rFont val="Noto Sans CJK SC"/>
        <family val="2"/>
      </rPr>
      <t xml:space="preserve">億越盾而實際進口價僅</t>
    </r>
    <r>
      <rPr>
        <sz val="9"/>
        <rFont val="Microsoft JhengHei"/>
        <family val="0"/>
        <charset val="1"/>
      </rPr>
      <t xml:space="preserve">40</t>
    </r>
    <r>
      <rPr>
        <sz val="9"/>
        <rFont val="Noto Sans CJK SC"/>
        <family val="2"/>
      </rPr>
      <t xml:space="preserve">億——公立</t>
    </r>
    <r>
      <rPr>
        <sz val="9"/>
        <rFont val="Microsoft JhengHei"/>
        <family val="0"/>
        <charset val="1"/>
      </rPr>
      <t xml:space="preserve">EPC</t>
    </r>
    <r>
      <rPr>
        <sz val="9"/>
        <rFont val="Noto Sans CJK SC"/>
        <family val="2"/>
      </rPr>
      <t xml:space="preserve">的付款與治理風險必須在合約層處理。</t>
    </r>
  </si>
  <si>
    <t xml:space="preserve">OPP-08</t>
  </si>
  <si>
    <r>
      <rPr>
        <b val="true"/>
        <sz val="9.5"/>
        <color rgb="FF203864"/>
        <rFont val="Noto Sans CJK SC"/>
        <family val="2"/>
      </rPr>
      <t xml:space="preserve">手術室與加護病房潔淨空調（模組化</t>
    </r>
    <r>
      <rPr>
        <b val="true"/>
        <sz val="9.5"/>
        <color rgb="FF203864"/>
        <rFont val="微軟正黑體"/>
        <family val="0"/>
        <charset val="1"/>
      </rPr>
      <t xml:space="preserve">OR</t>
    </r>
    <r>
      <rPr>
        <b val="true"/>
        <sz val="9.5"/>
        <color rgb="FF203864"/>
        <rFont val="Noto Sans CJK SC"/>
        <family val="2"/>
      </rPr>
      <t xml:space="preserve">）</t>
    </r>
  </si>
  <si>
    <t xml:space="preserve">OR/ICU Cleanroom HVAC &amp; Modular OR</t>
  </si>
  <si>
    <r>
      <rPr>
        <sz val="9"/>
        <color rgb="FF000000"/>
        <rFont val="Noto Sans CJK SC"/>
        <family val="2"/>
      </rPr>
      <t xml:space="preserve">層流手術室、負壓隔離病房、模組化手術室隔間板；</t>
    </r>
    <r>
      <rPr>
        <sz val="9"/>
        <color rgb="FF000000"/>
        <rFont val="微軟正黑體"/>
        <family val="0"/>
        <charset val="1"/>
      </rPr>
      <t xml:space="preserve">EPC</t>
    </r>
    <r>
      <rPr>
        <sz val="9"/>
        <color rgb="FF000000"/>
        <rFont val="Noto Sans CJK SC"/>
        <family val="2"/>
      </rPr>
      <t xml:space="preserve">統包商或醫院付錢</t>
    </r>
  </si>
  <si>
    <t xml:space="preserve">台灣無塵室技術可直接轉用，是本聯盟在工程端最有辨識度的切入點</t>
  </si>
  <si>
    <t xml:space="preserve">在地淨化工程商多、品質參差</t>
  </si>
  <si>
    <t xml:space="preserve">台灣無塵室工藝＋竣工驗收確效文件</t>
  </si>
  <si>
    <r>
      <rPr>
        <sz val="9"/>
        <rFont val="Noto Sans CJK SC"/>
        <family val="2"/>
      </rPr>
      <t xml:space="preserve">越南無專屬強制醫院潔淨室</t>
    </r>
    <r>
      <rPr>
        <sz val="9"/>
        <rFont val="Microsoft JhengHei"/>
        <family val="0"/>
        <charset val="1"/>
      </rPr>
      <t xml:space="preserve">QCVN</t>
    </r>
    <r>
      <rPr>
        <sz val="9"/>
        <rFont val="Noto Sans CJK SC"/>
        <family val="2"/>
      </rPr>
      <t xml:space="preserve">，實務援引</t>
    </r>
    <r>
      <rPr>
        <sz val="9"/>
        <rFont val="Microsoft JhengHei"/>
        <family val="0"/>
        <charset val="1"/>
      </rPr>
      <t xml:space="preserve">ISO 14644</t>
    </r>
    <r>
      <rPr>
        <sz val="9"/>
        <rFont val="Noto Sans CJK SC"/>
        <family val="2"/>
      </rPr>
      <t xml:space="preserve">＋</t>
    </r>
    <r>
      <rPr>
        <sz val="9"/>
        <rFont val="Microsoft JhengHei"/>
        <family val="0"/>
        <charset val="1"/>
      </rPr>
      <t xml:space="preserve">TCVN 5687:2024</t>
    </r>
    <r>
      <rPr>
        <sz val="9"/>
        <rFont val="Noto Sans CJK SC"/>
        <family val="2"/>
      </rPr>
      <t xml:space="preserve">；</t>
    </r>
    <r>
      <rPr>
        <sz val="9"/>
        <rFont val="Microsoft JhengHei"/>
        <family val="0"/>
        <charset val="1"/>
      </rPr>
      <t xml:space="preserve">Decree 96/2023</t>
    </r>
    <r>
      <rPr>
        <sz val="9"/>
        <rFont val="Noto Sans CJK SC"/>
        <family val="2"/>
      </rPr>
      <t xml:space="preserve">第</t>
    </r>
    <r>
      <rPr>
        <sz val="9"/>
        <rFont val="Microsoft JhengHei"/>
        <family val="0"/>
        <charset val="1"/>
      </rPr>
      <t xml:space="preserve">40-41</t>
    </r>
    <r>
      <rPr>
        <sz val="9"/>
        <rFont val="Noto Sans CJK SC"/>
        <family val="2"/>
      </rPr>
      <t xml:space="preserve">條為</t>
    </r>
    <r>
      <rPr>
        <sz val="9"/>
        <rFont val="Microsoft JhengHei"/>
        <family val="0"/>
        <charset val="1"/>
      </rPr>
      <t xml:space="preserve">OR</t>
    </r>
    <r>
      <rPr>
        <sz val="9"/>
        <rFont val="Noto Sans CJK SC"/>
        <family val="2"/>
      </rPr>
      <t xml:space="preserve">執照法律錨點。</t>
    </r>
  </si>
  <si>
    <t xml:space="preserve">OPP-09</t>
  </si>
  <si>
    <t xml:space="preserve">醫用氣體與真空系統（含竣工確效）</t>
  </si>
  <si>
    <t xml:space="preserve">Medical Gas &amp; Vacuum System with Validation</t>
  </si>
  <si>
    <t xml:space="preserve">中央氣體機房、分歧管、警報與末端出口，加上在地廠商常省略的竣工驗證與確效</t>
  </si>
  <si>
    <r>
      <rPr>
        <sz val="9"/>
        <color rgb="FF000000"/>
        <rFont val="Noto Sans CJK SC"/>
        <family val="2"/>
      </rPr>
      <t xml:space="preserve">在地供應商有，但 </t>
    </r>
    <r>
      <rPr>
        <sz val="9"/>
        <color rgb="FF000000"/>
        <rFont val="微軟正黑體"/>
        <family val="0"/>
        <charset val="1"/>
      </rPr>
      <t xml:space="preserve">ISO 7396-1/-2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TCVN 8022 </t>
    </r>
    <r>
      <rPr>
        <sz val="9"/>
        <color rgb="FF000000"/>
        <rFont val="Noto Sans CJK SC"/>
        <family val="2"/>
      </rPr>
      <t xml:space="preserve">的驗證確效是空白——賣「證明它安全」比賣管路值錢</t>
    </r>
  </si>
  <si>
    <r>
      <rPr>
        <sz val="9"/>
        <rFont val="Microsoft JhengHei"/>
        <family val="0"/>
        <charset val="1"/>
      </rPr>
      <t xml:space="preserve">TCVN 8022-1/2:2009</t>
    </r>
    <r>
      <rPr>
        <sz val="9"/>
        <rFont val="Noto Sans CJK SC"/>
        <family val="2"/>
      </rPr>
      <t xml:space="preserve">等同</t>
    </r>
    <r>
      <rPr>
        <sz val="9"/>
        <rFont val="Microsoft JhengHei"/>
        <family val="0"/>
        <charset val="1"/>
      </rPr>
      <t xml:space="preserve">ISO 7396</t>
    </r>
    <r>
      <rPr>
        <sz val="9"/>
        <rFont val="Noto Sans CJK SC"/>
        <family val="2"/>
      </rPr>
      <t xml:space="preserve">，國際技術可直接對接。</t>
    </r>
  </si>
  <si>
    <t xml:space="preserve">OPP-10</t>
  </si>
  <si>
    <t xml:space="preserve">醫院供電韌性與隔離電源系統</t>
  </si>
  <si>
    <t xml:space="preserve">Hospital Power Resilience &amp; IT Isolated Power</t>
  </si>
  <si>
    <r>
      <rPr>
        <sz val="9"/>
        <color rgb="FF000000"/>
        <rFont val="Noto Sans CJK SC"/>
        <family val="2"/>
      </rPr>
      <t xml:space="preserve">第</t>
    </r>
    <r>
      <rPr>
        <sz val="9"/>
        <color rgb="FF000000"/>
        <rFont val="微軟正黑體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類醫療場所隔離電源盤、</t>
    </r>
    <r>
      <rPr>
        <sz val="9"/>
        <color rgb="FF000000"/>
        <rFont val="微軟正黑體"/>
        <family val="0"/>
        <charset val="1"/>
      </rPr>
      <t xml:space="preserve">UPS</t>
    </r>
    <r>
      <rPr>
        <sz val="9"/>
        <color rgb="FF000000"/>
        <rFont val="Noto Sans CJK SC"/>
        <family val="2"/>
      </rPr>
      <t xml:space="preserve">、發電機、自動切換與醫療接地；生命安全電力包</t>
    </r>
  </si>
  <si>
    <r>
      <rPr>
        <sz val="9"/>
        <color rgb="FF000000"/>
        <rFont val="微軟正黑體"/>
        <family val="0"/>
        <charset val="1"/>
      </rPr>
      <t xml:space="preserve">IEC 60364-7-710 </t>
    </r>
    <r>
      <rPr>
        <sz val="9"/>
        <color rgb="FF000000"/>
        <rFont val="Noto Sans CJK SC"/>
        <family val="2"/>
      </rPr>
      <t xml:space="preserve">等級的隔離電源在越南很少被正確規範；電網不穩＋</t>
    </r>
    <r>
      <rPr>
        <sz val="9"/>
        <color rgb="FF000000"/>
        <rFont val="微軟正黑體"/>
        <family val="0"/>
        <charset val="1"/>
      </rPr>
      <t xml:space="preserve">24</t>
    </r>
    <r>
      <rPr>
        <sz val="9"/>
        <color rgb="FF000000"/>
        <rFont val="Noto Sans CJK SC"/>
        <family val="2"/>
      </rPr>
      <t xml:space="preserve">小時影像</t>
    </r>
    <r>
      <rPr>
        <sz val="9"/>
        <color rgb="FF000000"/>
        <rFont val="微軟正黑體"/>
        <family val="0"/>
        <charset val="1"/>
      </rPr>
      <t xml:space="preserve">/ICU</t>
    </r>
    <r>
      <rPr>
        <sz val="9"/>
        <color rgb="FF000000"/>
        <rFont val="Noto Sans CJK SC"/>
        <family val="2"/>
      </rPr>
      <t xml:space="preserve">負載使它非做不可</t>
    </r>
  </si>
  <si>
    <r>
      <rPr>
        <sz val="9"/>
        <rFont val="Noto Sans CJK SC"/>
        <family val="2"/>
      </rPr>
      <t xml:space="preserve">越南對醫療場所隔離電源（</t>
    </r>
    <r>
      <rPr>
        <sz val="9"/>
        <rFont val="Microsoft JhengHei"/>
        <family val="0"/>
        <charset val="1"/>
      </rPr>
      <t xml:space="preserve">IEC 60364-7-710</t>
    </r>
    <r>
      <rPr>
        <sz val="9"/>
        <rFont val="Noto Sans CJK SC"/>
        <family val="2"/>
      </rPr>
      <t xml:space="preserve">）專屬強制標準未查得——標準空窗，可用國際標準做差異化。</t>
    </r>
    <r>
      <rPr>
        <sz val="9"/>
        <rFont val="Microsoft JhengHei"/>
        <family val="0"/>
        <charset val="1"/>
      </rPr>
      <t xml:space="preserve">EN</t>
    </r>
    <r>
      <rPr>
        <sz val="9"/>
        <rFont val="Noto Sans CJK SC"/>
        <family val="2"/>
      </rPr>
      <t xml:space="preserve">建議改：</t>
    </r>
    <r>
      <rPr>
        <sz val="9"/>
        <rFont val="Microsoft JhengHei"/>
        <family val="0"/>
        <charset val="1"/>
      </rPr>
      <t xml:space="preserve">Isolated Power Supply (IPS)</t>
    </r>
    <r>
      <rPr>
        <sz val="9"/>
        <rFont val="Noto Sans CJK SC"/>
        <family val="2"/>
      </rPr>
      <t xml:space="preserve">，「</t>
    </r>
    <r>
      <rPr>
        <sz val="9"/>
        <rFont val="Microsoft JhengHei"/>
        <family val="0"/>
        <charset val="1"/>
      </rPr>
      <t xml:space="preserve">IT</t>
    </r>
    <r>
      <rPr>
        <sz val="9"/>
        <rFont val="Noto Sans CJK SC"/>
        <family val="2"/>
      </rPr>
      <t xml:space="preserve">」易誤讀為資訊科技。</t>
    </r>
  </si>
  <si>
    <t xml:space="preserve">C</t>
  </si>
  <si>
    <t xml:space="preserve">OPP-11</t>
  </si>
  <si>
    <t xml:space="preserve">醫療廢水與廢棄物處理廠</t>
  </si>
  <si>
    <t xml:space="preserve">Medical Wastewater &amp; Waste Treatment Plant</t>
  </si>
  <si>
    <t xml:space="preserve">院內污水處理廠或高溫滅菌／破碎處理設備，也可做區域處理特許經營</t>
  </si>
  <si>
    <r>
      <rPr>
        <sz val="9"/>
        <color rgb="FF000000"/>
        <rFont val="Noto Sans CJK SC"/>
        <family val="2"/>
      </rPr>
      <t xml:space="preserve">醫院營運預算</t>
    </r>
    <r>
      <rPr>
        <sz val="9"/>
        <color rgb="FF000000"/>
        <rFont val="微軟正黑體"/>
        <family val="0"/>
        <charset val="1"/>
      </rPr>
      <t xml:space="preserve">(OPEX)</t>
    </r>
  </si>
  <si>
    <t xml:space="preserve">管理服務</t>
  </si>
  <si>
    <t xml:space="preserve">ESG/Facility Lead</t>
  </si>
  <si>
    <r>
      <rPr>
        <sz val="9"/>
        <color rgb="FF000000"/>
        <rFont val="Noto Sans CJK SC"/>
        <family val="2"/>
      </rPr>
      <t xml:space="preserve">約</t>
    </r>
    <r>
      <rPr>
        <sz val="9"/>
        <color rgb="FF000000"/>
        <rFont val="微軟正黑體"/>
        <family val="0"/>
        <charset val="1"/>
      </rPr>
      <t xml:space="preserve">70%</t>
    </r>
    <r>
      <rPr>
        <sz val="9"/>
        <color rgb="FF000000"/>
        <rFont val="Noto Sans CJK SC"/>
        <family val="2"/>
      </rPr>
      <t xml:space="preserve">醫療廢水處理未達標，衛生部正在收緊稽查——是被法規逼出來的大量潛在需求</t>
    </r>
  </si>
  <si>
    <r>
      <rPr>
        <sz val="9"/>
        <color rgb="FF000000"/>
        <rFont val="Noto Sans CJK SC"/>
        <family val="2"/>
      </rPr>
      <t xml:space="preserve">在地環工公司多，但約</t>
    </r>
    <r>
      <rPr>
        <sz val="9"/>
        <color rgb="FF000000"/>
        <rFont val="微軟正黑體"/>
        <family val="0"/>
        <charset val="1"/>
      </rPr>
      <t xml:space="preserve">70%</t>
    </r>
    <r>
      <rPr>
        <sz val="9"/>
        <color rgb="FF000000"/>
        <rFont val="Noto Sans CJK SC"/>
        <family val="2"/>
      </rPr>
      <t xml:space="preserve">醫療廢水處理未達標</t>
    </r>
  </si>
  <si>
    <t xml:space="preserve">達標保證＋代操作年約（衛生部稽查收緊的法規紅利）</t>
  </si>
  <si>
    <r>
      <rPr>
        <sz val="9"/>
        <rFont val="Noto Sans CJK SC"/>
        <family val="2"/>
      </rPr>
      <t xml:space="preserve">強制規範</t>
    </r>
    <r>
      <rPr>
        <sz val="9"/>
        <rFont val="Microsoft JhengHei"/>
        <family val="0"/>
        <charset val="1"/>
      </rPr>
      <t xml:space="preserve">QCVN 28:2010/BTNMT</t>
    </r>
    <r>
      <rPr>
        <sz val="9"/>
        <rFont val="Noto Sans CJK SC"/>
        <family val="2"/>
      </rPr>
      <t xml:space="preserve">；市場出現</t>
    </r>
    <r>
      <rPr>
        <sz val="9"/>
        <rFont val="Microsoft JhengHei"/>
        <family val="0"/>
        <charset val="1"/>
      </rPr>
      <t xml:space="preserve">0.5-300m³/</t>
    </r>
    <r>
      <rPr>
        <sz val="9"/>
        <rFont val="Noto Sans CJK SC"/>
        <family val="2"/>
      </rPr>
      <t xml:space="preserve">日模組化產品線；工業廢水已更新</t>
    </r>
    <r>
      <rPr>
        <sz val="9"/>
        <rFont val="Microsoft JhengHei"/>
        <family val="0"/>
        <charset val="1"/>
      </rPr>
      <t xml:space="preserve">QCVN 40:2025</t>
    </r>
    <r>
      <rPr>
        <sz val="9"/>
        <rFont val="Noto Sans CJK SC"/>
        <family val="2"/>
      </rPr>
      <t xml:space="preserve">＝環境規範翻新訊號。</t>
    </r>
  </si>
  <si>
    <t xml:space="preserve">OPP-12</t>
  </si>
  <si>
    <t xml:space="preserve">綠色醫院能源績效合約與屋頂光電</t>
  </si>
  <si>
    <t xml:space="preserve">Green Hospital ESCO &amp; Rooftop Solar</t>
  </si>
  <si>
    <r>
      <rPr>
        <sz val="9"/>
        <color rgb="FF000000"/>
        <rFont val="Noto Sans CJK SC"/>
        <family val="2"/>
      </rPr>
      <t xml:space="preserve">用節省下來的電費付款，醫院零資本支出；屋頂光電也可用購電合約</t>
    </r>
    <r>
      <rPr>
        <sz val="9"/>
        <color rgb="FF000000"/>
        <rFont val="微軟正黑體"/>
        <family val="0"/>
        <charset val="1"/>
      </rPr>
      <t xml:space="preserve">(PPA)</t>
    </r>
    <r>
      <rPr>
        <sz val="9"/>
        <color rgb="FF000000"/>
        <rFont val="Noto Sans CJK SC"/>
        <family val="2"/>
      </rPr>
      <t xml:space="preserve">模式</t>
    </r>
  </si>
  <si>
    <t xml:space="preserve">③ 尚未出現：幾乎空白</t>
  </si>
  <si>
    <t xml:space="preserve">G5</t>
  </si>
  <si>
    <t xml:space="preserve">分潤／服務分成</t>
  </si>
  <si>
    <t xml:space="preserve">ESG Lead</t>
  </si>
  <si>
    <r>
      <rPr>
        <sz val="9"/>
        <color rgb="FF000000"/>
        <rFont val="Noto Sans CJK SC"/>
        <family val="2"/>
      </rPr>
      <t xml:space="preserve">越南目標</t>
    </r>
    <r>
      <rPr>
        <sz val="9"/>
        <color rgb="FF000000"/>
        <rFont val="微軟正黑體"/>
        <family val="0"/>
        <charset val="1"/>
      </rPr>
      <t xml:space="preserve">2030</t>
    </r>
    <r>
      <rPr>
        <sz val="9"/>
        <color rgb="FF000000"/>
        <rFont val="Noto Sans CJK SC"/>
        <family val="2"/>
      </rPr>
      <t xml:space="preserve">年</t>
    </r>
    <r>
      <rPr>
        <sz val="9"/>
        <color rgb="FF000000"/>
        <rFont val="微軟正黑體"/>
        <family val="0"/>
        <charset val="1"/>
      </rPr>
      <t xml:space="preserve">50%</t>
    </r>
    <r>
      <rPr>
        <sz val="9"/>
        <color rgb="FF000000"/>
        <rFont val="Noto Sans CJK SC"/>
        <family val="2"/>
      </rPr>
      <t xml:space="preserve">公共建築屋頂裝光電；醫院端幾乎沒人做，是政策順風的空白</t>
    </r>
  </si>
  <si>
    <r>
      <rPr>
        <sz val="9"/>
        <rFont val="Microsoft JhengHei"/>
        <family val="0"/>
        <charset val="1"/>
      </rPr>
      <t xml:space="preserve">Decree 58/2025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2025-03-03</t>
    </r>
    <r>
      <rPr>
        <sz val="9"/>
        <rFont val="Noto Sans CJK SC"/>
        <family val="2"/>
      </rPr>
      <t xml:space="preserve">生效）已由</t>
    </r>
    <r>
      <rPr>
        <sz val="9"/>
        <rFont val="Microsoft JhengHei"/>
        <family val="0"/>
        <charset val="1"/>
      </rPr>
      <t xml:space="preserve">Nghị định 243/2026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2026-06-26</t>
    </r>
    <r>
      <rPr>
        <sz val="9"/>
        <rFont val="Noto Sans CJK SC"/>
        <family val="2"/>
      </rPr>
      <t xml:space="preserve">生效）修訂：餘電可售上限</t>
    </r>
    <r>
      <rPr>
        <sz val="9"/>
        <rFont val="Microsoft JhengHei"/>
        <family val="0"/>
        <charset val="1"/>
      </rPr>
      <t xml:space="preserve">20%→50%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2030-12-31</t>
    </r>
    <r>
      <rPr>
        <sz val="9"/>
        <rFont val="Noto Sans CJK SC"/>
        <family val="2"/>
      </rPr>
      <t xml:space="preserve">前電網條件允許可協議更高、未併網之山區離島不限售電量；通報門檻改依逆變器容量（</t>
    </r>
    <r>
      <rPr>
        <sz val="9"/>
        <rFont val="Microsoft JhengHei"/>
        <family val="0"/>
        <charset val="1"/>
      </rPr>
      <t xml:space="preserve">&lt;1kW</t>
    </r>
    <r>
      <rPr>
        <sz val="9"/>
        <rFont val="Noto Sans CJK SC"/>
        <family val="2"/>
      </rPr>
      <t xml:space="preserve">免通報、≥</t>
    </r>
    <r>
      <rPr>
        <sz val="9"/>
        <rFont val="Microsoft JhengHei"/>
        <family val="0"/>
        <charset val="1"/>
      </rPr>
      <t xml:space="preserve">1kW</t>
    </r>
    <r>
      <rPr>
        <sz val="9"/>
        <rFont val="Noto Sans CJK SC"/>
        <family val="2"/>
      </rPr>
      <t xml:space="preserve">提前</t>
    </r>
    <r>
      <rPr>
        <sz val="9"/>
        <rFont val="Microsoft JhengHei"/>
        <family val="0"/>
        <charset val="1"/>
      </rPr>
      <t xml:space="preserve">10</t>
    </r>
    <r>
      <rPr>
        <sz val="9"/>
        <rFont val="Noto Sans CJK SC"/>
        <family val="2"/>
      </rPr>
      <t xml:space="preserve">工作日通報），分級改依併網電壓等級——醫院大屋頂＋日間高負載是典型受益者，額度放寬後自用外售的回收年限明顯改善。</t>
    </r>
    <r>
      <rPr>
        <sz val="9"/>
        <rFont val="Microsoft JhengHei"/>
        <family val="0"/>
        <charset val="1"/>
      </rPr>
      <t xml:space="preserve">ESCO</t>
    </r>
    <r>
      <rPr>
        <sz val="9"/>
        <rFont val="Noto Sans CJK SC"/>
        <family val="2"/>
      </rPr>
      <t xml:space="preserve">市場「有潛力未成形」，融資與</t>
    </r>
    <r>
      <rPr>
        <sz val="9"/>
        <rFont val="Microsoft JhengHei"/>
        <family val="0"/>
        <charset val="1"/>
      </rPr>
      <t xml:space="preserve">M&amp;V</t>
    </r>
    <r>
      <rPr>
        <sz val="9"/>
        <rFont val="Noto Sans CJK SC"/>
        <family val="2"/>
      </rPr>
      <t xml:space="preserve">是瓶頸。</t>
    </r>
  </si>
  <si>
    <t xml:space="preserve">OPP-13</t>
  </si>
  <si>
    <r>
      <rPr>
        <b val="true"/>
        <sz val="9.5"/>
        <color rgb="FF203864"/>
        <rFont val="Noto Sans CJK SC"/>
        <family val="2"/>
      </rPr>
      <t xml:space="preserve">消毒供應中心</t>
    </r>
    <r>
      <rPr>
        <b val="true"/>
        <sz val="9.5"/>
        <color rgb="FF203864"/>
        <rFont val="微軟正黑體"/>
        <family val="0"/>
        <charset val="1"/>
      </rPr>
      <t xml:space="preserve">(CSSD)</t>
    </r>
    <r>
      <rPr>
        <b val="true"/>
        <sz val="9.5"/>
        <color rgb="FF203864"/>
        <rFont val="Noto Sans CJK SC"/>
        <family val="2"/>
      </rPr>
      <t xml:space="preserve">設備整廠</t>
    </r>
  </si>
  <si>
    <t xml:space="preserve">Central Sterile Supply Department Turnkey</t>
  </si>
  <si>
    <t xml:space="preserve">清洗消毒機、蒸氣／過氧化氫滅菌鍋、器械追溯軟體與符合標準的動線設計</t>
  </si>
  <si>
    <t xml:space="preserve">設備銷售＋耗材</t>
  </si>
  <si>
    <t xml:space="preserve">Clinical Engineering Lead</t>
  </si>
  <si>
    <t xml:space="preserve">省級醫院多半還在用單槽高壓釜，清洗消毒與器械追溯鏈幾乎空白</t>
  </si>
  <si>
    <t xml:space="preserve">OPP-14</t>
  </si>
  <si>
    <r>
      <rPr>
        <b val="true"/>
        <sz val="9.5"/>
        <color rgb="FF203864"/>
        <rFont val="Noto Sans CJK SC"/>
        <family val="2"/>
      </rPr>
      <t xml:space="preserve">影像設備整批交鑰匙（</t>
    </r>
    <r>
      <rPr>
        <b val="true"/>
        <sz val="9.5"/>
        <color rgb="FF203864"/>
        <rFont val="微軟正黑體"/>
        <family val="0"/>
        <charset val="1"/>
      </rPr>
      <t xml:space="preserve">CT/MRI/DSA</t>
    </r>
    <r>
      <rPr>
        <b val="true"/>
        <sz val="9.5"/>
        <color rgb="FF203864"/>
        <rFont val="Noto Sans CJK SC"/>
        <family val="2"/>
      </rPr>
      <t xml:space="preserve">＋機房）</t>
    </r>
  </si>
  <si>
    <t xml:space="preserve">Imaging Fleet Turnkey</t>
  </si>
  <si>
    <r>
      <rPr>
        <sz val="9"/>
        <color rgb="FF000000"/>
        <rFont val="微軟正黑體"/>
        <family val="0"/>
        <charset val="1"/>
      </rPr>
      <t xml:space="preserve">C </t>
    </r>
    <r>
      <rPr>
        <sz val="9"/>
        <color rgb="FF000000"/>
        <rFont val="Noto Sans CJK SC"/>
        <family val="2"/>
      </rPr>
      <t xml:space="preserve">醫材與臨床設備</t>
    </r>
  </si>
  <si>
    <r>
      <rPr>
        <sz val="9"/>
        <color rgb="FF000000"/>
        <rFont val="Noto Sans CJK SC"/>
        <family val="2"/>
      </rPr>
      <t xml:space="preserve">影像設備＋機房屏蔽＋</t>
    </r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＋維運一起賣；醫院發展基金、省預算或設備租賃付錢</t>
    </r>
  </si>
  <si>
    <t xml:space="preserve">G3</t>
  </si>
  <si>
    <r>
      <rPr>
        <sz val="9"/>
        <color rgb="FF000000"/>
        <rFont val="Noto Sans CJK SC"/>
        <family val="2"/>
      </rPr>
      <t xml:space="preserve">設施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設備</t>
    </r>
    <r>
      <rPr>
        <sz val="9"/>
        <color rgb="FF000000"/>
        <rFont val="微軟正黑體"/>
        <family val="0"/>
        <charset val="1"/>
      </rPr>
      <t xml:space="preserve">PPP</t>
    </r>
  </si>
  <si>
    <t xml:space="preserve">Imaging Lead</t>
  </si>
  <si>
    <r>
      <rPr>
        <sz val="9"/>
        <color rgb="FF000000"/>
        <rFont val="微軟正黑體"/>
        <family val="0"/>
        <charset val="1"/>
      </rPr>
      <t xml:space="preserve">GE</t>
    </r>
    <r>
      <rPr>
        <sz val="9"/>
        <color rgb="FF000000"/>
        <rFont val="Noto Sans CJK SC"/>
        <family val="2"/>
      </rPr>
      <t xml:space="preserve">／西門子／飛利浦／中國廠競爭激烈——台灣的切點在機房建置＋</t>
    </r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整合＋維運包，不是球管本身</t>
    </r>
  </si>
  <si>
    <r>
      <rPr>
        <sz val="9"/>
        <color rgb="FF000000"/>
        <rFont val="微軟正黑體"/>
        <family val="0"/>
        <charset val="1"/>
      </rPr>
      <t xml:space="preserve">GE/</t>
    </r>
    <r>
      <rPr>
        <sz val="9"/>
        <color rgb="FF000000"/>
        <rFont val="Noto Sans CJK SC"/>
        <family val="2"/>
      </rPr>
      <t xml:space="preserve">西門子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飛利浦＋中國聯影等，設備端價格戰激烈</t>
    </r>
  </si>
  <si>
    <r>
      <rPr>
        <sz val="9"/>
        <color rgb="FF000000"/>
        <rFont val="Noto Sans CJK SC"/>
        <family val="2"/>
      </rPr>
      <t xml:space="preserve">賣機房建置＋</t>
    </r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整合＋維運</t>
    </r>
    <r>
      <rPr>
        <sz val="9"/>
        <color rgb="FF000000"/>
        <rFont val="微軟正黑體"/>
        <family val="0"/>
        <charset val="1"/>
      </rPr>
      <t xml:space="preserve">SLA</t>
    </r>
    <r>
      <rPr>
        <sz val="9"/>
        <color rgb="FF000000"/>
        <rFont val="Noto Sans CJK SC"/>
        <family val="2"/>
      </rPr>
      <t xml:space="preserve">，不與原廠拚設備價</t>
    </r>
  </si>
  <si>
    <r>
      <rPr>
        <b val="true"/>
        <sz val="9"/>
        <color rgb="FFFFFFFF"/>
        <rFont val="Microsoft JhengHei"/>
        <family val="0"/>
        <charset val="1"/>
      </rPr>
      <t xml:space="preserve">L3 </t>
    </r>
    <r>
      <rPr>
        <b val="true"/>
        <sz val="9"/>
        <color rgb="FFFFFFFF"/>
        <rFont val="Noto Sans CJK SC"/>
        <family val="2"/>
      </rPr>
      <t xml:space="preserve">臨床設備層</t>
    </r>
  </si>
  <si>
    <r>
      <rPr>
        <sz val="9"/>
        <rFont val="Noto Sans CJK SC"/>
        <family val="2"/>
      </rPr>
      <t xml:space="preserve">診斷影像列美商務部最大商機類別之一；河內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胡志明吸納全國</t>
    </r>
    <r>
      <rPr>
        <sz val="9"/>
        <rFont val="Microsoft JhengHei"/>
        <family val="0"/>
        <charset val="1"/>
      </rPr>
      <t xml:space="preserve">60%</t>
    </r>
    <r>
      <rPr>
        <sz val="9"/>
        <rFont val="Noto Sans CJK SC"/>
        <family val="2"/>
      </rPr>
      <t xml:space="preserve">病人＝省級影像缺口。</t>
    </r>
  </si>
  <si>
    <r>
      <rPr>
        <sz val="9"/>
        <rFont val="Noto Sans CJK SC"/>
        <family val="2"/>
      </rPr>
      <t xml:space="preserve">醫材市場（三家口徑）：</t>
    </r>
    <r>
      <rPr>
        <sz val="9"/>
        <rFont val="Microsoft JhengHei"/>
        <family val="0"/>
        <charset val="1"/>
      </rPr>
      <t xml:space="preserve">TechSci 2024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15.5</t>
    </r>
    <r>
      <rPr>
        <sz val="9"/>
        <rFont val="Noto Sans CJK SC"/>
        <family val="2"/>
      </rPr>
      <t xml:space="preserve">億美元→</t>
    </r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25.3</t>
    </r>
    <r>
      <rPr>
        <sz val="9"/>
        <rFont val="Noto Sans CJK SC"/>
        <family val="2"/>
      </rPr>
      <t xml:space="preserve">億（</t>
    </r>
    <r>
      <rPr>
        <sz val="9"/>
        <rFont val="Microsoft JhengHei"/>
        <family val="0"/>
        <charset val="1"/>
      </rPr>
      <t xml:space="preserve">CAGR 8.45%</t>
    </r>
    <r>
      <rPr>
        <sz val="9"/>
        <rFont val="Noto Sans CJK SC"/>
        <family val="2"/>
      </rPr>
      <t xml:space="preserve">）、</t>
    </r>
    <r>
      <rPr>
        <sz val="9"/>
        <rFont val="Microsoft JhengHei"/>
        <family val="0"/>
        <charset val="1"/>
      </rPr>
      <t xml:space="preserve">Statista 2025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17.7</t>
    </r>
    <r>
      <rPr>
        <sz val="9"/>
        <rFont val="Noto Sans CJK SC"/>
        <family val="2"/>
      </rPr>
      <t xml:space="preserve">億→</t>
    </r>
    <r>
      <rPr>
        <sz val="9"/>
        <rFont val="Microsoft JhengHei"/>
        <family val="0"/>
        <charset val="1"/>
      </rPr>
      <t xml:space="preserve">2029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24.7</t>
    </r>
    <r>
      <rPr>
        <sz val="9"/>
        <rFont val="Noto Sans CJK SC"/>
        <family val="2"/>
      </rPr>
      <t xml:space="preserve">億（</t>
    </r>
    <r>
      <rPr>
        <sz val="9"/>
        <rFont val="Microsoft JhengHei"/>
        <family val="0"/>
        <charset val="1"/>
      </rPr>
      <t xml:space="preserve">CAGR 8.62%</t>
    </r>
    <r>
      <rPr>
        <sz val="9"/>
        <rFont val="Noto Sans CJK SC"/>
        <family val="2"/>
      </rPr>
      <t xml:space="preserve">）、越南藥管局</t>
    </r>
    <r>
      <rPr>
        <sz val="9"/>
        <rFont val="Microsoft JhengHei"/>
        <family val="0"/>
        <charset val="1"/>
      </rPr>
      <t xml:space="preserve">2024</t>
    </r>
    <r>
      <rPr>
        <sz val="9"/>
        <rFont val="Noto Sans CJK SC"/>
        <family val="2"/>
      </rPr>
      <t xml:space="preserve">年約</t>
    </r>
    <r>
      <rPr>
        <sz val="9"/>
        <rFont val="Microsoft JhengHei"/>
        <family val="0"/>
        <charset val="1"/>
      </rPr>
      <t xml:space="preserve">17</t>
    </r>
    <r>
      <rPr>
        <sz val="9"/>
        <rFont val="Noto Sans CJK SC"/>
        <family val="2"/>
      </rPr>
      <t xml:space="preserve">億——</t>
    </r>
    <r>
      <rPr>
        <sz val="9"/>
        <rFont val="Microsoft JhengHei"/>
        <family val="0"/>
        <charset val="1"/>
      </rPr>
      <t xml:space="preserve">CAGR</t>
    </r>
    <r>
      <rPr>
        <sz val="9"/>
        <rFont val="Noto Sans CJK SC"/>
        <family val="2"/>
      </rPr>
      <t xml:space="preserve">一致約</t>
    </r>
    <r>
      <rPr>
        <sz val="9"/>
        <rFont val="Microsoft JhengHei"/>
        <family val="0"/>
        <charset val="1"/>
      </rPr>
      <t xml:space="preserve">8.1-8.6%</t>
    </r>
    <r>
      <rPr>
        <sz val="9"/>
        <rFont val="Noto Sans CJK SC"/>
        <family val="2"/>
      </rPr>
      <t xml:space="preserve">。</t>
    </r>
    <r>
      <rPr>
        <sz val="9"/>
        <rFont val="Microsoft JhengHei"/>
        <family val="0"/>
        <charset val="1"/>
      </rPr>
      <t xml:space="preserve">2025-07-01</t>
    </r>
    <r>
      <rPr>
        <sz val="9"/>
        <rFont val="Noto Sans CJK SC"/>
        <family val="2"/>
      </rPr>
      <t xml:space="preserve">起過渡措施全面終止：須在地</t>
    </r>
    <r>
      <rPr>
        <sz val="9"/>
        <rFont val="Microsoft JhengHei"/>
        <family val="0"/>
        <charset val="1"/>
      </rPr>
      <t xml:space="preserve">MAH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ISO 13485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C/D</t>
    </r>
    <r>
      <rPr>
        <sz val="9"/>
        <rFont val="Noto Sans CJK SC"/>
        <family val="2"/>
      </rPr>
      <t xml:space="preserve">類</t>
    </r>
    <r>
      <rPr>
        <sz val="9"/>
        <rFont val="Microsoft JhengHei"/>
        <family val="0"/>
        <charset val="1"/>
      </rPr>
      <t xml:space="preserve">CSDT</t>
    </r>
    <r>
      <rPr>
        <sz val="9"/>
        <rFont val="Noto Sans CJK SC"/>
        <family val="2"/>
      </rPr>
      <t xml:space="preserve">申報。</t>
    </r>
    <r>
      <rPr>
        <sz val="9"/>
        <rFont val="Microsoft JhengHei"/>
        <family val="0"/>
        <charset val="1"/>
      </rPr>
      <t xml:space="preserve">Bidding Law 2023</t>
    </r>
    <r>
      <rPr>
        <sz val="9"/>
        <rFont val="Noto Sans CJK SC"/>
        <family val="2"/>
      </rPr>
      <t xml:space="preserve">承認設備寄放／按次計費／委外檢驗等模式；⚠承包商選擇方式已於</t>
    </r>
    <r>
      <rPr>
        <sz val="9"/>
        <rFont val="Microsoft JhengHei"/>
        <family val="0"/>
        <charset val="1"/>
      </rPr>
      <t xml:space="preserve">2025-07-01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Luật 90/2025/QH15</t>
    </r>
    <r>
      <rPr>
        <sz val="9"/>
        <rFont val="Noto Sans CJK SC"/>
        <family val="2"/>
      </rPr>
      <t xml:space="preserve">）由</t>
    </r>
    <r>
      <rPr>
        <sz val="9"/>
        <rFont val="Microsoft JhengHei"/>
        <family val="0"/>
        <charset val="1"/>
      </rPr>
      <t xml:space="preserve">6</t>
    </r>
    <r>
      <rPr>
        <sz val="9"/>
        <rFont val="Noto Sans CJK SC"/>
        <family val="2"/>
      </rPr>
      <t xml:space="preserve">種增為</t>
    </r>
    <r>
      <rPr>
        <sz val="9"/>
        <rFont val="Microsoft JhengHei"/>
        <family val="0"/>
        <charset val="1"/>
      </rPr>
      <t xml:space="preserve">10</t>
    </r>
    <r>
      <rPr>
        <sz val="9"/>
        <rFont val="Noto Sans CJK SC"/>
        <family val="2"/>
      </rPr>
      <t xml:space="preserve">種（新增</t>
    </r>
    <r>
      <rPr>
        <sz val="9"/>
        <rFont val="Microsoft JhengHei"/>
        <family val="0"/>
        <charset val="1"/>
      </rPr>
      <t xml:space="preserve">đặt hàng</t>
    </r>
    <r>
      <rPr>
        <sz val="9"/>
        <rFont val="Noto Sans CJK SC"/>
        <family val="2"/>
      </rPr>
      <t xml:space="preserve">），另有線上詢價與線上採購兩種方式。硬缺口：直線加速器</t>
    </r>
    <r>
      <rPr>
        <sz val="9"/>
        <rFont val="Microsoft JhengHei"/>
        <family val="0"/>
        <charset val="1"/>
      </rPr>
      <t xml:space="preserve">85</t>
    </r>
    <r>
      <rPr>
        <sz val="9"/>
        <rFont val="Noto Sans CJK SC"/>
        <family val="2"/>
      </rPr>
      <t xml:space="preserve">台、分布近</t>
    </r>
    <r>
      <rPr>
        <sz val="9"/>
        <rFont val="Microsoft JhengHei"/>
        <family val="0"/>
        <charset val="1"/>
      </rPr>
      <t xml:space="preserve">100</t>
    </r>
    <r>
      <rPr>
        <sz val="9"/>
        <rFont val="Noto Sans CJK SC"/>
        <family val="2"/>
      </rPr>
      <t xml:space="preserve">家中心，放療量能僅滿足約</t>
    </r>
    <r>
      <rPr>
        <sz val="9"/>
        <rFont val="Microsoft JhengHei"/>
        <family val="0"/>
        <charset val="1"/>
      </rPr>
      <t xml:space="preserve">60%</t>
    </r>
    <r>
      <rPr>
        <sz val="9"/>
        <rFont val="Noto Sans CJK SC"/>
        <family val="2"/>
      </rPr>
      <t xml:space="preserve">需求（越南原子能主管機關</t>
    </r>
    <r>
      <rPr>
        <sz val="9"/>
        <rFont val="Microsoft JhengHei"/>
        <family val="0"/>
        <charset val="1"/>
      </rPr>
      <t xml:space="preserve">2025-08</t>
    </r>
    <r>
      <rPr>
        <sz val="9"/>
        <rFont val="Noto Sans CJK SC"/>
        <family val="2"/>
      </rPr>
      <t xml:space="preserve">）；透析實際僅</t>
    </r>
    <r>
      <rPr>
        <sz val="9"/>
        <rFont val="Microsoft JhengHei"/>
        <family val="0"/>
        <charset val="1"/>
      </rPr>
      <t xml:space="preserve">4.5-5</t>
    </r>
    <r>
      <rPr>
        <sz val="9"/>
        <rFont val="Noto Sans CJK SC"/>
        <family val="2"/>
      </rPr>
      <t xml:space="preserve">萬人接受治療、成人</t>
    </r>
    <r>
      <rPr>
        <sz val="9"/>
        <rFont val="Microsoft JhengHei"/>
        <family val="0"/>
        <charset val="1"/>
      </rPr>
      <t xml:space="preserve">CKD</t>
    </r>
    <r>
      <rPr>
        <sz val="9"/>
        <rFont val="Noto Sans CJK SC"/>
        <family val="2"/>
      </rPr>
      <t xml:space="preserve">達</t>
    </r>
    <r>
      <rPr>
        <sz val="9"/>
        <rFont val="Microsoft JhengHei"/>
        <family val="0"/>
        <charset val="1"/>
      </rPr>
      <t xml:space="preserve">1,000-1,050</t>
    </r>
    <r>
      <rPr>
        <sz val="9"/>
        <rFont val="Noto Sans CJK SC"/>
        <family val="2"/>
      </rPr>
      <t xml:space="preserve">萬人；</t>
    </r>
    <r>
      <rPr>
        <sz val="9"/>
        <rFont val="Microsoft JhengHei"/>
        <family val="0"/>
        <charset val="1"/>
      </rPr>
      <t xml:space="preserve">PET/CT</t>
    </r>
    <r>
      <rPr>
        <sz val="9"/>
        <rFont val="Noto Sans CJK SC"/>
        <family val="2"/>
      </rPr>
      <t xml:space="preserve">僅</t>
    </r>
    <r>
      <rPr>
        <sz val="9"/>
        <rFont val="Microsoft JhengHei"/>
        <family val="0"/>
        <charset val="1"/>
      </rPr>
      <t xml:space="preserve">12</t>
    </r>
    <r>
      <rPr>
        <sz val="9"/>
        <rFont val="Noto Sans CJK SC"/>
        <family val="2"/>
      </rPr>
      <t xml:space="preserve">台。</t>
    </r>
    <r>
      <rPr>
        <sz val="9"/>
        <rFont val="Microsoft JhengHei"/>
        <family val="0"/>
        <charset val="1"/>
      </rPr>
      <t xml:space="preserve">2026-02 Tâm Anh</t>
    </r>
    <r>
      <rPr>
        <sz val="9"/>
        <rFont val="Noto Sans CJK SC"/>
        <family val="2"/>
      </rPr>
      <t xml:space="preserve">採購全國首套質子治療系統（</t>
    </r>
    <r>
      <rPr>
        <sz val="9"/>
        <rFont val="Microsoft JhengHei"/>
        <family val="0"/>
        <charset val="1"/>
      </rPr>
      <t xml:space="preserve">Mevion S250-FIT</t>
    </r>
    <r>
      <rPr>
        <sz val="9"/>
        <rFont val="Noto Sans CJK SC"/>
        <family val="2"/>
      </rPr>
      <t xml:space="preserve">，近</t>
    </r>
    <r>
      <rPr>
        <sz val="9"/>
        <rFont val="Microsoft JhengHei"/>
        <family val="0"/>
        <charset val="1"/>
      </rPr>
      <t xml:space="preserve">2</t>
    </r>
    <r>
      <rPr>
        <sz val="9"/>
        <rFont val="Noto Sans CJK SC"/>
        <family val="2"/>
      </rPr>
      <t xml:space="preserve">兆越盾）。</t>
    </r>
  </si>
  <si>
    <t xml:space="preserve">OPP-15</t>
  </si>
  <si>
    <t xml:space="preserve">放射腫瘤與核醫中心整廠</t>
  </si>
  <si>
    <t xml:space="preserve">Radiotherapy &amp; Nuclear Medicine Centre Turnkey</t>
  </si>
  <si>
    <r>
      <rPr>
        <sz val="9"/>
        <color rgb="FF000000"/>
        <rFont val="Noto Sans CJK SC"/>
        <family val="2"/>
      </rPr>
      <t xml:space="preserve">直線加速器、近接治療、治療計畫系統、防護機房土建、</t>
    </r>
    <r>
      <rPr>
        <sz val="9"/>
        <color rgb="FF000000"/>
        <rFont val="微軟正黑體"/>
        <family val="0"/>
        <charset val="1"/>
      </rPr>
      <t xml:space="preserve">PET/CT</t>
    </r>
    <r>
      <rPr>
        <sz val="9"/>
        <color rgb="FF000000"/>
        <rFont val="Noto Sans CJK SC"/>
        <family val="2"/>
      </rPr>
      <t xml:space="preserve">；省預算或腫瘤合資公司付錢</t>
    </r>
  </si>
  <si>
    <t xml:space="preserve">★放療與核醫設備嚴重不足且集中在河內／胡志明市，腫瘤醫院長期超載，是最大的臨床量能缺口</t>
  </si>
  <si>
    <r>
      <rPr>
        <sz val="9"/>
        <color rgb="FF000000"/>
        <rFont val="微軟正黑體"/>
        <family val="0"/>
        <charset val="1"/>
      </rPr>
      <t xml:space="preserve">Varian/Elekta </t>
    </r>
    <r>
      <rPr>
        <sz val="9"/>
        <color rgb="FF000000"/>
        <rFont val="Noto Sans CJK SC"/>
        <family val="2"/>
      </rPr>
      <t xml:space="preserve">原廠直營；量能集中河內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胡志明兩大城</t>
    </r>
  </si>
  <si>
    <r>
      <rPr>
        <sz val="9"/>
        <color rgb="FF000000"/>
        <rFont val="Noto Sans CJK SC"/>
        <family val="2"/>
      </rPr>
      <t xml:space="preserve">整廠輸出（防護土建＋</t>
    </r>
    <r>
      <rPr>
        <sz val="9"/>
        <color rgb="FF000000"/>
        <rFont val="微軟正黑體"/>
        <family val="0"/>
        <charset val="1"/>
      </rPr>
      <t xml:space="preserve">TPS</t>
    </r>
    <r>
      <rPr>
        <sz val="9"/>
        <color rgb="FF000000"/>
        <rFont val="Noto Sans CJK SC"/>
        <family val="2"/>
      </rPr>
      <t xml:space="preserve">＋物理師訓練）＋</t>
    </r>
    <r>
      <rPr>
        <sz val="9"/>
        <color rgb="FF000000"/>
        <rFont val="微軟正黑體"/>
        <family val="0"/>
        <charset val="1"/>
      </rPr>
      <t xml:space="preserve">ODA</t>
    </r>
    <r>
      <rPr>
        <sz val="9"/>
        <color rgb="FF000000"/>
        <rFont val="Noto Sans CJK SC"/>
        <family val="2"/>
      </rPr>
      <t xml:space="preserve">組案能力</t>
    </r>
  </si>
  <si>
    <r>
      <rPr>
        <sz val="9"/>
        <rFont val="Noto Sans CJK SC"/>
        <family val="2"/>
      </rPr>
      <t xml:space="preserve">全國</t>
    </r>
    <r>
      <rPr>
        <sz val="9"/>
        <rFont val="Microsoft JhengHei"/>
        <family val="0"/>
        <charset val="1"/>
      </rPr>
      <t xml:space="preserve">85</t>
    </r>
    <r>
      <rPr>
        <sz val="9"/>
        <rFont val="Noto Sans CJK SC"/>
        <family val="2"/>
      </rPr>
      <t xml:space="preserve">台體外放療加速器、分布近</t>
    </r>
    <r>
      <rPr>
        <sz val="9"/>
        <rFont val="Microsoft JhengHei"/>
        <family val="0"/>
        <charset val="1"/>
      </rPr>
      <t xml:space="preserve">100</t>
    </r>
    <r>
      <rPr>
        <sz val="9"/>
        <rFont val="Noto Sans CJK SC"/>
        <family val="2"/>
      </rPr>
      <t xml:space="preserve">家中心，量能僅滿足約</t>
    </r>
    <r>
      <rPr>
        <sz val="9"/>
        <rFont val="Microsoft JhengHei"/>
        <family val="0"/>
        <charset val="1"/>
      </rPr>
      <t xml:space="preserve">60%</t>
    </r>
    <r>
      <rPr>
        <sz val="9"/>
        <rFont val="Noto Sans CJK SC"/>
        <family val="2"/>
      </rPr>
      <t xml:space="preserve">需求（越南原子能主管機關</t>
    </r>
    <r>
      <rPr>
        <sz val="9"/>
        <rFont val="Microsoft JhengHei"/>
        <family val="0"/>
        <charset val="1"/>
      </rPr>
      <t xml:space="preserve">2025-08</t>
    </r>
    <r>
      <rPr>
        <sz val="9"/>
        <rFont val="Noto Sans CJK SC"/>
        <family val="2"/>
      </rPr>
      <t xml:space="preserve">）；約</t>
    </r>
    <r>
      <rPr>
        <sz val="9"/>
        <rFont val="Microsoft JhengHei"/>
        <family val="0"/>
        <charset val="1"/>
      </rPr>
      <t xml:space="preserve">0.84</t>
    </r>
    <r>
      <rPr>
        <sz val="9"/>
        <rFont val="Noto Sans CJK SC"/>
        <family val="2"/>
      </rPr>
      <t xml:space="preserve">台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百萬人 </t>
    </r>
    <r>
      <rPr>
        <sz val="9"/>
        <rFont val="Microsoft JhengHei"/>
        <family val="0"/>
        <charset val="1"/>
      </rPr>
      <t xml:space="preserve">vs </t>
    </r>
    <r>
      <rPr>
        <sz val="9"/>
        <rFont val="Noto Sans CJK SC"/>
        <family val="2"/>
      </rPr>
      <t xml:space="preserve">標準</t>
    </r>
    <r>
      <rPr>
        <sz val="9"/>
        <rFont val="Microsoft JhengHei"/>
        <family val="0"/>
        <charset val="1"/>
      </rPr>
      <t xml:space="preserve">4-8</t>
    </r>
    <r>
      <rPr>
        <sz val="9"/>
        <rFont val="Noto Sans CJK SC"/>
        <family val="2"/>
      </rPr>
      <t xml:space="preserve">台、</t>
    </r>
    <r>
      <rPr>
        <sz val="9"/>
        <rFont val="Microsoft JhengHei"/>
        <family val="0"/>
        <charset val="1"/>
      </rPr>
      <t xml:space="preserve">43%</t>
    </r>
    <r>
      <rPr>
        <sz val="9"/>
        <rFont val="Noto Sans CJK SC"/>
        <family val="2"/>
      </rPr>
      <t xml:space="preserve">老舊；</t>
    </r>
    <r>
      <rPr>
        <sz val="9"/>
        <rFont val="Microsoft JhengHei"/>
        <family val="0"/>
        <charset val="1"/>
      </rPr>
      <t xml:space="preserve">PET/CT</t>
    </r>
    <r>
      <rPr>
        <sz val="9"/>
        <rFont val="Noto Sans CJK SC"/>
        <family val="2"/>
      </rPr>
      <t xml:space="preserve">僅</t>
    </r>
    <r>
      <rPr>
        <sz val="9"/>
        <rFont val="Microsoft JhengHei"/>
        <family val="0"/>
        <charset val="1"/>
      </rPr>
      <t xml:space="preserve">12</t>
    </r>
    <r>
      <rPr>
        <sz val="9"/>
        <rFont val="Noto Sans CJK SC"/>
        <family val="2"/>
      </rPr>
      <t xml:space="preserve">台、迴旋加速器</t>
    </r>
    <r>
      <rPr>
        <sz val="9"/>
        <rFont val="Microsoft JhengHei"/>
        <family val="0"/>
        <charset val="1"/>
      </rPr>
      <t xml:space="preserve">3</t>
    </r>
    <r>
      <rPr>
        <sz val="9"/>
        <rFont val="Noto Sans CJK SC"/>
        <family val="2"/>
      </rPr>
      <t xml:space="preserve">台；放療等待</t>
    </r>
    <r>
      <rPr>
        <sz val="9"/>
        <rFont val="Microsoft JhengHei"/>
        <family val="0"/>
        <charset val="1"/>
      </rPr>
      <t xml:space="preserve">2-6</t>
    </r>
    <r>
      <rPr>
        <sz val="9"/>
        <rFont val="Noto Sans CJK SC"/>
        <family val="2"/>
      </rPr>
      <t xml:space="preserve">週。質子治療：</t>
    </r>
    <r>
      <rPr>
        <sz val="9"/>
        <rFont val="Microsoft JhengHei"/>
        <family val="0"/>
        <charset val="1"/>
      </rPr>
      <t xml:space="preserve">K</t>
    </r>
    <r>
      <rPr>
        <sz val="9"/>
        <rFont val="Noto Sans CJK SC"/>
        <family val="2"/>
      </rPr>
      <t xml:space="preserve">醫院籌建北越首座質子中心（</t>
    </r>
    <r>
      <rPr>
        <sz val="9"/>
        <rFont val="Microsoft JhengHei"/>
        <family val="0"/>
        <charset val="1"/>
      </rPr>
      <t xml:space="preserve">4.2</t>
    </r>
    <r>
      <rPr>
        <sz val="9"/>
        <rFont val="Noto Sans CJK SC"/>
        <family val="2"/>
      </rPr>
      <t xml:space="preserve">兆越盾）；</t>
    </r>
    <r>
      <rPr>
        <sz val="9"/>
        <rFont val="Microsoft JhengHei"/>
        <family val="0"/>
        <charset val="1"/>
      </rPr>
      <t xml:space="preserve">Tâm Anh</t>
    </r>
    <r>
      <rPr>
        <sz val="9"/>
        <rFont val="Noto Sans CJK SC"/>
        <family val="2"/>
      </rPr>
      <t xml:space="preserve">已於</t>
    </r>
    <r>
      <rPr>
        <sz val="9"/>
        <rFont val="Microsoft JhengHei"/>
        <family val="0"/>
        <charset val="1"/>
      </rPr>
      <t xml:space="preserve">2026-02</t>
    </r>
    <r>
      <rPr>
        <sz val="9"/>
        <rFont val="Noto Sans CJK SC"/>
        <family val="2"/>
      </rPr>
      <t xml:space="preserve">採購全國首套質子系統（</t>
    </r>
    <r>
      <rPr>
        <sz val="9"/>
        <rFont val="Microsoft JhengHei"/>
        <family val="0"/>
        <charset val="1"/>
      </rPr>
      <t xml:space="preserve">Mevion S250-FIT</t>
    </r>
    <r>
      <rPr>
        <sz val="9"/>
        <rFont val="Noto Sans CJK SC"/>
        <family val="2"/>
      </rPr>
      <t xml:space="preserve">，近</t>
    </r>
    <r>
      <rPr>
        <sz val="9"/>
        <rFont val="Microsoft JhengHei"/>
        <family val="0"/>
        <charset val="1"/>
      </rPr>
      <t xml:space="preserve">2</t>
    </r>
    <r>
      <rPr>
        <sz val="9"/>
        <rFont val="Noto Sans CJK SC"/>
        <family val="2"/>
      </rPr>
      <t xml:space="preserve">兆越盾）。達低標需增至約</t>
    </r>
    <r>
      <rPr>
        <sz val="9"/>
        <rFont val="Microsoft JhengHei"/>
        <family val="0"/>
        <charset val="1"/>
      </rPr>
      <t xml:space="preserve">400</t>
    </r>
    <r>
      <rPr>
        <sz val="9"/>
        <rFont val="Noto Sans CJK SC"/>
        <family val="2"/>
      </rPr>
      <t xml:space="preserve">台。</t>
    </r>
  </si>
  <si>
    <t xml:space="preserve">OPP-16</t>
  </si>
  <si>
    <t xml:space="preserve">心導管室與複合式手術室</t>
  </si>
  <si>
    <t xml:space="preserve">Cath Lab &amp; Hybrid OR</t>
  </si>
  <si>
    <r>
      <rPr>
        <sz val="9"/>
        <color rgb="FF000000"/>
        <rFont val="Noto Sans CJK SC"/>
        <family val="2"/>
      </rPr>
      <t xml:space="preserve">心導管室、</t>
    </r>
    <r>
      <rPr>
        <sz val="9"/>
        <color rgb="FF000000"/>
        <rFont val="微軟正黑體"/>
        <family val="0"/>
        <charset val="1"/>
      </rPr>
      <t xml:space="preserve">DSA</t>
    </r>
    <r>
      <rPr>
        <sz val="9"/>
        <color rgb="FF000000"/>
        <rFont val="Noto Sans CJK SC"/>
        <family val="2"/>
      </rPr>
      <t xml:space="preserve">、血液動力學監測與複合式手術室；醫院資本支出</t>
    </r>
  </si>
  <si>
    <r>
      <rPr>
        <sz val="9"/>
        <color rgb="FF000000"/>
        <rFont val="Noto Sans CJK SC"/>
        <family val="2"/>
      </rPr>
      <t xml:space="preserve">心血管是最大的醫材次領域（約</t>
    </r>
    <r>
      <rPr>
        <sz val="9"/>
        <color rgb="FF000000"/>
        <rFont val="微軟正黑體"/>
        <family val="0"/>
        <charset val="1"/>
      </rPr>
      <t xml:space="preserve">US$293m</t>
    </r>
    <r>
      <rPr>
        <sz val="9"/>
        <color rgb="FF000000"/>
        <rFont val="Noto Sans CJK SC"/>
        <family val="2"/>
      </rPr>
      <t xml:space="preserve">），中央醫院已有、省級還很薄</t>
    </r>
  </si>
  <si>
    <r>
      <rPr>
        <sz val="9"/>
        <rFont val="Noto Sans CJK SC"/>
        <family val="2"/>
      </rPr>
      <t xml:space="preserve">介入心臟市場：</t>
    </r>
    <r>
      <rPr>
        <sz val="9"/>
        <rFont val="Microsoft JhengHei"/>
        <family val="0"/>
        <charset val="1"/>
      </rPr>
      <t xml:space="preserve">Data Bridge</t>
    </r>
    <r>
      <rPr>
        <sz val="9"/>
        <rFont val="Noto Sans CJK SC"/>
        <family val="2"/>
      </rPr>
      <t xml:space="preserve">估</t>
    </r>
    <r>
      <rPr>
        <sz val="9"/>
        <rFont val="Microsoft JhengHei"/>
        <family val="0"/>
        <charset val="1"/>
      </rPr>
      <t xml:space="preserve">2024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5,849</t>
    </r>
    <r>
      <rPr>
        <sz val="9"/>
        <rFont val="Noto Sans CJK SC"/>
        <family val="2"/>
      </rPr>
      <t xml:space="preserve">萬美元→</t>
    </r>
    <r>
      <rPr>
        <sz val="9"/>
        <rFont val="Microsoft JhengHei"/>
        <family val="0"/>
        <charset val="1"/>
      </rPr>
      <t xml:space="preserve">2032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9,901</t>
    </r>
    <r>
      <rPr>
        <sz val="9"/>
        <rFont val="Noto Sans CJK SC"/>
        <family val="2"/>
      </rPr>
      <t xml:space="preserve">萬（</t>
    </r>
    <r>
      <rPr>
        <sz val="9"/>
        <rFont val="Microsoft JhengHei"/>
        <family val="0"/>
        <charset val="1"/>
      </rPr>
      <t xml:space="preserve">CAGR 6.8%</t>
    </r>
    <r>
      <rPr>
        <sz val="9"/>
        <rFont val="Noto Sans CJK SC"/>
        <family val="2"/>
      </rPr>
      <t xml:space="preserve">）；</t>
    </r>
    <r>
      <rPr>
        <sz val="9"/>
        <rFont val="Microsoft JhengHei"/>
        <family val="0"/>
        <charset val="1"/>
      </rPr>
      <t xml:space="preserve">Expert Market Research</t>
    </r>
    <r>
      <rPr>
        <sz val="9"/>
        <rFont val="Noto Sans CJK SC"/>
        <family val="2"/>
      </rPr>
      <t xml:space="preserve">估</t>
    </r>
    <r>
      <rPr>
        <sz val="9"/>
        <rFont val="Microsoft JhengHei"/>
        <family val="0"/>
        <charset val="1"/>
      </rPr>
      <t xml:space="preserve">2025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8.6</t>
    </r>
    <r>
      <rPr>
        <sz val="9"/>
        <rFont val="Noto Sans CJK SC"/>
        <family val="2"/>
      </rPr>
      <t xml:space="preserve">億美元（</t>
    </r>
    <r>
      <rPr>
        <sz val="9"/>
        <rFont val="Microsoft JhengHei"/>
        <family val="0"/>
        <charset val="1"/>
      </rPr>
      <t xml:space="preserve">CAGR 7.45%</t>
    </r>
    <r>
      <rPr>
        <sz val="9"/>
        <rFont val="Noto Sans CJK SC"/>
        <family val="2"/>
      </rPr>
      <t xml:space="preserve">）——兩者相差約</t>
    </r>
    <r>
      <rPr>
        <sz val="9"/>
        <rFont val="Microsoft JhengHei"/>
        <family val="0"/>
        <charset val="1"/>
      </rPr>
      <t xml:space="preserve">15</t>
    </r>
    <r>
      <rPr>
        <sz val="9"/>
        <rFont val="Noto Sans CJK SC"/>
        <family val="2"/>
      </rPr>
      <t xml:space="preserve">倍，涵蓋範圍不同（器材 </t>
    </r>
    <r>
      <rPr>
        <sz val="9"/>
        <rFont val="Microsoft JhengHei"/>
        <family val="0"/>
        <charset val="1"/>
      </rPr>
      <t xml:space="preserve">vs </t>
    </r>
    <r>
      <rPr>
        <sz val="9"/>
        <rFont val="Noto Sans CJK SC"/>
        <family val="2"/>
      </rPr>
      <t xml:space="preserve">含手術服務）。⚠「越南占東南亞</t>
    </r>
    <r>
      <rPr>
        <sz val="9"/>
        <rFont val="Microsoft JhengHei"/>
        <family val="0"/>
        <charset val="1"/>
      </rPr>
      <t xml:space="preserve">36.4%</t>
    </r>
    <r>
      <rPr>
        <sz val="9"/>
        <rFont val="Noto Sans CJK SC"/>
        <family val="2"/>
      </rPr>
      <t xml:space="preserve">」僅見</t>
    </r>
    <r>
      <rPr>
        <sz val="9"/>
        <rFont val="Microsoft JhengHei"/>
        <family val="0"/>
        <charset val="1"/>
      </rPr>
      <t xml:space="preserve">Data Bridge</t>
    </r>
    <r>
      <rPr>
        <sz val="9"/>
        <rFont val="Noto Sans CJK SC"/>
        <family val="2"/>
      </rPr>
      <t xml:space="preserve">自家頁面、其東南亞母報告已</t>
    </r>
    <r>
      <rPr>
        <sz val="9"/>
        <rFont val="Microsoft JhengHei"/>
        <family val="0"/>
        <charset val="1"/>
      </rPr>
      <t xml:space="preserve">404</t>
    </r>
    <r>
      <rPr>
        <sz val="9"/>
        <rFont val="Noto Sans CJK SC"/>
        <family val="2"/>
      </rPr>
      <t xml:space="preserve">，反推東南亞總額僅約</t>
    </r>
    <r>
      <rPr>
        <sz val="9"/>
        <rFont val="Microsoft JhengHei"/>
        <family val="0"/>
        <charset val="1"/>
      </rPr>
      <t xml:space="preserve">1.6</t>
    </r>
    <r>
      <rPr>
        <sz val="9"/>
        <rFont val="Noto Sans CJK SC"/>
        <family val="2"/>
      </rPr>
      <t xml:space="preserve">億美元與各國</t>
    </r>
    <r>
      <rPr>
        <sz val="9"/>
        <rFont val="Microsoft JhengHei"/>
        <family val="0"/>
        <charset val="1"/>
      </rPr>
      <t xml:space="preserve">PCI</t>
    </r>
    <r>
      <rPr>
        <sz val="9"/>
        <rFont val="Noto Sans CJK SC"/>
        <family val="2"/>
      </rPr>
      <t xml:space="preserve">手術量常識不符，不可採信為事實。複合手術室專屬數據未查得。</t>
    </r>
  </si>
  <si>
    <t xml:space="preserve">OPP-17</t>
  </si>
  <si>
    <t xml:space="preserve">洗腎設備與水處理系統</t>
  </si>
  <si>
    <t xml:space="preserve">Dialysis Plant &amp; RO Water Treatment</t>
  </si>
  <si>
    <t xml:space="preserve">洗腎機、逆滲透水處理、濃縮液供應；設備一次收入加上耗材長期續收</t>
  </si>
  <si>
    <r>
      <rPr>
        <sz val="9"/>
        <color rgb="FF000000"/>
        <rFont val="Noto Sans CJK SC"/>
        <family val="2"/>
      </rPr>
      <t xml:space="preserve">約</t>
    </r>
    <r>
      <rPr>
        <sz val="9"/>
        <color rgb="FF000000"/>
        <rFont val="微軟正黑體"/>
        <family val="0"/>
        <charset val="1"/>
      </rPr>
      <t xml:space="preserve">1300</t>
    </r>
    <r>
      <rPr>
        <sz val="9"/>
        <color rgb="FF000000"/>
        <rFont val="Noto Sans CJK SC"/>
        <family val="2"/>
      </rPr>
      <t xml:space="preserve">萬慢性腎病人口，但</t>
    </r>
    <r>
      <rPr>
        <sz val="9"/>
        <color rgb="FF000000"/>
        <rFont val="微軟正黑體"/>
        <family val="0"/>
        <charset val="1"/>
      </rPr>
      <t xml:space="preserve">80%</t>
    </r>
    <r>
      <rPr>
        <sz val="9"/>
        <color rgb="FF000000"/>
        <rFont val="Noto Sans CJK SC"/>
        <family val="2"/>
      </rPr>
      <t xml:space="preserve">洗腎中心集中在都市；健保給付洗腎，付費來源最明確</t>
    </r>
  </si>
  <si>
    <r>
      <rPr>
        <sz val="9"/>
        <color rgb="FF000000"/>
        <rFont val="微軟正黑體"/>
        <family val="0"/>
        <charset val="1"/>
      </rPr>
      <t xml:space="preserve">Fresenius/B.Braun </t>
    </r>
    <r>
      <rPr>
        <sz val="9"/>
        <color rgb="FF000000"/>
        <rFont val="Noto Sans CJK SC"/>
        <family val="2"/>
      </rPr>
      <t xml:space="preserve">設備商；在地私人洗腎中心約</t>
    </r>
    <r>
      <rPr>
        <sz val="9"/>
        <color rgb="FF000000"/>
        <rFont val="微軟正黑體"/>
        <family val="0"/>
        <charset val="1"/>
      </rPr>
      <t xml:space="preserve">50</t>
    </r>
    <r>
      <rPr>
        <sz val="9"/>
        <color rgb="FF000000"/>
        <rFont val="Noto Sans CJK SC"/>
        <family val="2"/>
      </rPr>
      <t xml:space="preserve">家在展開</t>
    </r>
  </si>
  <si>
    <t xml:space="preserve">設備＋水處理＋耗材長約＋衛星中心營運知識整包</t>
  </si>
  <si>
    <r>
      <rPr>
        <sz val="9"/>
        <rFont val="Noto Sans CJK SC"/>
        <family val="2"/>
      </rPr>
      <t xml:space="preserve">透析市場</t>
    </r>
    <r>
      <rPr>
        <sz val="9"/>
        <rFont val="Microsoft JhengHei"/>
        <family val="0"/>
        <charset val="1"/>
      </rPr>
      <t xml:space="preserve">2025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5.04</t>
    </r>
    <r>
      <rPr>
        <sz val="9"/>
        <rFont val="Noto Sans CJK SC"/>
        <family val="2"/>
      </rPr>
      <t xml:space="preserve">億美元→</t>
    </r>
    <r>
      <rPr>
        <sz val="9"/>
        <rFont val="Microsoft JhengHei"/>
        <family val="0"/>
        <charset val="1"/>
      </rPr>
      <t xml:space="preserve">2034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7.18</t>
    </r>
    <r>
      <rPr>
        <sz val="9"/>
        <rFont val="Noto Sans CJK SC"/>
        <family val="2"/>
      </rPr>
      <t xml:space="preserve">億；需求</t>
    </r>
    <r>
      <rPr>
        <sz val="9"/>
        <rFont val="Microsoft JhengHei"/>
        <family val="0"/>
        <charset val="1"/>
      </rPr>
      <t xml:space="preserve">&gt;10</t>
    </r>
    <r>
      <rPr>
        <sz val="9"/>
        <rFont val="Noto Sans CJK SC"/>
        <family val="2"/>
      </rPr>
      <t xml:space="preserve">萬人、實際</t>
    </r>
    <r>
      <rPr>
        <sz val="9"/>
        <rFont val="Microsoft JhengHei"/>
        <family val="0"/>
        <charset val="1"/>
      </rPr>
      <t xml:space="preserve">3.6</t>
    </r>
    <r>
      <rPr>
        <sz val="9"/>
        <rFont val="Noto Sans CJK SC"/>
        <family val="2"/>
      </rPr>
      <t xml:space="preserve">萬（覆蓋</t>
    </r>
    <r>
      <rPr>
        <sz val="9"/>
        <rFont val="Microsoft JhengHei"/>
        <family val="0"/>
        <charset val="1"/>
      </rPr>
      <t xml:space="preserve">~1/3</t>
    </r>
    <r>
      <rPr>
        <sz val="9"/>
        <rFont val="Noto Sans CJK SC"/>
        <family val="2"/>
      </rPr>
      <t xml:space="preserve">）；健保給付約</t>
    </r>
    <r>
      <rPr>
        <sz val="9"/>
        <rFont val="Microsoft JhengHei"/>
        <family val="0"/>
        <charset val="1"/>
      </rPr>
      <t xml:space="preserve">25</t>
    </r>
    <r>
      <rPr>
        <sz val="9"/>
        <rFont val="Noto Sans CJK SC"/>
        <family val="2"/>
      </rPr>
      <t xml:space="preserve">美元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次；全國僅約</t>
    </r>
    <r>
      <rPr>
        <sz val="9"/>
        <rFont val="Microsoft JhengHei"/>
        <family val="0"/>
        <charset val="1"/>
      </rPr>
      <t xml:space="preserve">400</t>
    </r>
    <r>
      <rPr>
        <sz val="9"/>
        <rFont val="Noto Sans CJK SC"/>
        <family val="2"/>
      </rPr>
      <t xml:space="preserve">透析單位。</t>
    </r>
  </si>
  <si>
    <t xml:space="preserve">OPP-18</t>
  </si>
  <si>
    <t xml:space="preserve">內視鏡與自動清洗消毒追溯</t>
  </si>
  <si>
    <t xml:space="preserve">Endoscopy Suite &amp; Automated Reprocessing</t>
  </si>
  <si>
    <r>
      <rPr>
        <sz val="9"/>
        <color rgb="FF000000"/>
        <rFont val="Noto Sans CJK SC"/>
        <family val="2"/>
      </rPr>
      <t xml:space="preserve">內視鏡主機加上越南醫院普遍買不足的清洗消毒</t>
    </r>
    <r>
      <rPr>
        <sz val="9"/>
        <color rgb="FF000000"/>
        <rFont val="微軟正黑體"/>
        <family val="0"/>
        <charset val="1"/>
      </rPr>
      <t xml:space="preserve">(AER)</t>
    </r>
    <r>
      <rPr>
        <sz val="9"/>
        <color rgb="FF000000"/>
        <rFont val="Noto Sans CJK SC"/>
        <family val="2"/>
      </rPr>
      <t xml:space="preserve">、乾燥櫃與追溯系統</t>
    </r>
  </si>
  <si>
    <t xml:space="preserve">內視鏡主機有人賣，但清洗消毒與追溯這一段幾乎沒人做，是感染管制稽查的下一個焦點</t>
  </si>
  <si>
    <r>
      <rPr>
        <sz val="9"/>
        <rFont val="Noto Sans CJK SC"/>
        <family val="2"/>
      </rPr>
      <t xml:space="preserve">越南專屬市場數據與法規未查得；</t>
    </r>
    <r>
      <rPr>
        <sz val="9"/>
        <rFont val="Microsoft JhengHei"/>
        <family val="0"/>
        <charset val="1"/>
      </rPr>
      <t xml:space="preserve">Olympus</t>
    </r>
    <r>
      <rPr>
        <sz val="9"/>
        <rFont val="Noto Sans CJK SC"/>
        <family val="2"/>
      </rPr>
      <t xml:space="preserve">已在</t>
    </r>
    <r>
      <rPr>
        <sz val="9"/>
        <rFont val="Microsoft JhengHei"/>
        <family val="0"/>
        <charset val="1"/>
      </rPr>
      <t xml:space="preserve">Cho Ray/108</t>
    </r>
    <r>
      <rPr>
        <sz val="9"/>
        <rFont val="Noto Sans CJK SC"/>
        <family val="2"/>
      </rPr>
      <t xml:space="preserve">醫院驗證內視鏡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2022-23</t>
    </r>
    <r>
      <rPr>
        <sz val="9"/>
        <rFont val="Noto Sans CJK SC"/>
        <family val="2"/>
      </rPr>
      <t xml:space="preserve">）可作切入參照。</t>
    </r>
  </si>
  <si>
    <t xml:space="preserve">OPP-19</t>
  </si>
  <si>
    <t xml:space="preserve">加護病房與整合手術室設備包</t>
  </si>
  <si>
    <t xml:space="preserve">ICU &amp; Integrated OR Equipment Package</t>
  </si>
  <si>
    <r>
      <rPr>
        <sz val="9"/>
        <color rgb="FF000000"/>
        <rFont val="Noto Sans CJK SC"/>
        <family val="2"/>
      </rPr>
      <t xml:space="preserve">吊塔、影像整合、呼吸器、</t>
    </r>
    <r>
      <rPr>
        <sz val="9"/>
        <color rgb="FF000000"/>
        <rFont val="微軟正黑體"/>
        <family val="0"/>
        <charset val="1"/>
      </rPr>
      <t xml:space="preserve">ECMO</t>
    </r>
    <r>
      <rPr>
        <sz val="9"/>
        <color rgb="FF000000"/>
        <rFont val="Noto Sans CJK SC"/>
        <family val="2"/>
      </rPr>
      <t xml:space="preserve">、麻醉機、監視系統與中央站的整區交付</t>
    </r>
  </si>
  <si>
    <r>
      <rPr>
        <sz val="9"/>
        <color rgb="FF000000"/>
        <rFont val="Noto Sans CJK SC"/>
        <family val="2"/>
      </rPr>
      <t xml:space="preserve">衛生部指出</t>
    </r>
    <r>
      <rPr>
        <sz val="9"/>
        <color rgb="FF000000"/>
        <rFont val="微軟正黑體"/>
        <family val="0"/>
        <charset val="1"/>
      </rPr>
      <t xml:space="preserve">90%</t>
    </r>
    <r>
      <rPr>
        <sz val="9"/>
        <color rgb="FF000000"/>
        <rFont val="Noto Sans CJK SC"/>
        <family val="2"/>
      </rPr>
      <t xml:space="preserve">中央醫院在急救、</t>
    </r>
    <r>
      <rPr>
        <sz val="9"/>
        <color rgb="FF000000"/>
        <rFont val="微軟正黑體"/>
        <family val="0"/>
        <charset val="1"/>
      </rPr>
      <t xml:space="preserve">ICU</t>
    </r>
    <r>
      <rPr>
        <sz val="9"/>
        <color rgb="FF000000"/>
        <rFont val="Noto Sans CJK SC"/>
        <family val="2"/>
      </rPr>
      <t xml:space="preserve">、心血管與外科設備上有短缺</t>
    </r>
  </si>
  <si>
    <t xml:space="preserve">OPP-20</t>
  </si>
  <si>
    <r>
      <rPr>
        <b val="true"/>
        <sz val="9.5"/>
        <color rgb="FF203864"/>
        <rFont val="Noto Sans CJK SC"/>
        <family val="2"/>
      </rPr>
      <t xml:space="preserve">生殖醫學</t>
    </r>
    <r>
      <rPr>
        <b val="true"/>
        <sz val="9.5"/>
        <color rgb="FF203864"/>
        <rFont val="微軟正黑體"/>
        <family val="0"/>
        <charset val="1"/>
      </rPr>
      <t xml:space="preserve">(IVF)</t>
    </r>
    <r>
      <rPr>
        <b val="true"/>
        <sz val="9.5"/>
        <color rgb="FF203864"/>
        <rFont val="Noto Sans CJK SC"/>
        <family val="2"/>
      </rPr>
      <t xml:space="preserve">實驗室整廠</t>
    </r>
  </si>
  <si>
    <t xml:space="preserve">IVF Laboratory Turnkey</t>
  </si>
  <si>
    <t xml:space="preserve">培養箱、顯微操作、縮時攝影、冷凍保存與潔淨等級空調，加上訓練與流程建置</t>
  </si>
  <si>
    <t xml:space="preserve">病人自費</t>
  </si>
  <si>
    <t xml:space="preserve">全自費、不涉健保，台灣／日本臨床品牌有明顯溢價</t>
  </si>
  <si>
    <r>
      <rPr>
        <sz val="9"/>
        <rFont val="Noto Sans CJK SC"/>
        <family val="2"/>
      </rPr>
      <t xml:space="preserve">全國</t>
    </r>
    <r>
      <rPr>
        <sz val="9"/>
        <rFont val="Microsoft JhengHei"/>
        <family val="0"/>
        <charset val="1"/>
      </rPr>
      <t xml:space="preserve">65</t>
    </r>
    <r>
      <rPr>
        <sz val="9"/>
        <rFont val="Noto Sans CJK SC"/>
        <family val="2"/>
      </rPr>
      <t xml:space="preserve">家持照生殖中心、年</t>
    </r>
    <r>
      <rPr>
        <sz val="9"/>
        <rFont val="Microsoft JhengHei"/>
        <family val="0"/>
        <charset val="1"/>
      </rPr>
      <t xml:space="preserve">5</t>
    </r>
    <r>
      <rPr>
        <sz val="9"/>
        <rFont val="Noto Sans CJK SC"/>
        <family val="2"/>
      </rPr>
      <t xml:space="preserve">萬</t>
    </r>
    <r>
      <rPr>
        <sz val="9"/>
        <rFont val="Microsoft JhengHei"/>
        <family val="0"/>
        <charset val="1"/>
      </rPr>
      <t xml:space="preserve">+</t>
    </r>
    <r>
      <rPr>
        <sz val="9"/>
        <rFont val="Noto Sans CJK SC"/>
        <family val="2"/>
      </rPr>
      <t xml:space="preserve">週期、成功率</t>
    </r>
    <r>
      <rPr>
        <sz val="9"/>
        <rFont val="Microsoft JhengHei"/>
        <family val="0"/>
        <charset val="1"/>
      </rPr>
      <t xml:space="preserve">40-50%</t>
    </r>
    <r>
      <rPr>
        <sz val="9"/>
        <rFont val="Noto Sans CJK SC"/>
        <family val="2"/>
      </rPr>
      <t xml:space="preserve">、單週期約</t>
    </r>
    <r>
      <rPr>
        <sz val="9"/>
        <rFont val="Microsoft JhengHei"/>
        <family val="0"/>
        <charset val="1"/>
      </rPr>
      <t xml:space="preserve">3,000-4,600</t>
    </r>
    <r>
      <rPr>
        <sz val="9"/>
        <rFont val="Noto Sans CJK SC"/>
        <family val="2"/>
      </rPr>
      <t xml:space="preserve">美元（已開發國家</t>
    </r>
    <r>
      <rPr>
        <sz val="9"/>
        <rFont val="Microsoft JhengHei"/>
        <family val="0"/>
        <charset val="1"/>
      </rPr>
      <t xml:space="preserve">1/5</t>
    </r>
    <r>
      <rPr>
        <sz val="9"/>
        <rFont val="Noto Sans CJK SC"/>
        <family val="2"/>
      </rPr>
      <t xml:space="preserve">）；</t>
    </r>
    <r>
      <rPr>
        <sz val="9"/>
        <rFont val="Microsoft JhengHei"/>
        <family val="0"/>
        <charset val="1"/>
      </rPr>
      <t xml:space="preserve">1998</t>
    </r>
    <r>
      <rPr>
        <sz val="9"/>
        <rFont val="Noto Sans CJK SC"/>
        <family val="2"/>
      </rPr>
      <t xml:space="preserve">年來累計</t>
    </r>
    <r>
      <rPr>
        <sz val="9"/>
        <rFont val="Microsoft JhengHei"/>
        <family val="0"/>
        <charset val="1"/>
      </rPr>
      <t xml:space="preserve">20</t>
    </r>
    <r>
      <rPr>
        <sz val="9"/>
        <rFont val="Noto Sans CJK SC"/>
        <family val="2"/>
      </rPr>
      <t xml:space="preserve">萬</t>
    </r>
    <r>
      <rPr>
        <sz val="9"/>
        <rFont val="Microsoft JhengHei"/>
        <family val="0"/>
        <charset val="1"/>
      </rPr>
      <t xml:space="preserve">IVF</t>
    </r>
    <r>
      <rPr>
        <sz val="9"/>
        <rFont val="Noto Sans CJK SC"/>
        <family val="2"/>
      </rPr>
      <t xml:space="preserve">嬰兒。</t>
    </r>
  </si>
  <si>
    <t xml:space="preserve">OPP-21</t>
  </si>
  <si>
    <r>
      <rPr>
        <b val="true"/>
        <sz val="9.5"/>
        <color rgb="FF203864"/>
        <rFont val="Noto Sans CJK SC"/>
        <family val="2"/>
      </rPr>
      <t xml:space="preserve">檢驗中心自動化與</t>
    </r>
    <r>
      <rPr>
        <b val="true"/>
        <sz val="9.5"/>
        <color rgb="FF203864"/>
        <rFont val="微軟正黑體"/>
        <family val="0"/>
        <charset val="1"/>
      </rPr>
      <t xml:space="preserve">LIS</t>
    </r>
  </si>
  <si>
    <t xml:space="preserve">Lab Automation Track &amp; LIS</t>
  </si>
  <si>
    <r>
      <rPr>
        <sz val="9"/>
        <color rgb="FF000000"/>
        <rFont val="Noto Sans CJK SC"/>
        <family val="2"/>
      </rPr>
      <t xml:space="preserve">自動化生化免疫產線＋中介軟體＋</t>
    </r>
    <r>
      <rPr>
        <sz val="9"/>
        <color rgb="FF000000"/>
        <rFont val="微軟正黑體"/>
        <family val="0"/>
        <charset val="1"/>
      </rPr>
      <t xml:space="preserve">ISO 15189</t>
    </r>
    <r>
      <rPr>
        <sz val="9"/>
        <color rgb="FF000000"/>
        <rFont val="Noto Sans CJK SC"/>
        <family val="2"/>
      </rPr>
      <t xml:space="preserve">認證輔導；醫院或私立檢驗連鎖付錢</t>
    </r>
  </si>
  <si>
    <t xml:space="preserve">Laboratory Lead</t>
  </si>
  <si>
    <r>
      <rPr>
        <sz val="9"/>
        <color rgb="FF000000"/>
        <rFont val="Noto Sans CJK SC"/>
        <family val="2"/>
      </rPr>
      <t xml:space="preserve">★全國約</t>
    </r>
    <r>
      <rPr>
        <sz val="9"/>
        <color rgb="FF000000"/>
        <rFont val="微軟正黑體"/>
        <family val="0"/>
        <charset val="1"/>
      </rPr>
      <t xml:space="preserve">3000</t>
    </r>
    <r>
      <rPr>
        <sz val="9"/>
        <color rgb="FF000000"/>
        <rFont val="Noto Sans CJK SC"/>
        <family val="2"/>
      </rPr>
      <t xml:space="preserve">家檢驗室只有約</t>
    </r>
    <r>
      <rPr>
        <sz val="9"/>
        <color rgb="FF000000"/>
        <rFont val="微軟正黑體"/>
        <family val="0"/>
        <charset val="1"/>
      </rPr>
      <t xml:space="preserve">10%</t>
    </r>
    <r>
      <rPr>
        <sz val="9"/>
        <color rgb="FF000000"/>
        <rFont val="Noto Sans CJK SC"/>
        <family val="2"/>
      </rPr>
      <t xml:space="preserve">達到標準化，是最大的品質缺口之一</t>
    </r>
  </si>
  <si>
    <r>
      <rPr>
        <sz val="9"/>
        <color rgb="FF000000"/>
        <rFont val="微軟正黑體"/>
        <family val="0"/>
        <charset val="1"/>
      </rPr>
      <t xml:space="preserve">Roche/Abbott </t>
    </r>
    <r>
      <rPr>
        <sz val="9"/>
        <color rgb="FF000000"/>
        <rFont val="Noto Sans CJK SC"/>
        <family val="2"/>
      </rPr>
      <t xml:space="preserve">自動化產線；</t>
    </r>
    <r>
      <rPr>
        <sz val="9"/>
        <color rgb="FF000000"/>
        <rFont val="微軟正黑體"/>
        <family val="0"/>
        <charset val="1"/>
      </rPr>
      <t xml:space="preserve">Diag/PATHLAB </t>
    </r>
    <r>
      <rPr>
        <sz val="9"/>
        <color rgb="FF000000"/>
        <rFont val="Noto Sans CJK SC"/>
        <family val="2"/>
      </rPr>
      <t xml:space="preserve">等檢驗連鎖整併中</t>
    </r>
  </si>
  <si>
    <r>
      <rPr>
        <sz val="9"/>
        <color rgb="FF000000"/>
        <rFont val="微軟正黑體"/>
        <family val="0"/>
        <charset val="1"/>
      </rPr>
      <t xml:space="preserve">ISO 15189 </t>
    </r>
    <r>
      <rPr>
        <sz val="9"/>
        <color rgb="FF000000"/>
        <rFont val="Noto Sans CJK SC"/>
        <family val="2"/>
      </rPr>
      <t xml:space="preserve">認證輔導綁自動化，吃全民健檢的送檢量</t>
    </r>
  </si>
  <si>
    <r>
      <rPr>
        <sz val="9"/>
        <rFont val="Microsoft JhengHei"/>
        <family val="0"/>
        <charset val="1"/>
      </rPr>
      <t xml:space="preserve">EN</t>
    </r>
    <r>
      <rPr>
        <sz val="9"/>
        <rFont val="Noto Sans CJK SC"/>
        <family val="2"/>
      </rPr>
      <t xml:space="preserve">建議改：</t>
    </r>
    <r>
      <rPr>
        <sz val="9"/>
        <rFont val="Microsoft JhengHei"/>
        <family val="0"/>
        <charset val="1"/>
      </rPr>
      <t xml:space="preserve">Total Laboratory Automation (TLA) &amp; LIS</t>
    </r>
    <r>
      <rPr>
        <sz val="9"/>
        <rFont val="Noto Sans CJK SC"/>
        <family val="2"/>
      </rPr>
      <t xml:space="preserve">（行業標準術語）。</t>
    </r>
    <r>
      <rPr>
        <sz val="9"/>
        <rFont val="Microsoft JhengHei"/>
        <family val="0"/>
        <charset val="1"/>
      </rPr>
      <t xml:space="preserve">cost-per-test 2024</t>
    </r>
    <r>
      <rPr>
        <sz val="9"/>
        <rFont val="Noto Sans CJK SC"/>
        <family val="2"/>
      </rPr>
      <t xml:space="preserve">年入法＝自動化</t>
    </r>
    <r>
      <rPr>
        <sz val="9"/>
        <rFont val="Microsoft JhengHei"/>
        <family val="0"/>
        <charset val="1"/>
      </rPr>
      <t xml:space="preserve">+</t>
    </r>
    <r>
      <rPr>
        <sz val="9"/>
        <rFont val="Noto Sans CJK SC"/>
        <family val="2"/>
      </rPr>
      <t xml:space="preserve">試劑綁定商模解套；僅</t>
    </r>
    <r>
      <rPr>
        <sz val="9"/>
        <rFont val="Microsoft JhengHei"/>
        <family val="0"/>
        <charset val="1"/>
      </rPr>
      <t xml:space="preserve">23</t>
    </r>
    <r>
      <rPr>
        <sz val="9"/>
        <rFont val="Noto Sans CJK SC"/>
        <family val="2"/>
      </rPr>
      <t xml:space="preserve">家無片化醫院＝數位化滲透仍低。</t>
    </r>
  </si>
  <si>
    <t xml:space="preserve">OPP-22</t>
  </si>
  <si>
    <t xml:space="preserve">醫材登記與市場准入代理</t>
  </si>
  <si>
    <t xml:space="preserve">Regulatory Affairs &amp; Market Access Service</t>
  </si>
  <si>
    <r>
      <rPr>
        <sz val="9"/>
        <color rgb="FF000000"/>
        <rFont val="Noto Sans CJK SC"/>
        <family val="2"/>
      </rPr>
      <t xml:space="preserve">當越南的法定註冊證持有人，做分類、技術文件</t>
    </r>
    <r>
      <rPr>
        <sz val="9"/>
        <color rgb="FF000000"/>
        <rFont val="微軟正黑體"/>
        <family val="0"/>
        <charset val="1"/>
      </rPr>
      <t xml:space="preserve">(CSDT)</t>
    </r>
    <r>
      <rPr>
        <sz val="9"/>
        <color rgb="FF000000"/>
        <rFont val="Noto Sans CJK SC"/>
        <family val="2"/>
      </rPr>
      <t xml:space="preserve">、價格申報與標案支援；台／外商付錢</t>
    </r>
  </si>
  <si>
    <t xml:space="preserve">設備／軟體供應商（含代理商）</t>
  </si>
  <si>
    <t xml:space="preserve">Regulatory Lead</t>
  </si>
  <si>
    <r>
      <rPr>
        <sz val="9"/>
        <color rgb="FF000000"/>
        <rFont val="微軟正黑體"/>
        <family val="0"/>
        <charset val="1"/>
      </rPr>
      <t xml:space="preserve">C/D</t>
    </r>
    <r>
      <rPr>
        <sz val="9"/>
        <color rgb="FF000000"/>
        <rFont val="Noto Sans CJK SC"/>
        <family val="2"/>
      </rPr>
      <t xml:space="preserve">類醫材必須有在地註冊證持有人；</t>
    </r>
    <r>
      <rPr>
        <sz val="9"/>
        <color rgb="FF000000"/>
        <rFont val="微軟正黑體"/>
        <family val="0"/>
        <charset val="1"/>
      </rPr>
      <t xml:space="preserve">11300</t>
    </r>
    <r>
      <rPr>
        <sz val="9"/>
        <color rgb="FF000000"/>
        <rFont val="Noto Sans CJK SC"/>
        <family val="2"/>
      </rPr>
      <t xml:space="preserve">件申請中約</t>
    </r>
    <r>
      <rPr>
        <sz val="9"/>
        <color rgb="FF000000"/>
        <rFont val="微軟正黑體"/>
        <family val="0"/>
        <charset val="1"/>
      </rPr>
      <t xml:space="preserve">3000</t>
    </r>
    <r>
      <rPr>
        <sz val="9"/>
        <color rgb="FF000000"/>
        <rFont val="Noto Sans CJK SC"/>
        <family val="2"/>
      </rPr>
      <t xml:space="preserve">件未核准是真實瓶頸，</t>
    </r>
    <r>
      <rPr>
        <sz val="9"/>
        <color rgb="FF000000"/>
        <rFont val="微軟正黑體"/>
        <family val="0"/>
        <charset val="1"/>
      </rPr>
      <t xml:space="preserve">2025/7-2026/12</t>
    </r>
    <r>
      <rPr>
        <sz val="9"/>
        <color rgb="FF000000"/>
        <rFont val="Noto Sans CJK SC"/>
        <family val="2"/>
      </rPr>
      <t xml:space="preserve">註冊費減半</t>
    </r>
  </si>
  <si>
    <r>
      <rPr>
        <sz val="9"/>
        <color rgb="FF000000"/>
        <rFont val="微軟正黑體"/>
        <family val="0"/>
        <charset val="1"/>
      </rPr>
      <t xml:space="preserve">Asia Actual </t>
    </r>
    <r>
      <rPr>
        <sz val="9"/>
        <color rgb="FF000000"/>
        <rFont val="Noto Sans CJK SC"/>
        <family val="2"/>
      </rPr>
      <t xml:space="preserve">等區域法規代理</t>
    </r>
  </si>
  <si>
    <t xml:space="preserve">台灣藥證團隊＋在地持證人合資，服務台商設備進場</t>
  </si>
  <si>
    <r>
      <rPr>
        <sz val="9"/>
        <rFont val="Microsoft JhengHei"/>
        <family val="0"/>
        <charset val="1"/>
      </rPr>
      <t xml:space="preserve">2025-07-01</t>
    </r>
    <r>
      <rPr>
        <sz val="9"/>
        <rFont val="Noto Sans CJK SC"/>
        <family val="2"/>
      </rPr>
      <t xml:space="preserve">起所有過渡措施終止：在地</t>
    </r>
    <r>
      <rPr>
        <sz val="9"/>
        <rFont val="Microsoft JhengHei"/>
        <family val="0"/>
        <charset val="1"/>
      </rPr>
      <t xml:space="preserve">MAH</t>
    </r>
    <r>
      <rPr>
        <sz val="9"/>
        <rFont val="Noto Sans CJK SC"/>
        <family val="2"/>
      </rPr>
      <t xml:space="preserve">＋</t>
    </r>
    <r>
      <rPr>
        <sz val="9"/>
        <rFont val="Microsoft JhengHei"/>
        <family val="0"/>
        <charset val="1"/>
      </rPr>
      <t xml:space="preserve">ISO 13485</t>
    </r>
    <r>
      <rPr>
        <sz val="9"/>
        <rFont val="Noto Sans CJK SC"/>
        <family val="2"/>
      </rPr>
      <t xml:space="preserve">＋</t>
    </r>
    <r>
      <rPr>
        <sz val="9"/>
        <rFont val="Microsoft JhengHei"/>
        <family val="0"/>
        <charset val="1"/>
      </rPr>
      <t xml:space="preserve">C/D</t>
    </r>
    <r>
      <rPr>
        <sz val="9"/>
        <rFont val="Noto Sans CJK SC"/>
        <family val="2"/>
      </rPr>
      <t xml:space="preserve">類</t>
    </r>
    <r>
      <rPr>
        <sz val="9"/>
        <rFont val="Microsoft JhengHei"/>
        <family val="0"/>
        <charset val="1"/>
      </rPr>
      <t xml:space="preserve">CSDT</t>
    </r>
    <r>
      <rPr>
        <sz val="9"/>
        <rFont val="Noto Sans CJK SC"/>
        <family val="2"/>
      </rPr>
      <t xml:space="preserve">強制→登記代理需求剛性化；註冊流程約</t>
    </r>
    <r>
      <rPr>
        <sz val="9"/>
        <rFont val="Microsoft JhengHei"/>
        <family val="0"/>
        <charset val="1"/>
      </rPr>
      <t xml:space="preserve">2-3</t>
    </r>
    <r>
      <rPr>
        <sz val="9"/>
        <rFont val="Noto Sans CJK SC"/>
        <family val="2"/>
      </rPr>
      <t xml:space="preserve">年。</t>
    </r>
  </si>
  <si>
    <t xml:space="preserve">OPP-23</t>
  </si>
  <si>
    <t xml:space="preserve">行動篩檢車與定點篩檢設備</t>
  </si>
  <si>
    <t xml:space="preserve">Mobile Screening Units &amp; Point-of-care</t>
  </si>
  <si>
    <r>
      <rPr>
        <sz val="9"/>
        <color rgb="FF000000"/>
        <rFont val="Noto Sans CJK SC"/>
        <family val="2"/>
      </rPr>
      <t xml:space="preserve">篩檢巴士、行動</t>
    </r>
    <r>
      <rPr>
        <sz val="9"/>
        <color rgb="FF000000"/>
        <rFont val="微軟正黑體"/>
        <family val="0"/>
        <charset val="1"/>
      </rPr>
      <t xml:space="preserve">X</t>
    </r>
    <r>
      <rPr>
        <sz val="9"/>
        <color rgb="FF000000"/>
        <rFont val="Noto Sans CJK SC"/>
        <family val="2"/>
      </rPr>
      <t xml:space="preserve">光／乳攝、快篩設備；省級衛生局執行全民健檢政策時付錢</t>
    </r>
  </si>
  <si>
    <r>
      <rPr>
        <sz val="9"/>
        <color rgb="FF000000"/>
        <rFont val="微軟正黑體"/>
        <family val="0"/>
        <charset val="1"/>
      </rPr>
      <t xml:space="preserve">★2026</t>
    </r>
    <r>
      <rPr>
        <sz val="9"/>
        <color rgb="FF000000"/>
        <rFont val="Noto Sans CJK SC"/>
        <family val="2"/>
      </rPr>
      <t xml:space="preserve">年起全民免費健檢：胡志明市單一城市每年約</t>
    </r>
    <r>
      <rPr>
        <sz val="9"/>
        <color rgb="FF000000"/>
        <rFont val="微軟正黑體"/>
        <family val="0"/>
        <charset val="1"/>
      </rPr>
      <t xml:space="preserve">US$95m</t>
    </r>
    <r>
      <rPr>
        <sz val="9"/>
        <color rgb="FF000000"/>
        <rFont val="Noto Sans CJK SC"/>
        <family val="2"/>
      </rPr>
      <t xml:space="preserve">（每人</t>
    </r>
    <r>
      <rPr>
        <sz val="9"/>
        <color rgb="FF000000"/>
        <rFont val="微軟正黑體"/>
        <family val="0"/>
        <charset val="1"/>
      </rPr>
      <t xml:space="preserve">VND350k×1500</t>
    </r>
    <r>
      <rPr>
        <sz val="9"/>
        <color rgb="FF000000"/>
        <rFont val="Noto Sans CJK SC"/>
        <family val="2"/>
      </rPr>
      <t xml:space="preserve">萬人），需求時程確定</t>
    </r>
  </si>
  <si>
    <t xml:space="preserve">OPP-24</t>
  </si>
  <si>
    <r>
      <rPr>
        <b val="true"/>
        <sz val="9.5"/>
        <color rgb="FF203864"/>
        <rFont val="Noto Sans CJK SC"/>
        <family val="2"/>
      </rPr>
      <t xml:space="preserve">醫院</t>
    </r>
    <r>
      <rPr>
        <b val="true"/>
        <sz val="9.5"/>
        <color rgb="FF203864"/>
        <rFont val="微軟正黑體"/>
        <family val="0"/>
        <charset val="1"/>
      </rPr>
      <t xml:space="preserve">IDC</t>
    </r>
    <r>
      <rPr>
        <b val="true"/>
        <sz val="9.5"/>
        <color rgb="FF203864"/>
        <rFont val="Noto Sans CJK SC"/>
        <family val="2"/>
      </rPr>
      <t xml:space="preserve">機房與院區網路建置</t>
    </r>
  </si>
  <si>
    <t xml:space="preserve">Hospital IDC &amp; Campus Network</t>
  </si>
  <si>
    <r>
      <rPr>
        <sz val="9"/>
        <color rgb="FF000000"/>
        <rFont val="微軟正黑體"/>
        <family val="0"/>
        <charset val="1"/>
      </rPr>
      <t xml:space="preserve">D </t>
    </r>
    <r>
      <rPr>
        <sz val="9"/>
        <color rgb="FF000000"/>
        <rFont val="Noto Sans CJK SC"/>
        <family val="2"/>
      </rPr>
      <t xml:space="preserve">數位基建與資安</t>
    </r>
  </si>
  <si>
    <t xml:space="preserve">機房、網路分區、邊緣運算底座；是其他所有數位商機的共同前提</t>
  </si>
  <si>
    <t xml:space="preserve">Digital Infrastructure Lead</t>
  </si>
  <si>
    <r>
      <rPr>
        <sz val="9"/>
        <color rgb="FF000000"/>
        <rFont val="Noto Sans CJK SC"/>
        <family val="2"/>
      </rPr>
      <t xml:space="preserve">★群晶核心強項。越南資料在地化</t>
    </r>
    <r>
      <rPr>
        <sz val="9"/>
        <color rgb="FF000000"/>
        <rFont val="微軟正黑體"/>
        <family val="0"/>
        <charset val="1"/>
      </rPr>
      <t xml:space="preserve">(Decree 53)</t>
    </r>
    <r>
      <rPr>
        <sz val="9"/>
        <color rgb="FF000000"/>
        <rFont val="Noto Sans CJK SC"/>
        <family val="2"/>
      </rPr>
      <t xml:space="preserve">與資安法要求機房落地，機房選址須與</t>
    </r>
    <r>
      <rPr>
        <sz val="9"/>
        <color rgb="FF000000"/>
        <rFont val="微軟正黑體"/>
        <family val="0"/>
        <charset val="1"/>
      </rPr>
      <t xml:space="preserve">OPP-10</t>
    </r>
    <r>
      <rPr>
        <sz val="9"/>
        <color rgb="FF000000"/>
        <rFont val="Noto Sans CJK SC"/>
        <family val="2"/>
      </rPr>
      <t xml:space="preserve">供電一起談</t>
    </r>
  </si>
  <si>
    <r>
      <rPr>
        <sz val="9"/>
        <color rgb="FF000000"/>
        <rFont val="微軟正黑體"/>
        <family val="0"/>
        <charset val="1"/>
      </rPr>
      <t xml:space="preserve">Viettel IDC/VNPT/FPT </t>
    </r>
    <r>
      <rPr>
        <sz val="9"/>
        <color rgb="FF000000"/>
        <rFont val="Noto Sans CJK SC"/>
        <family val="2"/>
      </rPr>
      <t xml:space="preserve">自有機房（通用型）</t>
    </r>
  </si>
  <si>
    <r>
      <rPr>
        <sz val="9"/>
        <color rgb="FF000000"/>
        <rFont val="Noto Sans CJK SC"/>
        <family val="2"/>
      </rPr>
      <t xml:space="preserve">醫院級機房（</t>
    </r>
    <r>
      <rPr>
        <sz val="9"/>
        <color rgb="FF000000"/>
        <rFont val="微軟正黑體"/>
        <family val="0"/>
        <charset val="1"/>
      </rPr>
      <t xml:space="preserve">IEC 80001</t>
    </r>
    <r>
      <rPr>
        <sz val="9"/>
        <color rgb="FF000000"/>
        <rFont val="Noto Sans CJK SC"/>
        <family val="2"/>
      </rPr>
      <t xml:space="preserve">＋隔離電源整合），非通用機房</t>
    </r>
  </si>
  <si>
    <r>
      <rPr>
        <b val="true"/>
        <sz val="9"/>
        <color rgb="FFFFFFFF"/>
        <rFont val="Microsoft JhengHei"/>
        <family val="0"/>
        <charset val="1"/>
      </rPr>
      <t xml:space="preserve">L2 </t>
    </r>
    <r>
      <rPr>
        <b val="true"/>
        <sz val="9"/>
        <color rgb="FFFFFFFF"/>
        <rFont val="Noto Sans CJK SC"/>
        <family val="2"/>
      </rPr>
      <t xml:space="preserve">數位基礎層</t>
    </r>
  </si>
  <si>
    <r>
      <rPr>
        <sz val="9"/>
        <rFont val="Microsoft JhengHei"/>
        <family val="0"/>
        <charset val="1"/>
      </rPr>
      <t xml:space="preserve">EN</t>
    </r>
    <r>
      <rPr>
        <sz val="9"/>
        <rFont val="Noto Sans CJK SC"/>
        <family val="2"/>
      </rPr>
      <t xml:space="preserve">建議：</t>
    </r>
    <r>
      <rPr>
        <sz val="9"/>
        <rFont val="Microsoft JhengHei"/>
        <family val="0"/>
        <charset val="1"/>
      </rPr>
      <t xml:space="preserve">Hospital Data Centre (IDC) &amp; Campus Network——IDC</t>
    </r>
    <r>
      <rPr>
        <sz val="9"/>
        <rFont val="Noto Sans CJK SC"/>
        <family val="2"/>
      </rPr>
      <t xml:space="preserve">為亞洲用語，國際文件慣用</t>
    </r>
    <r>
      <rPr>
        <sz val="9"/>
        <rFont val="Microsoft JhengHei"/>
        <family val="0"/>
        <charset val="1"/>
      </rPr>
      <t xml:space="preserve">Data Centre</t>
    </r>
    <r>
      <rPr>
        <sz val="9"/>
        <rFont val="Noto Sans CJK SC"/>
        <family val="2"/>
      </rPr>
      <t xml:space="preserve">。</t>
    </r>
    <r>
      <rPr>
        <sz val="9"/>
        <rFont val="Microsoft JhengHei"/>
        <family val="0"/>
        <charset val="1"/>
      </rPr>
      <t xml:space="preserve">DC</t>
    </r>
    <r>
      <rPr>
        <sz val="9"/>
        <rFont val="Noto Sans CJK SC"/>
        <family val="2"/>
      </rPr>
      <t xml:space="preserve">市場</t>
    </r>
    <r>
      <rPr>
        <sz val="9"/>
        <rFont val="Microsoft JhengHei"/>
        <family val="0"/>
        <charset val="1"/>
      </rPr>
      <t xml:space="preserve">22</t>
    </r>
    <r>
      <rPr>
        <sz val="9"/>
        <rFont val="Noto Sans CJK SC"/>
        <family val="2"/>
      </rPr>
      <t xml:space="preserve">億美元</t>
    </r>
    <r>
      <rPr>
        <sz val="9"/>
        <rFont val="Microsoft JhengHei"/>
        <family val="0"/>
        <charset val="1"/>
      </rPr>
      <t xml:space="preserve">/41</t>
    </r>
    <r>
      <rPr>
        <sz val="9"/>
        <rFont val="Noto Sans CJK SC"/>
        <family val="2"/>
      </rPr>
      <t xml:space="preserve">座</t>
    </r>
    <r>
      <rPr>
        <sz val="9"/>
        <rFont val="Microsoft JhengHei"/>
        <family val="0"/>
        <charset val="1"/>
      </rPr>
      <t xml:space="preserve">/221MW</t>
    </r>
    <r>
      <rPr>
        <sz val="9"/>
        <rFont val="Noto Sans CJK SC"/>
        <family val="2"/>
      </rPr>
      <t xml:space="preserve">；電信法</t>
    </r>
    <r>
      <rPr>
        <sz val="9"/>
        <rFont val="Microsoft JhengHei"/>
        <family val="0"/>
        <charset val="1"/>
      </rPr>
      <t xml:space="preserve">2024-07</t>
    </r>
    <r>
      <rPr>
        <sz val="9"/>
        <rFont val="Noto Sans CJK SC"/>
        <family val="2"/>
      </rPr>
      <t xml:space="preserve">開放外資</t>
    </r>
    <r>
      <rPr>
        <sz val="9"/>
        <rFont val="Microsoft JhengHei"/>
        <family val="0"/>
        <charset val="1"/>
      </rPr>
      <t xml:space="preserve">100%</t>
    </r>
    <r>
      <rPr>
        <sz val="9"/>
        <rFont val="Noto Sans CJK SC"/>
        <family val="2"/>
      </rPr>
      <t xml:space="preserve">。</t>
    </r>
  </si>
  <si>
    <r>
      <rPr>
        <sz val="9"/>
        <rFont val="Noto Sans CJK SC"/>
        <family val="2"/>
      </rPr>
      <t xml:space="preserve">資料主權三法疊加：</t>
    </r>
    <r>
      <rPr>
        <sz val="9"/>
        <rFont val="Microsoft JhengHei"/>
        <family val="0"/>
        <charset val="1"/>
      </rPr>
      <t xml:space="preserve">Decree 53/2022</t>
    </r>
    <r>
      <rPr>
        <sz val="9"/>
        <rFont val="Noto Sans CJK SC"/>
        <family val="2"/>
      </rPr>
      <t xml:space="preserve">（在地化）＋資料法</t>
    </r>
    <r>
      <rPr>
        <sz val="9"/>
        <rFont val="Microsoft JhengHei"/>
        <family val="0"/>
        <charset val="1"/>
      </rPr>
      <t xml:space="preserve">60/2024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2025-07</t>
    </r>
    <r>
      <rPr>
        <sz val="9"/>
        <rFont val="Noto Sans CJK SC"/>
        <family val="2"/>
      </rPr>
      <t xml:space="preserve">生效，核心資料出境管制）＋</t>
    </r>
    <r>
      <rPr>
        <sz val="9"/>
        <rFont val="Microsoft JhengHei"/>
        <family val="0"/>
        <charset val="1"/>
      </rPr>
      <t xml:space="preserve">PDPL 91/2025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2026-01-01</t>
    </r>
    <r>
      <rPr>
        <sz val="9"/>
        <rFont val="Noto Sans CJK SC"/>
        <family val="2"/>
      </rPr>
      <t xml:space="preserve">生效，罰款上限年營收</t>
    </r>
    <r>
      <rPr>
        <sz val="9"/>
        <rFont val="Microsoft JhengHei"/>
        <family val="0"/>
        <charset val="1"/>
      </rPr>
      <t xml:space="preserve">5%</t>
    </r>
    <r>
      <rPr>
        <sz val="9"/>
        <rFont val="Noto Sans CJK SC"/>
        <family val="2"/>
      </rPr>
      <t xml:space="preserve">）。電信法</t>
    </r>
    <r>
      <rPr>
        <sz val="9"/>
        <rFont val="Microsoft JhengHei"/>
        <family val="0"/>
        <charset val="1"/>
      </rPr>
      <t xml:space="preserve">2023</t>
    </r>
    <r>
      <rPr>
        <sz val="9"/>
        <rFont val="Noto Sans CJK SC"/>
        <family val="2"/>
      </rPr>
      <t xml:space="preserve">開放外資</t>
    </r>
    <r>
      <rPr>
        <sz val="9"/>
        <rFont val="Microsoft JhengHei"/>
        <family val="0"/>
        <charset val="1"/>
      </rPr>
      <t xml:space="preserve">100%</t>
    </r>
    <r>
      <rPr>
        <sz val="9"/>
        <rFont val="Noto Sans CJK SC"/>
        <family val="2"/>
      </rPr>
      <t xml:space="preserve">資料中心；市場</t>
    </r>
    <r>
      <rPr>
        <sz val="9"/>
        <rFont val="Microsoft JhengHei"/>
        <family val="0"/>
        <charset val="1"/>
      </rPr>
      <t xml:space="preserve">2025</t>
    </r>
    <r>
      <rPr>
        <sz val="9"/>
        <rFont val="Noto Sans CJK SC"/>
        <family val="2"/>
      </rPr>
      <t xml:space="preserve">年約</t>
    </r>
    <r>
      <rPr>
        <sz val="9"/>
        <rFont val="Microsoft JhengHei"/>
        <family val="0"/>
        <charset val="1"/>
      </rPr>
      <t xml:space="preserve">22</t>
    </r>
    <r>
      <rPr>
        <sz val="9"/>
        <rFont val="Noto Sans CJK SC"/>
        <family val="2"/>
      </rPr>
      <t xml:space="preserve">億美元、</t>
    </r>
    <r>
      <rPr>
        <sz val="9"/>
        <rFont val="Microsoft JhengHei"/>
        <family val="0"/>
        <charset val="1"/>
      </rPr>
      <t xml:space="preserve">41</t>
    </r>
    <r>
      <rPr>
        <sz val="9"/>
        <rFont val="Noto Sans CJK SC"/>
        <family val="2"/>
      </rPr>
      <t xml:space="preserve">座</t>
    </r>
    <r>
      <rPr>
        <sz val="9"/>
        <rFont val="Microsoft JhengHei"/>
        <family val="0"/>
        <charset val="1"/>
      </rPr>
      <t xml:space="preserve">DC/221MW</t>
    </r>
    <r>
      <rPr>
        <sz val="9"/>
        <rFont val="Noto Sans CJK SC"/>
        <family val="2"/>
      </rPr>
      <t xml:space="preserve">。</t>
    </r>
    <r>
      <rPr>
        <sz val="9"/>
        <rFont val="Microsoft JhengHei"/>
        <family val="0"/>
        <charset val="1"/>
      </rPr>
      <t xml:space="preserve">Circular 13/2025</t>
    </r>
    <r>
      <rPr>
        <sz val="9"/>
        <rFont val="Noto Sans CJK SC"/>
        <family val="2"/>
      </rPr>
      <t xml:space="preserve">明文要求</t>
    </r>
    <r>
      <rPr>
        <sz val="9"/>
        <rFont val="Microsoft JhengHei"/>
        <family val="0"/>
        <charset val="1"/>
      </rPr>
      <t xml:space="preserve">EMR</t>
    </r>
    <r>
      <rPr>
        <sz val="9"/>
        <rFont val="Noto Sans CJK SC"/>
        <family val="2"/>
      </rPr>
      <t xml:space="preserve">備援與復原能力＝醫院</t>
    </r>
    <r>
      <rPr>
        <sz val="9"/>
        <rFont val="Microsoft JhengHei"/>
        <family val="0"/>
        <charset val="1"/>
      </rPr>
      <t xml:space="preserve">DR</t>
    </r>
    <r>
      <rPr>
        <sz val="9"/>
        <rFont val="Noto Sans CJK SC"/>
        <family val="2"/>
      </rPr>
      <t xml:space="preserve">採購直接法源。</t>
    </r>
  </si>
  <si>
    <t xml:space="preserve">OPP-25</t>
  </si>
  <si>
    <t xml:space="preserve">醫療主權雲與境內代管</t>
  </si>
  <si>
    <t xml:space="preserve">Healthcare Sovereign Cloud &amp; Colocation</t>
  </si>
  <si>
    <r>
      <rPr>
        <sz val="9"/>
        <color rgb="FF000000"/>
        <rFont val="Noto Sans CJK SC"/>
        <family val="2"/>
      </rPr>
      <t xml:space="preserve">境內</t>
    </r>
    <r>
      <rPr>
        <sz val="9"/>
        <color rgb="FF000000"/>
        <rFont val="微軟正黑體"/>
        <family val="0"/>
        <charset val="1"/>
      </rPr>
      <t xml:space="preserve">IaaS</t>
    </r>
    <r>
      <rPr>
        <sz val="9"/>
        <color rgb="FF000000"/>
        <rFont val="Noto Sans CJK SC"/>
        <family val="2"/>
      </rPr>
      <t xml:space="preserve">／主機代管，讓病歷與影像符合資料在地化；醫院以營運費用按年付</t>
    </r>
  </si>
  <si>
    <t xml:space="preserve">軟體授權／訂閱</t>
  </si>
  <si>
    <r>
      <rPr>
        <sz val="9"/>
        <color rgb="FF000000"/>
        <rFont val="微軟正黑體"/>
        <family val="0"/>
        <charset val="1"/>
      </rPr>
      <t xml:space="preserve">PDPL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Decree 356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2026/1/1</t>
    </r>
    <r>
      <rPr>
        <sz val="9"/>
        <color rgb="FF000000"/>
        <rFont val="Noto Sans CJK SC"/>
        <family val="2"/>
      </rPr>
      <t xml:space="preserve">生效）把病歷列為敏感資料、跨境傳輸須報備——境內代管是合規解</t>
    </r>
  </si>
  <si>
    <r>
      <rPr>
        <sz val="9"/>
        <rFont val="Noto Sans CJK SC"/>
        <family val="2"/>
      </rPr>
      <t xml:space="preserve">法源三重疊加：</t>
    </r>
    <r>
      <rPr>
        <sz val="9"/>
        <rFont val="Microsoft JhengHei"/>
        <family val="0"/>
        <charset val="1"/>
      </rPr>
      <t xml:space="preserve">Decree 53/2022</t>
    </r>
    <r>
      <rPr>
        <sz val="9"/>
        <rFont val="Noto Sans CJK SC"/>
        <family val="2"/>
      </rPr>
      <t xml:space="preserve">在地化＋資料法</t>
    </r>
    <r>
      <rPr>
        <sz val="9"/>
        <rFont val="Microsoft JhengHei"/>
        <family val="0"/>
        <charset val="1"/>
      </rPr>
      <t xml:space="preserve">60/2024</t>
    </r>
    <r>
      <rPr>
        <sz val="9"/>
        <rFont val="Noto Sans CJK SC"/>
        <family val="2"/>
      </rPr>
      <t xml:space="preserve">核心資料出境管制（</t>
    </r>
    <r>
      <rPr>
        <sz val="9"/>
        <rFont val="Microsoft JhengHei"/>
        <family val="0"/>
        <charset val="1"/>
      </rPr>
      <t xml:space="preserve">2025-07</t>
    </r>
    <r>
      <rPr>
        <sz val="9"/>
        <rFont val="Noto Sans CJK SC"/>
        <family val="2"/>
      </rPr>
      <t xml:space="preserve">生效）＋</t>
    </r>
    <r>
      <rPr>
        <sz val="9"/>
        <rFont val="Microsoft JhengHei"/>
        <family val="0"/>
        <charset val="1"/>
      </rPr>
      <t xml:space="preserve">PDPL</t>
    </r>
    <r>
      <rPr>
        <sz val="9"/>
        <rFont val="Noto Sans CJK SC"/>
        <family val="2"/>
      </rPr>
      <t xml:space="preserve">跨境評估（</t>
    </r>
    <r>
      <rPr>
        <sz val="9"/>
        <rFont val="Microsoft JhengHei"/>
        <family val="0"/>
        <charset val="1"/>
      </rPr>
      <t xml:space="preserve">2026-01</t>
    </r>
    <r>
      <rPr>
        <sz val="9"/>
        <rFont val="Noto Sans CJK SC"/>
        <family val="2"/>
      </rPr>
      <t xml:space="preserve">生效）——把醫療核心系統推向境內。本土雲四強（</t>
    </r>
    <r>
      <rPr>
        <sz val="9"/>
        <rFont val="Microsoft JhengHei"/>
        <family val="0"/>
        <charset val="1"/>
      </rPr>
      <t xml:space="preserve">Viettel/VNPT/CMC/FPT</t>
    </r>
    <r>
      <rPr>
        <sz val="9"/>
        <rFont val="Noto Sans CJK SC"/>
        <family val="2"/>
      </rPr>
      <t xml:space="preserve">）為主要受益者。</t>
    </r>
  </si>
  <si>
    <t xml:space="preserve">OPP-26</t>
  </si>
  <si>
    <r>
      <rPr>
        <b val="true"/>
        <sz val="9.5"/>
        <color rgb="FF203864"/>
        <rFont val="Noto Sans CJK SC"/>
        <family val="2"/>
      </rPr>
      <t xml:space="preserve">智慧院區</t>
    </r>
    <r>
      <rPr>
        <b val="true"/>
        <sz val="9.5"/>
        <color rgb="FF203864"/>
        <rFont val="微軟正黑體"/>
        <family val="0"/>
        <charset val="1"/>
      </rPr>
      <t xml:space="preserve">AIoT</t>
    </r>
    <r>
      <rPr>
        <b val="true"/>
        <sz val="9.5"/>
        <color rgb="FF203864"/>
        <rFont val="Noto Sans CJK SC"/>
        <family val="2"/>
      </rPr>
      <t xml:space="preserve">（</t>
    </r>
    <r>
      <rPr>
        <b val="true"/>
        <sz val="9.5"/>
        <color rgb="FF203864"/>
        <rFont val="微軟正黑體"/>
        <family val="0"/>
        <charset val="1"/>
      </rPr>
      <t xml:space="preserve">BMS</t>
    </r>
    <r>
      <rPr>
        <b val="true"/>
        <sz val="9.5"/>
        <color rgb="FF203864"/>
        <rFont val="Noto Sans CJK SC"/>
        <family val="2"/>
      </rPr>
      <t xml:space="preserve">／</t>
    </r>
    <r>
      <rPr>
        <b val="true"/>
        <sz val="9.5"/>
        <color rgb="FF203864"/>
        <rFont val="微軟正黑體"/>
        <family val="0"/>
        <charset val="1"/>
      </rPr>
      <t xml:space="preserve">RTLS</t>
    </r>
    <r>
      <rPr>
        <b val="true"/>
        <sz val="9.5"/>
        <color rgb="FF203864"/>
        <rFont val="Noto Sans CJK SC"/>
        <family val="2"/>
      </rPr>
      <t xml:space="preserve">／智慧病房）</t>
    </r>
  </si>
  <si>
    <t xml:space="preserve">Smart Campus AIoT</t>
  </si>
  <si>
    <r>
      <rPr>
        <sz val="9"/>
        <color rgb="FF000000"/>
        <rFont val="微軟正黑體"/>
        <family val="0"/>
        <charset val="1"/>
      </rPr>
      <t xml:space="preserve">BMS</t>
    </r>
    <r>
      <rPr>
        <sz val="9"/>
        <color rgb="FF000000"/>
        <rFont val="Noto Sans CJK SC"/>
        <family val="2"/>
      </rPr>
      <t xml:space="preserve">能源管理、人員資產定位、智慧病房與護理呼叫；可用節能績效或服務訂閱收費</t>
    </r>
  </si>
  <si>
    <t xml:space="preserve">Smart Hospital Lead</t>
  </si>
  <si>
    <r>
      <rPr>
        <sz val="9"/>
        <color rgb="FF000000"/>
        <rFont val="Noto Sans CJK SC"/>
        <family val="2"/>
      </rPr>
      <t xml:space="preserve">幾乎只有新建私立醫院有；建議與院方營運</t>
    </r>
    <r>
      <rPr>
        <sz val="9"/>
        <color rgb="FF000000"/>
        <rFont val="微軟正黑體"/>
        <family val="0"/>
        <charset val="1"/>
      </rPr>
      <t xml:space="preserve">KPI</t>
    </r>
    <r>
      <rPr>
        <sz val="9"/>
        <color rgb="FF000000"/>
        <rFont val="Noto Sans CJK SC"/>
        <family val="2"/>
      </rPr>
      <t xml:space="preserve">綁定計價</t>
    </r>
  </si>
  <si>
    <r>
      <rPr>
        <sz val="9"/>
        <rFont val="Noto Sans CJK SC"/>
        <family val="2"/>
      </rPr>
      <t xml:space="preserve">★重大更新：法規從「無」變成「有」。</t>
    </r>
    <r>
      <rPr>
        <sz val="9"/>
        <rFont val="Microsoft JhengHei"/>
        <family val="0"/>
        <charset val="1"/>
      </rPr>
      <t xml:space="preserve">QCVN 04-3:2026/BXD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Thông tư 61/2026/TT-BXD</t>
    </r>
    <r>
      <rPr>
        <sz val="9"/>
        <rFont val="Noto Sans CJK SC"/>
        <family val="2"/>
      </rPr>
      <t xml:space="preserve">，</t>
    </r>
    <r>
      <rPr>
        <sz val="9"/>
        <rFont val="Microsoft JhengHei"/>
        <family val="0"/>
        <charset val="1"/>
      </rPr>
      <t xml:space="preserve">2026-07-30 </t>
    </r>
    <r>
      <rPr>
        <sz val="9"/>
        <rFont val="Noto Sans CJK SC"/>
        <family val="2"/>
      </rPr>
      <t xml:space="preserve">簽發、</t>
    </r>
    <r>
      <rPr>
        <sz val="9"/>
        <rFont val="Microsoft JhengHei"/>
        <family val="0"/>
        <charset val="1"/>
      </rPr>
      <t xml:space="preserve">2027-02-01 </t>
    </r>
    <r>
      <rPr>
        <sz val="9"/>
        <rFont val="Noto Sans CJK SC"/>
        <family val="2"/>
      </rPr>
      <t xml:space="preserve">生效）取代 </t>
    </r>
    <r>
      <rPr>
        <sz val="9"/>
        <rFont val="Microsoft JhengHei"/>
        <family val="0"/>
        <charset val="1"/>
      </rPr>
      <t xml:space="preserve">QCVN 09:2017/BXD</t>
    </r>
    <r>
      <rPr>
        <sz val="9"/>
        <rFont val="Noto Sans CJK SC"/>
        <family val="2"/>
      </rPr>
      <t xml:space="preserve">，適用 ≥</t>
    </r>
    <r>
      <rPr>
        <sz val="9"/>
        <rFont val="Microsoft JhengHei"/>
        <family val="0"/>
        <charset val="1"/>
      </rPr>
      <t xml:space="preserve">2,500m² </t>
    </r>
    <r>
      <rPr>
        <sz val="9"/>
        <rFont val="Noto Sans CJK SC"/>
        <family val="2"/>
      </rPr>
      <t xml:space="preserve">新建與改建醫院，五大管制構面之一即「建築能效監控」——這是越南第一次把醫院納入強制建築節能規範並要求能源監控。市場實證：</t>
    </r>
    <r>
      <rPr>
        <sz val="9"/>
        <rFont val="Microsoft JhengHei"/>
        <family val="0"/>
        <charset val="1"/>
      </rPr>
      <t xml:space="preserve">BMS </t>
    </r>
    <r>
      <rPr>
        <sz val="9"/>
        <rFont val="Noto Sans CJK SC"/>
        <family val="2"/>
      </rPr>
      <t xml:space="preserve">有（</t>
    </r>
    <r>
      <rPr>
        <sz val="9"/>
        <rFont val="Microsoft JhengHei"/>
        <family val="0"/>
        <charset val="1"/>
      </rPr>
      <t xml:space="preserve">BV108 </t>
    </r>
    <r>
      <rPr>
        <sz val="9"/>
        <rFont val="Noto Sans CJK SC"/>
        <family val="2"/>
      </rPr>
      <t xml:space="preserve">軍醫院標案、</t>
    </r>
    <r>
      <rPr>
        <sz val="9"/>
        <rFont val="Microsoft JhengHei"/>
        <family val="0"/>
        <charset val="1"/>
      </rPr>
      <t xml:space="preserve">Tâm Anh </t>
    </r>
    <r>
      <rPr>
        <sz val="9"/>
        <rFont val="Noto Sans CJK SC"/>
        <family val="2"/>
      </rPr>
      <t xml:space="preserve">醫院節能 </t>
    </r>
    <r>
      <rPr>
        <sz val="9"/>
        <rFont val="Microsoft JhengHei"/>
        <family val="0"/>
        <charset val="1"/>
      </rPr>
      <t xml:space="preserve">20-30% </t>
    </r>
    <r>
      <rPr>
        <sz val="9"/>
        <rFont val="Noto Sans CJK SC"/>
        <family val="2"/>
      </rPr>
      <t xml:space="preserve">獲 </t>
    </r>
    <r>
      <rPr>
        <sz val="9"/>
        <rFont val="Microsoft JhengHei"/>
        <family val="0"/>
        <charset val="1"/>
      </rPr>
      <t xml:space="preserve">2025 </t>
    </r>
    <r>
      <rPr>
        <sz val="9"/>
        <rFont val="Noto Sans CJK SC"/>
        <family val="2"/>
      </rPr>
      <t xml:space="preserve">建築能效獎）、護士呼叫有（多家，</t>
    </r>
    <r>
      <rPr>
        <sz val="9"/>
        <rFont val="Microsoft JhengHei"/>
        <family val="0"/>
        <charset val="1"/>
      </rPr>
      <t xml:space="preserve">Ackermann/Honeywell </t>
    </r>
    <r>
      <rPr>
        <sz val="9"/>
        <rFont val="Noto Sans CJK SC"/>
        <family val="2"/>
      </rPr>
      <t xml:space="preserve">經 </t>
    </r>
    <r>
      <rPr>
        <sz val="9"/>
        <rFont val="Microsoft JhengHei"/>
        <family val="0"/>
        <charset val="1"/>
      </rPr>
      <t xml:space="preserve">Việt Toàn Phát</t>
    </r>
    <r>
      <rPr>
        <sz val="9"/>
        <rFont val="Noto Sans CJK SC"/>
        <family val="2"/>
      </rPr>
      <t xml:space="preserve">）、★</t>
    </r>
    <r>
      <rPr>
        <sz val="9"/>
        <rFont val="Microsoft JhengHei"/>
        <family val="0"/>
        <charset val="1"/>
      </rPr>
      <t xml:space="preserve">RTLS </t>
    </r>
    <r>
      <rPr>
        <sz val="9"/>
        <rFont val="Noto Sans CJK SC"/>
        <family val="2"/>
      </rPr>
      <t xml:space="preserve">零具名案例（供應商在位、需求端未啟動）。通路認知要改：</t>
    </r>
    <r>
      <rPr>
        <sz val="9"/>
        <rFont val="Microsoft JhengHei"/>
        <family val="0"/>
        <charset val="1"/>
      </rPr>
      <t xml:space="preserve">BMS </t>
    </r>
    <r>
      <rPr>
        <sz val="9"/>
        <rFont val="Noto Sans CJK SC"/>
        <family val="2"/>
      </rPr>
      <t xml:space="preserve">綁在 </t>
    </r>
    <r>
      <rPr>
        <sz val="9"/>
        <rFont val="Microsoft JhengHei"/>
        <family val="0"/>
        <charset val="1"/>
      </rPr>
      <t xml:space="preserve">HVAC </t>
    </r>
    <r>
      <rPr>
        <sz val="9"/>
        <rFont val="Noto Sans CJK SC"/>
        <family val="2"/>
      </rPr>
      <t xml:space="preserve">機電包裡不從 </t>
    </r>
    <r>
      <rPr>
        <sz val="9"/>
        <rFont val="Microsoft JhengHei"/>
        <family val="0"/>
        <charset val="1"/>
      </rPr>
      <t xml:space="preserve">IT </t>
    </r>
    <r>
      <rPr>
        <sz val="9"/>
        <rFont val="Noto Sans CJK SC"/>
        <family val="2"/>
      </rPr>
      <t xml:space="preserve">預算走（</t>
    </r>
    <r>
      <rPr>
        <sz val="9"/>
        <rFont val="Microsoft JhengHei"/>
        <family val="0"/>
        <charset val="1"/>
      </rPr>
      <t xml:space="preserve">BV108 </t>
    </r>
    <r>
      <rPr>
        <sz val="9"/>
        <rFont val="Noto Sans CJK SC"/>
        <family val="2"/>
      </rPr>
      <t xml:space="preserve">第</t>
    </r>
    <r>
      <rPr>
        <sz val="9"/>
        <rFont val="Microsoft JhengHei"/>
        <family val="0"/>
        <charset val="1"/>
      </rPr>
      <t xml:space="preserve">19</t>
    </r>
    <r>
      <rPr>
        <sz val="9"/>
        <rFont val="Noto Sans CJK SC"/>
        <family val="2"/>
      </rPr>
      <t xml:space="preserve">號標 </t>
    </r>
    <r>
      <rPr>
        <sz val="9"/>
        <rFont val="Microsoft JhengHei"/>
        <family val="0"/>
        <charset val="1"/>
      </rPr>
      <t xml:space="preserve">HVAC+BMS 149.6 tỷ VND ≈ </t>
    </r>
    <r>
      <rPr>
        <sz val="9"/>
        <rFont val="Noto Sans CJK SC"/>
        <family val="2"/>
      </rPr>
      <t xml:space="preserve">總投資 </t>
    </r>
    <r>
      <rPr>
        <sz val="9"/>
        <rFont val="Microsoft JhengHei"/>
        <family val="0"/>
        <charset val="1"/>
      </rPr>
      <t xml:space="preserve">1,000 tỷ </t>
    </r>
    <r>
      <rPr>
        <sz val="9"/>
        <rFont val="Noto Sans CJK SC"/>
        <family val="2"/>
      </rPr>
      <t xml:space="preserve">的 </t>
    </r>
    <r>
      <rPr>
        <sz val="9"/>
        <rFont val="Microsoft JhengHei"/>
        <family val="0"/>
        <charset val="1"/>
      </rPr>
      <t xml:space="preserve">15%</t>
    </r>
    <r>
      <rPr>
        <sz val="9"/>
        <rFont val="Noto Sans CJK SC"/>
        <family val="2"/>
      </rPr>
      <t xml:space="preserve">）。競爭：研華已在越南做完智慧醫院整案（</t>
    </r>
    <r>
      <rPr>
        <sz val="9"/>
        <rFont val="Microsoft JhengHei"/>
        <family val="0"/>
        <charset val="1"/>
      </rPr>
      <t xml:space="preserve">Thai Hoa 2022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Hong Ngoc</t>
    </r>
    <r>
      <rPr>
        <sz val="9"/>
        <rFont val="Noto Sans CJK SC"/>
        <family val="2"/>
      </rPr>
      <t xml:space="preserve">），其 </t>
    </r>
    <r>
      <rPr>
        <sz val="9"/>
        <rFont val="Microsoft JhengHei"/>
        <family val="0"/>
        <charset val="1"/>
      </rPr>
      <t xml:space="preserve">iHospital </t>
    </r>
    <r>
      <rPr>
        <sz val="9"/>
        <rFont val="Noto Sans CJK SC"/>
        <family val="2"/>
      </rPr>
      <t xml:space="preserve">含 </t>
    </r>
    <r>
      <rPr>
        <sz val="9"/>
        <rFont val="Microsoft JhengHei"/>
        <family val="0"/>
        <charset val="1"/>
      </rPr>
      <t xml:space="preserve">RTLS </t>
    </r>
    <r>
      <rPr>
        <sz val="9"/>
        <rFont val="Noto Sans CJK SC"/>
        <family val="2"/>
      </rPr>
      <t xml:space="preserve">與 </t>
    </r>
    <r>
      <rPr>
        <sz val="9"/>
        <rFont val="Microsoft JhengHei"/>
        <family val="0"/>
        <charset val="1"/>
      </rPr>
      <t xml:space="preserve">iBuilding</t>
    </r>
    <r>
      <rPr>
        <sz val="9"/>
        <rFont val="Noto Sans CJK SC"/>
        <family val="2"/>
      </rPr>
      <t xml:space="preserve">。市場推估 </t>
    </r>
    <r>
      <rPr>
        <sz val="9"/>
        <rFont val="Microsoft JhengHei"/>
        <family val="0"/>
        <charset val="1"/>
      </rPr>
      <t xml:space="preserve">2026-2030 </t>
    </r>
    <r>
      <rPr>
        <sz val="9"/>
        <rFont val="Noto Sans CJK SC"/>
        <family val="2"/>
      </rPr>
      <t xml:space="preserve">累計 </t>
    </r>
    <r>
      <rPr>
        <sz val="9"/>
        <rFont val="Microsoft JhengHei"/>
        <family val="0"/>
        <charset val="1"/>
      </rPr>
      <t xml:space="preserve">USD 2.5-5 </t>
    </r>
    <r>
      <rPr>
        <sz val="9"/>
        <rFont val="Noto Sans CJK SC"/>
        <family val="2"/>
      </rPr>
      <t xml:space="preserve">億。</t>
    </r>
  </si>
  <si>
    <t xml:space="preserve">OPP-27</t>
  </si>
  <si>
    <t xml:space="preserve">醫院資安與等級保護認證</t>
  </si>
  <si>
    <t xml:space="preserve">Hospital Cybersecurity &amp; Level Certification</t>
  </si>
  <si>
    <r>
      <rPr>
        <sz val="9"/>
        <color rgb="FF000000"/>
        <rFont val="Noto Sans CJK SC"/>
        <family val="2"/>
      </rPr>
      <t xml:space="preserve">資安等級文件、</t>
    </r>
    <r>
      <rPr>
        <sz val="9"/>
        <color rgb="FF000000"/>
        <rFont val="微軟正黑體"/>
        <family val="0"/>
        <charset val="1"/>
      </rPr>
      <t xml:space="preserve">SIEM/SOC</t>
    </r>
    <r>
      <rPr>
        <sz val="9"/>
        <color rgb="FF000000"/>
        <rFont val="Noto Sans CJK SC"/>
        <family val="2"/>
      </rPr>
      <t xml:space="preserve">、勒索軟體復原、不可竄改備份；醫院營運預算或資安委外月費</t>
    </r>
  </si>
  <si>
    <t xml:space="preserve">CISO / Security Lead</t>
  </si>
  <si>
    <r>
      <rPr>
        <sz val="9"/>
        <color rgb="FF000000"/>
        <rFont val="Noto Sans CJK SC"/>
        <family val="2"/>
      </rPr>
      <t xml:space="preserve">★順化中央醫院</t>
    </r>
    <r>
      <rPr>
        <sz val="9"/>
        <color rgb="FF000000"/>
        <rFont val="微軟正黑體"/>
        <family val="0"/>
        <charset val="1"/>
      </rPr>
      <t xml:space="preserve">2025/1</t>
    </r>
    <r>
      <rPr>
        <sz val="9"/>
        <color rgb="FF000000"/>
        <rFont val="Noto Sans CJK SC"/>
        <family val="2"/>
      </rPr>
      <t xml:space="preserve">遭勒索</t>
    </r>
    <r>
      <rPr>
        <sz val="9"/>
        <color rgb="FF000000"/>
        <rFont val="微軟正黑體"/>
        <family val="0"/>
        <charset val="1"/>
      </rPr>
      <t xml:space="preserve">(&gt;500GB</t>
    </r>
    <r>
      <rPr>
        <sz val="9"/>
        <color rgb="FF000000"/>
        <rFont val="Noto Sans CJK SC"/>
        <family val="2"/>
      </rPr>
      <t xml:space="preserve">加密</t>
    </r>
    <r>
      <rPr>
        <sz val="9"/>
        <color rgb="FF000000"/>
        <rFont val="微軟正黑體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、德江醫院</t>
    </r>
    <r>
      <rPr>
        <sz val="9"/>
        <color rgb="FF000000"/>
        <rFont val="微軟正黑體"/>
        <family val="0"/>
        <charset val="1"/>
      </rPr>
      <t xml:space="preserve">9</t>
    </r>
    <r>
      <rPr>
        <sz val="9"/>
        <color rgb="FF000000"/>
        <rFont val="Noto Sans CJK SC"/>
        <family val="2"/>
      </rPr>
      <t xml:space="preserve">台伺服器、鴻玉</t>
    </r>
    <r>
      <rPr>
        <sz val="9"/>
        <color rgb="FF000000"/>
        <rFont val="微軟正黑體"/>
        <family val="0"/>
        <charset val="1"/>
      </rPr>
      <t xml:space="preserve">11.2</t>
    </r>
    <r>
      <rPr>
        <sz val="9"/>
        <color rgb="FF000000"/>
        <rFont val="Noto Sans CJK SC"/>
        <family val="2"/>
      </rPr>
      <t xml:space="preserve">萬筆病歷外流——需求已被事件創造</t>
    </r>
  </si>
  <si>
    <r>
      <rPr>
        <sz val="9"/>
        <color rgb="FF000000"/>
        <rFont val="微軟正黑體"/>
        <family val="0"/>
        <charset val="1"/>
      </rPr>
      <t xml:space="preserve">Viettel Cyber Security </t>
    </r>
    <r>
      <rPr>
        <sz val="9"/>
        <color rgb="FF000000"/>
        <rFont val="Noto Sans CJK SC"/>
        <family val="2"/>
      </rPr>
      <t xml:space="preserve">在企業端；醫院端幾乎無專業者</t>
    </r>
  </si>
  <si>
    <r>
      <rPr>
        <sz val="9"/>
        <color rgb="FF000000"/>
        <rFont val="Noto Sans CJK SC"/>
        <family val="2"/>
      </rPr>
      <t xml:space="preserve">醫療 </t>
    </r>
    <r>
      <rPr>
        <sz val="9"/>
        <color rgb="FF000000"/>
        <rFont val="微軟正黑體"/>
        <family val="0"/>
        <charset val="1"/>
      </rPr>
      <t xml:space="preserve">OT/IoMT </t>
    </r>
    <r>
      <rPr>
        <sz val="9"/>
        <color rgb="FF000000"/>
        <rFont val="Noto Sans CJK SC"/>
        <family val="2"/>
      </rPr>
      <t xml:space="preserve">專科資安；順化中央醫院勒索案已創造需求</t>
    </r>
  </si>
  <si>
    <r>
      <rPr>
        <sz val="9"/>
        <rFont val="Noto Sans CJK SC"/>
        <family val="2"/>
      </rPr>
      <t xml:space="preserve">定級框架＝</t>
    </r>
    <r>
      <rPr>
        <sz val="9"/>
        <rFont val="Microsoft JhengHei"/>
        <family val="0"/>
        <charset val="1"/>
      </rPr>
      <t xml:space="preserve">Decree 85/2016</t>
    </r>
    <r>
      <rPr>
        <sz val="9"/>
        <rFont val="Noto Sans CJK SC"/>
        <family val="2"/>
      </rPr>
      <t xml:space="preserve">五級制；醫院實際定級分佈未查得。</t>
    </r>
    <r>
      <rPr>
        <sz val="9"/>
        <rFont val="Microsoft JhengHei"/>
        <family val="0"/>
        <charset val="1"/>
      </rPr>
      <t xml:space="preserve">EMR</t>
    </r>
    <r>
      <rPr>
        <sz val="9"/>
        <rFont val="Noto Sans CJK SC"/>
        <family val="2"/>
      </rPr>
      <t xml:space="preserve">倉促上線後</t>
    </r>
    <r>
      <rPr>
        <sz val="9"/>
        <rFont val="Microsoft JhengHei"/>
        <family val="0"/>
        <charset val="1"/>
      </rPr>
      <t xml:space="preserve">2026-2028</t>
    </r>
    <r>
      <rPr>
        <sz val="9"/>
        <rFont val="Noto Sans CJK SC"/>
        <family val="2"/>
      </rPr>
      <t xml:space="preserve">是定級補課窗口。</t>
    </r>
  </si>
  <si>
    <t xml:space="preserve">OPP-28</t>
  </si>
  <si>
    <r>
      <rPr>
        <b val="true"/>
        <sz val="9.5"/>
        <color rgb="FF203864"/>
        <rFont val="Noto Sans CJK SC"/>
        <family val="2"/>
      </rPr>
      <t xml:space="preserve">個資合規與跨境傳輸顧問</t>
    </r>
    <r>
      <rPr>
        <b val="true"/>
        <sz val="9.5"/>
        <color rgb="FF203864"/>
        <rFont val="微軟正黑體"/>
        <family val="0"/>
        <charset val="1"/>
      </rPr>
      <t xml:space="preserve">(PDPL)</t>
    </r>
  </si>
  <si>
    <t xml:space="preserve">Personal Data Protection Compliance</t>
  </si>
  <si>
    <r>
      <rPr>
        <sz val="9"/>
        <color rgb="FF000000"/>
        <rFont val="Noto Sans CJK SC"/>
        <family val="2"/>
      </rPr>
      <t xml:space="preserve">個資影響評估、跨境傳輸文件、同意管理、外部資料保護長服務、</t>
    </r>
    <r>
      <rPr>
        <sz val="9"/>
        <color rgb="FF000000"/>
        <rFont val="微軟正黑體"/>
        <family val="0"/>
        <charset val="1"/>
      </rPr>
      <t xml:space="preserve">72</t>
    </r>
    <r>
      <rPr>
        <sz val="9"/>
        <color rgb="FF000000"/>
        <rFont val="Noto Sans CJK SC"/>
        <family val="2"/>
      </rPr>
      <t xml:space="preserve">小時通報演練</t>
    </r>
  </si>
  <si>
    <t xml:space="preserve">Legal Lead</t>
  </si>
  <si>
    <r>
      <rPr>
        <sz val="9"/>
        <color rgb="FF000000"/>
        <rFont val="微軟正黑體"/>
        <family val="0"/>
        <charset val="1"/>
      </rPr>
      <t xml:space="preserve">PDPL 91/2025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Decree 356 </t>
    </r>
    <r>
      <rPr>
        <sz val="9"/>
        <color rgb="FF000000"/>
        <rFont val="Noto Sans CJK SC"/>
        <family val="2"/>
      </rPr>
      <t xml:space="preserve">自</t>
    </r>
    <r>
      <rPr>
        <sz val="9"/>
        <color rgb="FF000000"/>
        <rFont val="微軟正黑體"/>
        <family val="0"/>
        <charset val="1"/>
      </rPr>
      <t xml:space="preserve">2026/1/1</t>
    </r>
    <r>
      <rPr>
        <sz val="9"/>
        <color rgb="FF000000"/>
        <rFont val="Noto Sans CJK SC"/>
        <family val="2"/>
      </rPr>
      <t xml:space="preserve">生效：</t>
    </r>
    <r>
      <rPr>
        <sz val="9"/>
        <color rgb="FF000000"/>
        <rFont val="微軟正黑體"/>
        <family val="0"/>
        <charset val="1"/>
      </rPr>
      <t xml:space="preserve">72</t>
    </r>
    <r>
      <rPr>
        <sz val="9"/>
        <color rgb="FF000000"/>
        <rFont val="Noto Sans CJK SC"/>
        <family val="2"/>
      </rPr>
      <t xml:space="preserve">小時通報、跨境傳輸影響評估</t>
    </r>
    <r>
      <rPr>
        <sz val="9"/>
        <color rgb="FF000000"/>
        <rFont val="微軟正黑體"/>
        <family val="0"/>
        <charset val="1"/>
      </rPr>
      <t xml:space="preserve">60</t>
    </r>
    <r>
      <rPr>
        <sz val="9"/>
        <color rgb="FF000000"/>
        <rFont val="Noto Sans CJK SC"/>
        <family val="2"/>
      </rPr>
      <t xml:space="preserve">日內報公安部</t>
    </r>
  </si>
  <si>
    <r>
      <rPr>
        <sz val="9"/>
        <rFont val="Noto Sans CJK SC"/>
        <family val="2"/>
      </rPr>
      <t xml:space="preserve">重大更新：</t>
    </r>
    <r>
      <rPr>
        <sz val="9"/>
        <rFont val="Microsoft JhengHei"/>
        <family val="0"/>
        <charset val="1"/>
      </rPr>
      <t xml:space="preserve">PDPL 91/2025/QH15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2025-06-26</t>
    </r>
    <r>
      <rPr>
        <sz val="9"/>
        <rFont val="Noto Sans CJK SC"/>
        <family val="2"/>
      </rPr>
      <t xml:space="preserve">通過、</t>
    </r>
    <r>
      <rPr>
        <sz val="9"/>
        <rFont val="Microsoft JhengHei"/>
        <family val="0"/>
        <charset val="1"/>
      </rPr>
      <t xml:space="preserve">2026-01-01</t>
    </r>
    <r>
      <rPr>
        <sz val="9"/>
        <rFont val="Noto Sans CJK SC"/>
        <family val="2"/>
      </rPr>
      <t xml:space="preserve">生效）取代</t>
    </r>
    <r>
      <rPr>
        <sz val="9"/>
        <rFont val="Microsoft JhengHei"/>
        <family val="0"/>
        <charset val="1"/>
      </rPr>
      <t xml:space="preserve">Decree 13/2023</t>
    </r>
    <r>
      <rPr>
        <sz val="9"/>
        <rFont val="Noto Sans CJK SC"/>
        <family val="2"/>
      </rPr>
      <t xml:space="preserve">；罰款上限年營收</t>
    </r>
    <r>
      <rPr>
        <sz val="9"/>
        <rFont val="Microsoft JhengHei"/>
        <family val="0"/>
        <charset val="1"/>
      </rPr>
      <t xml:space="preserve">5%</t>
    </r>
    <r>
      <rPr>
        <sz val="9"/>
        <rFont val="Noto Sans CJK SC"/>
        <family val="2"/>
      </rPr>
      <t xml:space="preserve">（下限</t>
    </r>
    <r>
      <rPr>
        <sz val="9"/>
        <rFont val="Microsoft JhengHei"/>
        <family val="0"/>
        <charset val="1"/>
      </rPr>
      <t xml:space="preserve">30</t>
    </r>
    <r>
      <rPr>
        <sz val="9"/>
        <rFont val="Noto Sans CJK SC"/>
        <family val="2"/>
      </rPr>
      <t xml:space="preserve">億越盾）；健康資料屬敏感個資、跨境須</t>
    </r>
    <r>
      <rPr>
        <sz val="9"/>
        <rFont val="Microsoft JhengHei"/>
        <family val="0"/>
        <charset val="1"/>
      </rPr>
      <t xml:space="preserve">DPIA</t>
    </r>
    <r>
      <rPr>
        <sz val="9"/>
        <rFont val="Noto Sans CJK SC"/>
        <family val="2"/>
      </rPr>
      <t xml:space="preserve">＋</t>
    </r>
    <r>
      <rPr>
        <sz val="9"/>
        <rFont val="Microsoft JhengHei"/>
        <family val="0"/>
        <charset val="1"/>
      </rPr>
      <t xml:space="preserve">A05</t>
    </r>
    <r>
      <rPr>
        <sz val="9"/>
        <rFont val="Noto Sans CJK SC"/>
        <family val="2"/>
      </rPr>
      <t xml:space="preserve">備案；施行細則</t>
    </r>
    <r>
      <rPr>
        <sz val="9"/>
        <rFont val="Microsoft JhengHei"/>
        <family val="0"/>
        <charset val="1"/>
      </rPr>
      <t xml:space="preserve">Decree 356/2025</t>
    </r>
    <r>
      <rPr>
        <sz val="9"/>
        <rFont val="Noto Sans CJK SC"/>
        <family val="2"/>
      </rPr>
      <t xml:space="preserve">。項目描述應從「</t>
    </r>
    <r>
      <rPr>
        <sz val="9"/>
        <rFont val="Microsoft JhengHei"/>
        <family val="0"/>
        <charset val="1"/>
      </rPr>
      <t xml:space="preserve">Decree 13</t>
    </r>
    <r>
      <rPr>
        <sz val="9"/>
        <rFont val="Noto Sans CJK SC"/>
        <family val="2"/>
      </rPr>
      <t xml:space="preserve">時代」更新為「</t>
    </r>
    <r>
      <rPr>
        <sz val="9"/>
        <rFont val="Microsoft JhengHei"/>
        <family val="0"/>
        <charset val="1"/>
      </rPr>
      <t xml:space="preserve">PDPL</t>
    </r>
    <r>
      <rPr>
        <sz val="9"/>
        <rFont val="Noto Sans CJK SC"/>
        <family val="2"/>
      </rPr>
      <t xml:space="preserve">時代」。</t>
    </r>
  </si>
  <si>
    <t xml:space="preserve">OPP-29</t>
  </si>
  <si>
    <r>
      <rPr>
        <b val="true"/>
        <sz val="9.5"/>
        <color rgb="FF203864"/>
        <rFont val="Noto Sans CJK SC"/>
        <family val="2"/>
      </rPr>
      <t xml:space="preserve">災難復原與營運持續</t>
    </r>
    <r>
      <rPr>
        <b val="true"/>
        <sz val="9.5"/>
        <color rgb="FF203864"/>
        <rFont val="微軟正黑體"/>
        <family val="0"/>
        <charset val="1"/>
      </rPr>
      <t xml:space="preserve">(DR/BCM)</t>
    </r>
  </si>
  <si>
    <t xml:space="preserve">Disaster Recovery &amp; Business Continuity</t>
  </si>
  <si>
    <r>
      <rPr>
        <sz val="9"/>
        <color rgb="FF000000"/>
        <rFont val="Noto Sans CJK SC"/>
        <family val="2"/>
      </rPr>
      <t xml:space="preserve">異地備援、演練、</t>
    </r>
    <r>
      <rPr>
        <sz val="9"/>
        <color rgb="FF000000"/>
        <rFont val="微軟正黑體"/>
        <family val="0"/>
        <charset val="1"/>
      </rPr>
      <t xml:space="preserve">RTO/RPO</t>
    </r>
    <r>
      <rPr>
        <sz val="9"/>
        <color rgb="FF000000"/>
        <rFont val="Noto Sans CJK SC"/>
        <family val="2"/>
      </rPr>
      <t xml:space="preserve">驗證；電子病歷法規的硬性前提之一</t>
    </r>
  </si>
  <si>
    <t xml:space="preserve">BCM Lead</t>
  </si>
  <si>
    <r>
      <rPr>
        <sz val="9"/>
        <color rgb="FF000000"/>
        <rFont val="微軟正黑體"/>
        <family val="0"/>
        <charset val="1"/>
      </rPr>
      <t xml:space="preserve">Circular 13/2025 </t>
    </r>
    <r>
      <rPr>
        <sz val="9"/>
        <color rgb="FF000000"/>
        <rFont val="Noto Sans CJK SC"/>
        <family val="2"/>
      </rPr>
      <t xml:space="preserve">要求具備資安與異地備援能力，但實際做到的醫院極少</t>
    </r>
  </si>
  <si>
    <r>
      <rPr>
        <sz val="9"/>
        <rFont val="Microsoft JhengHei"/>
        <family val="0"/>
        <charset val="1"/>
      </rPr>
      <t xml:space="preserve">Circular 13/2025</t>
    </r>
    <r>
      <rPr>
        <sz val="9"/>
        <rFont val="Noto Sans CJK SC"/>
        <family val="2"/>
      </rPr>
      <t xml:space="preserve">明文要求</t>
    </r>
    <r>
      <rPr>
        <sz val="9"/>
        <rFont val="Microsoft JhengHei"/>
        <family val="0"/>
        <charset val="1"/>
      </rPr>
      <t xml:space="preserve">EMR</t>
    </r>
    <r>
      <rPr>
        <sz val="9"/>
        <rFont val="Noto Sans CJK SC"/>
        <family val="2"/>
      </rPr>
      <t xml:space="preserve">備援儲存與資料復原能力——</t>
    </r>
    <r>
      <rPr>
        <sz val="9"/>
        <rFont val="Microsoft JhengHei"/>
        <family val="0"/>
        <charset val="1"/>
      </rPr>
      <t xml:space="preserve">DR/BCM</t>
    </r>
    <r>
      <rPr>
        <sz val="9"/>
        <rFont val="Noto Sans CJK SC"/>
        <family val="2"/>
      </rPr>
      <t xml:space="preserve">第一次有直接法源，是</t>
    </r>
    <r>
      <rPr>
        <sz val="9"/>
        <rFont val="Microsoft JhengHei"/>
        <family val="0"/>
        <charset val="1"/>
      </rPr>
      <t xml:space="preserve">D</t>
    </r>
    <r>
      <rPr>
        <sz val="9"/>
        <rFont val="Noto Sans CJK SC"/>
        <family val="2"/>
      </rPr>
      <t xml:space="preserve">家族中合規驅動最強項目。</t>
    </r>
  </si>
  <si>
    <t xml:space="preserve">OPP-30</t>
  </si>
  <si>
    <r>
      <rPr>
        <b val="true"/>
        <sz val="9.5"/>
        <color rgb="FF203864"/>
        <rFont val="Noto Sans CJK SC"/>
        <family val="2"/>
      </rPr>
      <t xml:space="preserve">醫療數位簽章與</t>
    </r>
    <r>
      <rPr>
        <b val="true"/>
        <sz val="9.5"/>
        <color rgb="FF203864"/>
        <rFont val="微軟正黑體"/>
        <family val="0"/>
        <charset val="1"/>
      </rPr>
      <t xml:space="preserve">PKI</t>
    </r>
    <r>
      <rPr>
        <b val="true"/>
        <sz val="9.5"/>
        <color rgb="FF203864"/>
        <rFont val="Noto Sans CJK SC"/>
        <family val="2"/>
      </rPr>
      <t xml:space="preserve">憑證</t>
    </r>
  </si>
  <si>
    <t xml:space="preserve">Clinical Digital Signature &amp; PKI</t>
  </si>
  <si>
    <t xml:space="preserve">醫師個人憑證、硬體安全模組、時戳服務；按人／年訂閱</t>
  </si>
  <si>
    <t xml:space="preserve">Health IT Lead</t>
  </si>
  <si>
    <r>
      <rPr>
        <sz val="9"/>
        <color rgb="FF000000"/>
        <rFont val="微軟正黑體"/>
        <family val="0"/>
        <charset val="1"/>
      </rPr>
      <t xml:space="preserve">Circular 13/2025 </t>
    </r>
    <r>
      <rPr>
        <sz val="9"/>
        <color rgb="FF000000"/>
        <rFont val="Noto Sans CJK SC"/>
        <family val="2"/>
      </rPr>
      <t xml:space="preserve">明文要求電子簽章／生物辨識，是無紙化病歷跑不掉的一環</t>
    </r>
  </si>
  <si>
    <r>
      <rPr>
        <sz val="9"/>
        <rFont val="Microsoft JhengHei"/>
        <family val="0"/>
        <charset val="1"/>
      </rPr>
      <t xml:space="preserve">Circular 13/2025</t>
    </r>
    <r>
      <rPr>
        <sz val="9"/>
        <rFont val="Noto Sans CJK SC"/>
        <family val="2"/>
      </rPr>
      <t xml:space="preserve">允許以合法數位簽章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生物特徵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核准之電子認證簽署電子病歷；國家電子認證中心</t>
    </r>
    <r>
      <rPr>
        <sz val="9"/>
        <rFont val="Microsoft JhengHei"/>
        <family val="0"/>
        <charset val="1"/>
      </rPr>
      <t xml:space="preserve">NEAC</t>
    </r>
    <r>
      <rPr>
        <sz val="9"/>
        <rFont val="Noto Sans CJK SC"/>
        <family val="2"/>
      </rPr>
      <t xml:space="preserve">專文宣導。上位法為電子交易法</t>
    </r>
    <r>
      <rPr>
        <sz val="9"/>
        <rFont val="Microsoft JhengHei"/>
        <family val="0"/>
        <charset val="1"/>
      </rPr>
      <t xml:space="preserve">2023</t>
    </r>
    <r>
      <rPr>
        <sz val="9"/>
        <rFont val="Noto Sans CJK SC"/>
        <family val="2"/>
      </rPr>
      <t xml:space="preserve">。</t>
    </r>
  </si>
  <si>
    <t xml:space="preserve">OPP-31</t>
  </si>
  <si>
    <r>
      <rPr>
        <b val="true"/>
        <sz val="9.5"/>
        <color rgb="FF203864"/>
        <rFont val="微軟正黑體"/>
        <family val="0"/>
        <charset val="1"/>
      </rPr>
      <t xml:space="preserve">HIS</t>
    </r>
    <r>
      <rPr>
        <b val="true"/>
        <sz val="9.5"/>
        <color rgb="FF203864"/>
        <rFont val="Noto Sans CJK SC"/>
        <family val="2"/>
      </rPr>
      <t xml:space="preserve">／</t>
    </r>
    <r>
      <rPr>
        <b val="true"/>
        <sz val="9.5"/>
        <color rgb="FF203864"/>
        <rFont val="微軟正黑體"/>
        <family val="0"/>
        <charset val="1"/>
      </rPr>
      <t xml:space="preserve">EMR</t>
    </r>
    <r>
      <rPr>
        <b val="true"/>
        <sz val="9.5"/>
        <color rgb="FF203864"/>
        <rFont val="Noto Sans CJK SC"/>
        <family val="2"/>
      </rPr>
      <t xml:space="preserve">核心平台導入</t>
    </r>
  </si>
  <si>
    <t xml:space="preserve">HIS / EMR Core Platform</t>
  </si>
  <si>
    <r>
      <rPr>
        <sz val="9"/>
        <color rgb="FF000000"/>
        <rFont val="微軟正黑體"/>
        <family val="0"/>
        <charset val="1"/>
      </rPr>
      <t xml:space="preserve">E </t>
    </r>
    <r>
      <rPr>
        <sz val="9"/>
        <color rgb="FF000000"/>
        <rFont val="Noto Sans CJK SC"/>
        <family val="2"/>
      </rPr>
      <t xml:space="preserve">醫療資訊與資料</t>
    </r>
  </si>
  <si>
    <t xml:space="preserve">無紙化電子病歷與醫院資訊系統；醫院發展基金或以租代購付費</t>
  </si>
  <si>
    <r>
      <rPr>
        <sz val="9"/>
        <color rgb="FF000000"/>
        <rFont val="微軟正黑體"/>
        <family val="0"/>
        <charset val="1"/>
      </rPr>
      <t xml:space="preserve">★Circular 13/2025 </t>
    </r>
    <r>
      <rPr>
        <sz val="9"/>
        <color rgb="FF000000"/>
        <rFont val="Noto Sans CJK SC"/>
        <family val="2"/>
      </rPr>
      <t xml:space="preserve">原要求</t>
    </r>
    <r>
      <rPr>
        <sz val="9"/>
        <color rgb="FF000000"/>
        <rFont val="微軟正黑體"/>
        <family val="0"/>
        <charset val="1"/>
      </rPr>
      <t xml:space="preserve">2025/9/30</t>
    </r>
    <r>
      <rPr>
        <sz val="9"/>
        <color rgb="FF000000"/>
        <rFont val="Noto Sans CJK SC"/>
        <family val="2"/>
      </rPr>
      <t xml:space="preserve">無紙化未達成；</t>
    </r>
    <r>
      <rPr>
        <sz val="9"/>
        <color rgb="FF000000"/>
        <rFont val="微軟正黑體"/>
        <family val="0"/>
        <charset val="1"/>
      </rPr>
      <t xml:space="preserve">Quyết định 965/QĐ-BYT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2026-04-10</t>
    </r>
    <r>
      <rPr>
        <sz val="9"/>
        <color rgb="FF000000"/>
        <rFont val="Noto Sans CJK SC"/>
        <family val="2"/>
      </rPr>
      <t xml:space="preserve">）改訂</t>
    </r>
    <r>
      <rPr>
        <sz val="9"/>
        <color rgb="FF000000"/>
        <rFont val="微軟正黑體"/>
        <family val="0"/>
        <charset val="1"/>
      </rPr>
      <t xml:space="preserve">2026-12-31</t>
    </r>
    <r>
      <rPr>
        <sz val="9"/>
        <color rgb="FF000000"/>
        <rFont val="Noto Sans CJK SC"/>
        <family val="2"/>
      </rPr>
      <t xml:space="preserve">完成、</t>
    </r>
    <r>
      <rPr>
        <sz val="9"/>
        <color rgb="FF000000"/>
        <rFont val="微軟正黑體"/>
        <family val="0"/>
        <charset val="1"/>
      </rPr>
      <t xml:space="preserve">2027-01-01</t>
    </r>
    <r>
      <rPr>
        <sz val="9"/>
        <color rgb="FF000000"/>
        <rFont val="Noto Sans CJK SC"/>
        <family val="2"/>
      </rPr>
      <t xml:space="preserve">停用紙本、</t>
    </r>
    <r>
      <rPr>
        <sz val="9"/>
        <color rgb="FF000000"/>
        <rFont val="微軟正黑體"/>
        <family val="0"/>
        <charset val="1"/>
      </rPr>
      <t xml:space="preserve">2030</t>
    </r>
    <r>
      <rPr>
        <sz val="9"/>
        <color rgb="FF000000"/>
        <rFont val="Noto Sans CJK SC"/>
        <family val="2"/>
      </rPr>
      <t xml:space="preserve">年</t>
    </r>
    <r>
      <rPr>
        <sz val="9"/>
        <color rgb="FF000000"/>
        <rFont val="微軟正黑體"/>
        <family val="0"/>
        <charset val="1"/>
      </rPr>
      <t xml:space="preserve">100%</t>
    </r>
    <r>
      <rPr>
        <sz val="9"/>
        <color rgb="FF000000"/>
        <rFont val="Noto Sans CJK SC"/>
        <family val="2"/>
      </rPr>
      <t xml:space="preserve">。完成率</t>
    </r>
    <r>
      <rPr>
        <sz val="9"/>
        <color rgb="FF000000"/>
        <rFont val="微軟正黑體"/>
        <family val="0"/>
        <charset val="1"/>
      </rPr>
      <t xml:space="preserve">2025</t>
    </r>
    <r>
      <rPr>
        <sz val="9"/>
        <color rgb="FF000000"/>
        <rFont val="Noto Sans CJK SC"/>
        <family val="2"/>
      </rPr>
      <t xml:space="preserve">年底</t>
    </r>
    <r>
      <rPr>
        <sz val="9"/>
        <color rgb="FF000000"/>
        <rFont val="微軟正黑體"/>
        <family val="0"/>
        <charset val="1"/>
      </rPr>
      <t xml:space="preserve">64.6%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1,062/1,645</t>
    </r>
    <r>
      <rPr>
        <sz val="9"/>
        <color rgb="FF000000"/>
        <rFont val="Noto Sans CJK SC"/>
        <family val="2"/>
      </rPr>
      <t xml:space="preserve">家）</t>
    </r>
  </si>
  <si>
    <r>
      <rPr>
        <sz val="9"/>
        <color rgb="FF000000"/>
        <rFont val="微軟正黑體"/>
        <family val="0"/>
        <charset val="1"/>
      </rPr>
      <t xml:space="preserve">Viettel/FPT/VNPT </t>
    </r>
    <r>
      <rPr>
        <sz val="9"/>
        <color rgb="FF000000"/>
        <rFont val="Noto Sans CJK SC"/>
        <family val="2"/>
      </rPr>
      <t xml:space="preserve">與本土 </t>
    </r>
    <r>
      <rPr>
        <sz val="9"/>
        <color rgb="FF000000"/>
        <rFont val="微軟正黑體"/>
        <family val="0"/>
        <charset val="1"/>
      </rPr>
      <t xml:space="preserve">HIS </t>
    </r>
    <r>
      <rPr>
        <sz val="9"/>
        <color rgb="FF000000"/>
        <rFont val="Noto Sans CJK SC"/>
        <family val="2"/>
      </rPr>
      <t xml:space="preserve">商，價格低</t>
    </r>
  </si>
  <si>
    <r>
      <rPr>
        <sz val="9"/>
        <color rgb="FF000000"/>
        <rFont val="Noto Sans CJK SC"/>
        <family val="2"/>
      </rPr>
      <t xml:space="preserve">不搶基層 </t>
    </r>
    <r>
      <rPr>
        <sz val="9"/>
        <color rgb="FF000000"/>
        <rFont val="微軟正黑體"/>
        <family val="0"/>
        <charset val="1"/>
      </rPr>
      <t xml:space="preserve">HIS</t>
    </r>
    <r>
      <rPr>
        <sz val="9"/>
        <color rgb="FF000000"/>
        <rFont val="Noto Sans CJK SC"/>
        <family val="2"/>
      </rPr>
      <t xml:space="preserve">，賣旗艦醫院級 </t>
    </r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＋無紙化驗收整包</t>
    </r>
  </si>
  <si>
    <r>
      <rPr>
        <b val="true"/>
        <sz val="9"/>
        <color rgb="FFFFFFFF"/>
        <rFont val="Microsoft JhengHei"/>
        <family val="0"/>
        <charset val="1"/>
      </rPr>
      <t xml:space="preserve">L4 </t>
    </r>
    <r>
      <rPr>
        <b val="true"/>
        <sz val="9"/>
        <color rgb="FFFFFFFF"/>
        <rFont val="Noto Sans CJK SC"/>
        <family val="2"/>
      </rPr>
      <t xml:space="preserve">資料平台層</t>
    </r>
  </si>
  <si>
    <r>
      <rPr>
        <sz val="9"/>
        <rFont val="Microsoft JhengHei"/>
        <family val="0"/>
        <charset val="1"/>
      </rPr>
      <t xml:space="preserve">Circular 13/2025</t>
    </r>
    <r>
      <rPr>
        <sz val="9"/>
        <rFont val="Noto Sans CJK SC"/>
        <family val="2"/>
      </rPr>
      <t xml:space="preserve">（取代</t>
    </r>
    <r>
      <rPr>
        <sz val="9"/>
        <rFont val="Microsoft JhengHei"/>
        <family val="0"/>
        <charset val="1"/>
      </rPr>
      <t xml:space="preserve">46/2018</t>
    </r>
    <r>
      <rPr>
        <sz val="9"/>
        <rFont val="Noto Sans CJK SC"/>
        <family val="2"/>
      </rPr>
      <t xml:space="preserve">）：原訂醫院</t>
    </r>
    <r>
      <rPr>
        <sz val="9"/>
        <rFont val="Microsoft JhengHei"/>
        <family val="0"/>
        <charset val="1"/>
      </rPr>
      <t xml:space="preserve">2025-09-30</t>
    </r>
    <r>
      <rPr>
        <sz val="9"/>
        <rFont val="Noto Sans CJK SC"/>
        <family val="2"/>
      </rPr>
      <t xml:space="preserve">、其他機構</t>
    </r>
    <r>
      <rPr>
        <sz val="9"/>
        <rFont val="Microsoft JhengHei"/>
        <family val="0"/>
        <charset val="1"/>
      </rPr>
      <t xml:space="preserve">2026-12-31</t>
    </r>
    <r>
      <rPr>
        <sz val="9"/>
        <rFont val="Noto Sans CJK SC"/>
        <family val="2"/>
      </rPr>
      <t xml:space="preserve">；⚠</t>
    </r>
    <r>
      <rPr>
        <sz val="9"/>
        <rFont val="Microsoft JhengHei"/>
        <family val="0"/>
        <charset val="1"/>
      </rPr>
      <t xml:space="preserve">Quyết định 965/QĐ-BYT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2026-04-10</t>
    </r>
    <r>
      <rPr>
        <sz val="9"/>
        <rFont val="Noto Sans CJK SC"/>
        <family val="2"/>
      </rPr>
      <t xml:space="preserve">）改訂全體</t>
    </r>
    <r>
      <rPr>
        <sz val="9"/>
        <rFont val="Microsoft JhengHei"/>
        <family val="0"/>
        <charset val="1"/>
      </rPr>
      <t xml:space="preserve">2026-12-31</t>
    </r>
    <r>
      <rPr>
        <sz val="9"/>
        <rFont val="Noto Sans CJK SC"/>
        <family val="2"/>
      </rPr>
      <t xml:space="preserve">完成、</t>
    </r>
    <r>
      <rPr>
        <sz val="9"/>
        <rFont val="Microsoft JhengHei"/>
        <family val="0"/>
        <charset val="1"/>
      </rPr>
      <t xml:space="preserve">2027-01-01</t>
    </r>
    <r>
      <rPr>
        <sz val="9"/>
        <rFont val="Noto Sans CJK SC"/>
        <family val="2"/>
      </rPr>
      <t xml:space="preserve">停用紙本、</t>
    </r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100%</t>
    </r>
    <r>
      <rPr>
        <sz val="9"/>
        <rFont val="Noto Sans CJK SC"/>
        <family val="2"/>
      </rPr>
      <t xml:space="preserve">。完成率</t>
    </r>
    <r>
      <rPr>
        <sz val="9"/>
        <rFont val="Microsoft JhengHei"/>
        <family val="0"/>
        <charset val="1"/>
      </rPr>
      <t xml:space="preserve">2025-12-31</t>
    </r>
    <r>
      <rPr>
        <sz val="9"/>
        <rFont val="Noto Sans CJK SC"/>
        <family val="2"/>
      </rPr>
      <t xml:space="preserve">為</t>
    </r>
    <r>
      <rPr>
        <sz val="9"/>
        <rFont val="Microsoft JhengHei"/>
        <family val="0"/>
        <charset val="1"/>
      </rPr>
      <t xml:space="preserve">64.6%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1,062/1,645</t>
    </r>
    <r>
      <rPr>
        <sz val="9"/>
        <rFont val="Noto Sans CJK SC"/>
        <family val="2"/>
      </rPr>
      <t xml:space="preserve">家）、</t>
    </r>
    <r>
      <rPr>
        <sz val="9"/>
        <rFont val="Microsoft JhengHei"/>
        <family val="0"/>
        <charset val="1"/>
      </rPr>
      <t xml:space="preserve">2026-08</t>
    </r>
    <r>
      <rPr>
        <sz val="9"/>
        <rFont val="Noto Sans CJK SC"/>
        <family val="2"/>
      </rPr>
      <t xml:space="preserve">登錄</t>
    </r>
    <r>
      <rPr>
        <sz val="9"/>
        <rFont val="Microsoft JhengHei"/>
        <family val="0"/>
        <charset val="1"/>
      </rPr>
      <t xml:space="preserve">1,260</t>
    </r>
    <r>
      <rPr>
        <sz val="9"/>
        <rFont val="Noto Sans CJK SC"/>
        <family val="2"/>
      </rPr>
      <t xml:space="preserve">家。本土三強主導：</t>
    </r>
    <r>
      <rPr>
        <sz val="9"/>
        <rFont val="Microsoft JhengHei"/>
        <family val="0"/>
        <charset val="1"/>
      </rPr>
      <t xml:space="preserve">Viettel Solutions</t>
    </r>
    <r>
      <rPr>
        <sz val="9"/>
        <rFont val="Noto Sans CJK SC"/>
        <family val="2"/>
      </rPr>
      <t xml:space="preserve">逾</t>
    </r>
    <r>
      <rPr>
        <sz val="9"/>
        <rFont val="Microsoft JhengHei"/>
        <family val="0"/>
        <charset val="1"/>
      </rPr>
      <t xml:space="preserve">200</t>
    </r>
    <r>
      <rPr>
        <sz val="9"/>
        <rFont val="Noto Sans CJK SC"/>
        <family val="2"/>
      </rPr>
      <t xml:space="preserve">家（曾</t>
    </r>
    <r>
      <rPr>
        <sz val="9"/>
        <rFont val="Microsoft JhengHei"/>
        <family val="0"/>
        <charset val="1"/>
      </rPr>
      <t xml:space="preserve">2</t>
    </r>
    <r>
      <rPr>
        <sz val="9"/>
        <rFont val="Noto Sans CJK SC"/>
        <family val="2"/>
      </rPr>
      <t xml:space="preserve">個月為</t>
    </r>
    <r>
      <rPr>
        <sz val="9"/>
        <rFont val="Microsoft JhengHei"/>
        <family val="0"/>
        <charset val="1"/>
      </rPr>
      <t xml:space="preserve">27</t>
    </r>
    <r>
      <rPr>
        <sz val="9"/>
        <rFont val="Noto Sans CJK SC"/>
        <family val="2"/>
      </rPr>
      <t xml:space="preserve">家軍醫院導入）、</t>
    </r>
    <r>
      <rPr>
        <sz val="9"/>
        <rFont val="Microsoft JhengHei"/>
        <family val="0"/>
        <charset val="1"/>
      </rPr>
      <t xml:space="preserve">FPT 6</t>
    </r>
    <r>
      <rPr>
        <sz val="9"/>
        <rFont val="Noto Sans CJK SC"/>
        <family val="2"/>
      </rPr>
      <t xml:space="preserve">個月</t>
    </r>
    <r>
      <rPr>
        <sz val="9"/>
        <rFont val="Microsoft JhengHei"/>
        <family val="0"/>
        <charset val="1"/>
      </rPr>
      <t xml:space="preserve">70+</t>
    </r>
    <r>
      <rPr>
        <sz val="9"/>
        <rFont val="Noto Sans CJK SC"/>
        <family val="2"/>
      </rPr>
      <t xml:space="preserve">家（</t>
    </r>
    <r>
      <rPr>
        <sz val="9"/>
        <rFont val="Microsoft JhengHei"/>
        <family val="0"/>
        <charset val="1"/>
      </rPr>
      <t xml:space="preserve">2025-11</t>
    </r>
    <r>
      <rPr>
        <sz val="9"/>
        <rFont val="Noto Sans CJK SC"/>
        <family val="2"/>
      </rPr>
      <t xml:space="preserve">與白梅醫院簽戰略合作、</t>
    </r>
    <r>
      <rPr>
        <sz val="9"/>
        <rFont val="Microsoft JhengHei"/>
        <family val="0"/>
        <charset val="1"/>
      </rPr>
      <t xml:space="preserve">2026-08</t>
    </r>
    <r>
      <rPr>
        <sz val="9"/>
        <rFont val="Noto Sans CJK SC"/>
        <family val="2"/>
      </rPr>
      <t xml:space="preserve">發布醫療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框架</t>
    </r>
    <r>
      <rPr>
        <sz val="9"/>
        <rFont val="Microsoft JhengHei"/>
        <family val="0"/>
        <charset val="1"/>
      </rPr>
      <t xml:space="preserve">MediSight</t>
    </r>
    <r>
      <rPr>
        <sz val="9"/>
        <rFont val="Noto Sans CJK SC"/>
        <family val="2"/>
      </rPr>
      <t xml:space="preserve">）、</t>
    </r>
    <r>
      <rPr>
        <sz val="9"/>
        <rFont val="Microsoft JhengHei"/>
        <family val="0"/>
        <charset val="1"/>
      </rPr>
      <t xml:space="preserve">VNPT——</t>
    </r>
    <r>
      <rPr>
        <sz val="9"/>
        <rFont val="Noto Sans CJK SC"/>
        <family val="2"/>
      </rPr>
      <t xml:space="preserve">外商切入點在深化模組與國際私立醫院。</t>
    </r>
    <r>
      <rPr>
        <sz val="9"/>
        <rFont val="Microsoft JhengHei"/>
        <family val="0"/>
        <charset val="1"/>
      </rPr>
      <t xml:space="preserve">IT</t>
    </r>
    <r>
      <rPr>
        <sz val="9"/>
        <rFont val="Noto Sans CJK SC"/>
        <family val="2"/>
      </rPr>
      <t xml:space="preserve">成本未計入醫療服務價格是最大瓶頸。</t>
    </r>
  </si>
  <si>
    <r>
      <rPr>
        <sz val="9"/>
        <rFont val="Microsoft JhengHei"/>
        <family val="0"/>
        <charset val="1"/>
      </rPr>
      <t xml:space="preserve">Circular 13/2025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2025-07-21</t>
    </r>
    <r>
      <rPr>
        <sz val="9"/>
        <rFont val="Noto Sans CJK SC"/>
        <family val="2"/>
      </rPr>
      <t xml:space="preserve">生效，取代</t>
    </r>
    <r>
      <rPr>
        <sz val="9"/>
        <rFont val="Microsoft JhengHei"/>
        <family val="0"/>
        <charset val="1"/>
      </rPr>
      <t xml:space="preserve">46/2018</t>
    </r>
    <r>
      <rPr>
        <sz val="9"/>
        <rFont val="Noto Sans CJK SC"/>
        <family val="2"/>
      </rPr>
      <t xml:space="preserve">）：醫院限</t>
    </r>
    <r>
      <rPr>
        <sz val="9"/>
        <rFont val="Microsoft JhengHei"/>
        <family val="0"/>
        <charset val="1"/>
      </rPr>
      <t xml:space="preserve">2025-09-30</t>
    </r>
    <r>
      <rPr>
        <sz val="9"/>
        <rFont val="Noto Sans CJK SC"/>
        <family val="2"/>
      </rPr>
      <t xml:space="preserve">完成</t>
    </r>
    <r>
      <rPr>
        <sz val="9"/>
        <rFont val="Microsoft JhengHei"/>
        <family val="0"/>
        <charset val="1"/>
      </rPr>
      <t xml:space="preserve">EMR</t>
    </r>
    <r>
      <rPr>
        <sz val="9"/>
        <rFont val="Noto Sans CJK SC"/>
        <family val="2"/>
      </rPr>
      <t xml:space="preserve">、其他機構限</t>
    </r>
    <r>
      <rPr>
        <sz val="9"/>
        <rFont val="Microsoft JhengHei"/>
        <family val="0"/>
        <charset val="1"/>
      </rPr>
      <t xml:space="preserve">2026-12-31</t>
    </r>
    <r>
      <rPr>
        <sz val="9"/>
        <rFont val="Noto Sans CJK SC"/>
        <family val="2"/>
      </rPr>
      <t xml:space="preserve">。⚠期限已由</t>
    </r>
    <r>
      <rPr>
        <sz val="9"/>
        <rFont val="Microsoft JhengHei"/>
        <family val="0"/>
        <charset val="1"/>
      </rPr>
      <t xml:space="preserve">Quyết định 965/QĐ-BYT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2026-04-10</t>
    </r>
    <r>
      <rPr>
        <sz val="9"/>
        <rFont val="Noto Sans CJK SC"/>
        <family val="2"/>
      </rPr>
      <t xml:space="preserve">）改訂為</t>
    </r>
    <r>
      <rPr>
        <sz val="9"/>
        <rFont val="Microsoft JhengHei"/>
        <family val="0"/>
        <charset val="1"/>
      </rPr>
      <t xml:space="preserve">2026-12-31</t>
    </r>
    <r>
      <rPr>
        <sz val="9"/>
        <rFont val="Noto Sans CJK SC"/>
        <family val="2"/>
      </rPr>
      <t xml:space="preserve">完成、</t>
    </r>
    <r>
      <rPr>
        <sz val="9"/>
        <rFont val="Microsoft JhengHei"/>
        <family val="0"/>
        <charset val="1"/>
      </rPr>
      <t xml:space="preserve">2027-01-01</t>
    </r>
    <r>
      <rPr>
        <sz val="9"/>
        <rFont val="Noto Sans CJK SC"/>
        <family val="2"/>
      </rPr>
      <t xml:space="preserve">起停用紙本，</t>
    </r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100%</t>
    </r>
    <r>
      <rPr>
        <sz val="9"/>
        <rFont val="Noto Sans CJK SC"/>
        <family val="2"/>
      </rPr>
      <t xml:space="preserve">。完成率：</t>
    </r>
    <r>
      <rPr>
        <sz val="9"/>
        <rFont val="Microsoft JhengHei"/>
        <family val="0"/>
        <charset val="1"/>
      </rPr>
      <t xml:space="preserve">2025-12-31</t>
    </r>
    <r>
      <rPr>
        <sz val="9"/>
        <rFont val="Noto Sans CJK SC"/>
        <family val="2"/>
      </rPr>
      <t xml:space="preserve">為</t>
    </r>
    <r>
      <rPr>
        <sz val="9"/>
        <rFont val="Microsoft JhengHei"/>
        <family val="0"/>
        <charset val="1"/>
      </rPr>
      <t xml:space="preserve">64.6%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1,062/1,645</t>
    </r>
    <r>
      <rPr>
        <sz val="9"/>
        <rFont val="Noto Sans CJK SC"/>
        <family val="2"/>
      </rPr>
      <t xml:space="preserve">家），</t>
    </r>
    <r>
      <rPr>
        <sz val="9"/>
        <rFont val="Microsoft JhengHei"/>
        <family val="0"/>
        <charset val="1"/>
      </rPr>
      <t xml:space="preserve">2026-04</t>
    </r>
    <r>
      <rPr>
        <sz val="9"/>
        <rFont val="Noto Sans CJK SC"/>
        <family val="2"/>
      </rPr>
      <t xml:space="preserve">衛生部長稱逾</t>
    </r>
    <r>
      <rPr>
        <sz val="9"/>
        <rFont val="Microsoft JhengHei"/>
        <family val="0"/>
        <charset val="1"/>
      </rPr>
      <t xml:space="preserve">75%</t>
    </r>
    <r>
      <rPr>
        <sz val="9"/>
        <rFont val="Noto Sans CJK SC"/>
        <family val="2"/>
      </rPr>
      <t xml:space="preserve">已公告，衛生部登錄平台</t>
    </r>
    <r>
      <rPr>
        <sz val="9"/>
        <rFont val="Microsoft JhengHei"/>
        <family val="0"/>
        <charset val="1"/>
      </rPr>
      <t xml:space="preserve">2026-08</t>
    </r>
    <r>
      <rPr>
        <sz val="9"/>
        <rFont val="Noto Sans CJK SC"/>
        <family val="2"/>
      </rPr>
      <t xml:space="preserve">顯示</t>
    </r>
    <r>
      <rPr>
        <sz val="9"/>
        <rFont val="Microsoft JhengHei"/>
        <family val="0"/>
        <charset val="1"/>
      </rPr>
      <t xml:space="preserve">1,260</t>
    </r>
    <r>
      <rPr>
        <sz val="9"/>
        <rFont val="Noto Sans CJK SC"/>
        <family val="2"/>
      </rPr>
      <t xml:space="preserve">家。</t>
    </r>
    <r>
      <rPr>
        <sz val="9"/>
        <rFont val="Microsoft JhengHei"/>
        <family val="0"/>
        <charset val="1"/>
      </rPr>
      <t xml:space="preserve">Circular 26/2025</t>
    </r>
    <r>
      <rPr>
        <sz val="9"/>
        <rFont val="Noto Sans CJK SC"/>
        <family val="2"/>
      </rPr>
      <t xml:space="preserve">：</t>
    </r>
    <r>
      <rPr>
        <sz val="9"/>
        <rFont val="Microsoft JhengHei"/>
        <family val="0"/>
        <charset val="1"/>
      </rPr>
      <t xml:space="preserve">2025-10-01</t>
    </r>
    <r>
      <rPr>
        <sz val="9"/>
        <rFont val="Noto Sans CJK SC"/>
        <family val="2"/>
      </rPr>
      <t xml:space="preserve">起醫院強制電子處方。本土三強主導（</t>
    </r>
    <r>
      <rPr>
        <sz val="9"/>
        <rFont val="Microsoft JhengHei"/>
        <family val="0"/>
        <charset val="1"/>
      </rPr>
      <t xml:space="preserve">FPT eHospital 6</t>
    </r>
    <r>
      <rPr>
        <sz val="9"/>
        <rFont val="Noto Sans CJK SC"/>
        <family val="2"/>
      </rPr>
      <t xml:space="preserve">個月部署</t>
    </r>
    <r>
      <rPr>
        <sz val="9"/>
        <rFont val="Microsoft JhengHei"/>
        <family val="0"/>
        <charset val="1"/>
      </rPr>
      <t xml:space="preserve">70+</t>
    </r>
    <r>
      <rPr>
        <sz val="9"/>
        <rFont val="Noto Sans CJK SC"/>
        <family val="2"/>
      </rPr>
      <t xml:space="preserve">家、</t>
    </r>
    <r>
      <rPr>
        <sz val="9"/>
        <rFont val="Microsoft JhengHei"/>
        <family val="0"/>
        <charset val="1"/>
      </rPr>
      <t xml:space="preserve">Viettel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VNPT</t>
    </r>
    <r>
      <rPr>
        <sz val="9"/>
        <rFont val="Noto Sans CJK SC"/>
        <family val="2"/>
      </rPr>
      <t xml:space="preserve">）。數位健康市場</t>
    </r>
    <r>
      <rPr>
        <sz val="9"/>
        <rFont val="Microsoft JhengHei"/>
        <family val="0"/>
        <charset val="1"/>
      </rPr>
      <t xml:space="preserve">2025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28.4</t>
    </r>
    <r>
      <rPr>
        <sz val="9"/>
        <rFont val="Noto Sans CJK SC"/>
        <family val="2"/>
      </rPr>
      <t xml:space="preserve">億美元→</t>
    </r>
    <r>
      <rPr>
        <sz val="9"/>
        <rFont val="Microsoft JhengHei"/>
        <family val="0"/>
        <charset val="1"/>
      </rPr>
      <t xml:space="preserve">2034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95.2</t>
    </r>
    <r>
      <rPr>
        <sz val="9"/>
        <rFont val="Noto Sans CJK SC"/>
        <family val="2"/>
      </rPr>
      <t xml:space="preserve">億（</t>
    </r>
    <r>
      <rPr>
        <sz val="9"/>
        <rFont val="Microsoft JhengHei"/>
        <family val="0"/>
        <charset val="1"/>
      </rPr>
      <t xml:space="preserve">CAGR 14.4%</t>
    </r>
    <r>
      <rPr>
        <sz val="9"/>
        <rFont val="Noto Sans CJK SC"/>
        <family val="2"/>
      </rPr>
      <t xml:space="preserve">）。</t>
    </r>
    <r>
      <rPr>
        <sz val="9"/>
        <rFont val="Microsoft JhengHei"/>
        <family val="0"/>
        <charset val="1"/>
      </rPr>
      <t xml:space="preserve">VNeID</t>
    </r>
    <r>
      <rPr>
        <sz val="9"/>
        <rFont val="Noto Sans CJK SC"/>
        <family val="2"/>
      </rPr>
      <t xml:space="preserve">健康簿約</t>
    </r>
    <r>
      <rPr>
        <sz val="9"/>
        <rFont val="Microsoft JhengHei"/>
        <family val="0"/>
        <charset val="1"/>
      </rPr>
      <t xml:space="preserve">3,280</t>
    </r>
    <r>
      <rPr>
        <sz val="9"/>
        <rFont val="Noto Sans CJK SC"/>
        <family val="2"/>
      </rPr>
      <t xml:space="preserve">萬人（</t>
    </r>
    <r>
      <rPr>
        <sz val="9"/>
        <rFont val="Microsoft JhengHei"/>
        <family val="0"/>
        <charset val="1"/>
      </rPr>
      <t xml:space="preserve">2026-07</t>
    </r>
    <r>
      <rPr>
        <sz val="9"/>
        <rFont val="Noto Sans CJK SC"/>
        <family val="2"/>
      </rPr>
      <t xml:space="preserve">），</t>
    </r>
    <r>
      <rPr>
        <sz val="9"/>
        <rFont val="Microsoft JhengHei"/>
        <family val="0"/>
        <charset val="1"/>
      </rPr>
      <t xml:space="preserve">Quyết định 31/QĐ-BYT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2026-01-06</t>
    </r>
    <r>
      <rPr>
        <sz val="9"/>
        <rFont val="Noto Sans CJK SC"/>
        <family val="2"/>
      </rPr>
      <t xml:space="preserve">）已明定與紙本同等法律效力、機關不得再要求紙本。</t>
    </r>
  </si>
  <si>
    <t xml:space="preserve">OPP-32</t>
  </si>
  <si>
    <r>
      <rPr>
        <b val="true"/>
        <sz val="9.5"/>
        <color rgb="FF203864"/>
        <rFont val="微軟正黑體"/>
        <family val="0"/>
        <charset val="1"/>
      </rPr>
      <t xml:space="preserve">PACS</t>
    </r>
    <r>
      <rPr>
        <b val="true"/>
        <sz val="9.5"/>
        <color rgb="FF203864"/>
        <rFont val="Noto Sans CJK SC"/>
        <family val="2"/>
      </rPr>
      <t xml:space="preserve">／</t>
    </r>
    <r>
      <rPr>
        <b val="true"/>
        <sz val="9.5"/>
        <color rgb="FF203864"/>
        <rFont val="微軟正黑體"/>
        <family val="0"/>
        <charset val="1"/>
      </rPr>
      <t xml:space="preserve">RIS</t>
    </r>
    <r>
      <rPr>
        <b val="true"/>
        <sz val="9.5"/>
        <color rgb="FF203864"/>
        <rFont val="Noto Sans CJK SC"/>
        <family val="2"/>
      </rPr>
      <t xml:space="preserve">影像資訊系統</t>
    </r>
  </si>
  <si>
    <t xml:space="preserve">PACS / RIS</t>
  </si>
  <si>
    <t xml:space="preserve">影像儲存傳輸與放射資訊系統，是電子病歷驗收的硬前提</t>
  </si>
  <si>
    <r>
      <rPr>
        <sz val="9"/>
        <color rgb="FF000000"/>
        <rFont val="Noto Sans CJK SC"/>
        <family val="2"/>
      </rPr>
      <t xml:space="preserve">衛生部正在催各省核定「使用</t>
    </r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的影像服務價格」，等於替這一項打開了可收費路徑</t>
    </r>
  </si>
  <si>
    <r>
      <rPr>
        <sz val="9"/>
        <color rgb="FF000000"/>
        <rFont val="Noto Sans CJK SC"/>
        <family val="2"/>
      </rPr>
      <t xml:space="preserve">本土 </t>
    </r>
    <r>
      <rPr>
        <sz val="9"/>
        <color rgb="FF000000"/>
        <rFont val="微軟正黑體"/>
        <family val="0"/>
        <charset val="1"/>
      </rPr>
      <t xml:space="preserve">PACS </t>
    </r>
    <r>
      <rPr>
        <sz val="9"/>
        <color rgb="FF000000"/>
        <rFont val="Noto Sans CJK SC"/>
        <family val="2"/>
      </rPr>
      <t xml:space="preserve">商＋影像原廠附帶銷售</t>
    </r>
  </si>
  <si>
    <r>
      <rPr>
        <sz val="9"/>
        <color rgb="FF000000"/>
        <rFont val="Noto Sans CJK SC"/>
        <family val="2"/>
      </rPr>
      <t xml:space="preserve">跨廠牌 </t>
    </r>
    <r>
      <rPr>
        <sz val="9"/>
        <color rgb="FF000000"/>
        <rFont val="微軟正黑體"/>
        <family val="0"/>
        <charset val="1"/>
      </rPr>
      <t xml:space="preserve">VNA</t>
    </r>
    <r>
      <rPr>
        <sz val="9"/>
        <color rgb="FF000000"/>
        <rFont val="Noto Sans CJK SC"/>
        <family val="2"/>
      </rPr>
      <t xml:space="preserve">＋法定十年保存合規</t>
    </r>
  </si>
  <si>
    <r>
      <rPr>
        <sz val="9"/>
        <rFont val="Noto Sans CJK SC"/>
        <family val="2"/>
      </rPr>
      <t xml:space="preserve">僅</t>
    </r>
    <r>
      <rPr>
        <sz val="9"/>
        <rFont val="Microsoft JhengHei"/>
        <family val="0"/>
        <charset val="1"/>
      </rPr>
      <t xml:space="preserve">23</t>
    </r>
    <r>
      <rPr>
        <sz val="9"/>
        <rFont val="Noto Sans CJK SC"/>
        <family val="2"/>
      </rPr>
      <t xml:space="preserve">家無片化醫院＝</t>
    </r>
    <r>
      <rPr>
        <sz val="9"/>
        <rFont val="Microsoft JhengHei"/>
        <family val="0"/>
        <charset val="1"/>
      </rPr>
      <t xml:space="preserve">PACS</t>
    </r>
    <r>
      <rPr>
        <sz val="9"/>
        <rFont val="Noto Sans CJK SC"/>
        <family val="2"/>
      </rPr>
      <t xml:space="preserve">滲透仍低、成長空間大；無片化是</t>
    </r>
    <r>
      <rPr>
        <sz val="9"/>
        <rFont val="Microsoft JhengHei"/>
        <family val="0"/>
        <charset val="1"/>
      </rPr>
      <t xml:space="preserve">Circular 13/2025</t>
    </r>
    <r>
      <rPr>
        <sz val="9"/>
        <rFont val="Noto Sans CJK SC"/>
        <family val="2"/>
      </rPr>
      <t xml:space="preserve">無紙化條件之一。</t>
    </r>
  </si>
  <si>
    <t xml:space="preserve">OPP-33</t>
  </si>
  <si>
    <r>
      <rPr>
        <b val="true"/>
        <sz val="9.5"/>
        <color rgb="FF203864"/>
        <rFont val="微軟正黑體"/>
        <family val="0"/>
        <charset val="1"/>
      </rPr>
      <t xml:space="preserve">FHIR</t>
    </r>
    <r>
      <rPr>
        <b val="true"/>
        <sz val="9.5"/>
        <color rgb="FF203864"/>
        <rFont val="Noto Sans CJK SC"/>
        <family val="2"/>
      </rPr>
      <t xml:space="preserve">互通平台與資料交換</t>
    </r>
  </si>
  <si>
    <t xml:space="preserve">FHIR Integration Engine</t>
  </si>
  <si>
    <r>
      <rPr>
        <sz val="9"/>
        <color rgb="FF000000"/>
        <rFont val="微軟正黑體"/>
        <family val="0"/>
        <charset val="1"/>
      </rPr>
      <t xml:space="preserve">HL7 v2→FHIR R4 </t>
    </r>
    <r>
      <rPr>
        <sz val="9"/>
        <color rgb="FF000000"/>
        <rFont val="Noto Sans CJK SC"/>
        <family val="2"/>
      </rPr>
      <t xml:space="preserve">轉換、</t>
    </r>
    <r>
      <rPr>
        <sz val="9"/>
        <color rgb="FF000000"/>
        <rFont val="微軟正黑體"/>
        <family val="0"/>
        <charset val="1"/>
      </rPr>
      <t xml:space="preserve">DICOM</t>
    </r>
    <r>
      <rPr>
        <sz val="9"/>
        <color rgb="FF000000"/>
        <rFont val="Noto Sans CJK SC"/>
        <family val="2"/>
      </rPr>
      <t xml:space="preserve">閘道、串接衛生部健康資料入口與</t>
    </r>
    <r>
      <rPr>
        <sz val="9"/>
        <color rgb="FF000000"/>
        <rFont val="微軟正黑體"/>
        <family val="0"/>
        <charset val="1"/>
      </rPr>
      <t xml:space="preserve">VNeID</t>
    </r>
  </si>
  <si>
    <t xml:space="preserve">Interoperability Architect</t>
  </si>
  <si>
    <r>
      <rPr>
        <sz val="9"/>
        <color rgb="FF000000"/>
        <rFont val="微軟正黑體"/>
        <family val="0"/>
        <charset val="1"/>
      </rPr>
      <t xml:space="preserve">Decision 2146/QĐ-BYT </t>
    </r>
    <r>
      <rPr>
        <sz val="9"/>
        <color rgb="FF000000"/>
        <rFont val="Noto Sans CJK SC"/>
        <family val="2"/>
      </rPr>
      <t xml:space="preserve">指定 </t>
    </r>
    <r>
      <rPr>
        <sz val="9"/>
        <color rgb="FF000000"/>
        <rFont val="微軟正黑體"/>
        <family val="0"/>
        <charset val="1"/>
      </rPr>
      <t xml:space="preserve">HL7 FHIR R4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DICOM </t>
    </r>
    <r>
      <rPr>
        <sz val="9"/>
        <color rgb="FF000000"/>
        <rFont val="Noto Sans CJK SC"/>
        <family val="2"/>
      </rPr>
      <t xml:space="preserve">為國家標準；越南本地 </t>
    </r>
    <r>
      <rPr>
        <sz val="9"/>
        <color rgb="FF000000"/>
        <rFont val="微軟正黑體"/>
        <family val="0"/>
        <charset val="1"/>
      </rPr>
      <t xml:space="preserve">FHIR IG </t>
    </r>
    <r>
      <rPr>
        <sz val="9"/>
        <color rgb="FF000000"/>
        <rFont val="Noto Sans CJK SC"/>
        <family val="2"/>
      </rPr>
      <t xml:space="preserve">仍在試用版</t>
    </r>
  </si>
  <si>
    <r>
      <rPr>
        <sz val="9"/>
        <color rgb="FF000000"/>
        <rFont val="Noto Sans CJK SC"/>
        <family val="2"/>
      </rPr>
      <t xml:space="preserve">幾乎無在地專業商（國家 </t>
    </r>
    <r>
      <rPr>
        <sz val="9"/>
        <color rgb="FF000000"/>
        <rFont val="微軟正黑體"/>
        <family val="0"/>
        <charset val="1"/>
      </rPr>
      <t xml:space="preserve">FHIR IG </t>
    </r>
    <r>
      <rPr>
        <sz val="9"/>
        <color rgb="FF000000"/>
        <rFont val="Noto Sans CJK SC"/>
        <family val="2"/>
      </rPr>
      <t xml:space="preserve">仍試用版）</t>
    </r>
  </si>
  <si>
    <r>
      <rPr>
        <sz val="9"/>
        <color rgb="FF000000"/>
        <rFont val="微軟正黑體"/>
        <family val="0"/>
        <charset val="1"/>
      </rPr>
      <t xml:space="preserve">Decision 2146 </t>
    </r>
    <r>
      <rPr>
        <sz val="9"/>
        <color rgb="FF000000"/>
        <rFont val="Noto Sans CJK SC"/>
        <family val="2"/>
      </rPr>
      <t xml:space="preserve">國家標準的首波實作者</t>
    </r>
  </si>
  <si>
    <r>
      <rPr>
        <sz val="9"/>
        <rFont val="Noto Sans CJK SC"/>
        <family val="2"/>
      </rPr>
      <t xml:space="preserve">重要修正認知：</t>
    </r>
    <r>
      <rPr>
        <sz val="9"/>
        <rFont val="Microsoft JhengHei"/>
        <family val="0"/>
        <charset val="1"/>
      </rPr>
      <t xml:space="preserve">FHIR</t>
    </r>
    <r>
      <rPr>
        <sz val="9"/>
        <rFont val="Noto Sans CJK SC"/>
        <family val="2"/>
      </rPr>
      <t xml:space="preserve">無越南官方強制法規——互通實務以健保申報</t>
    </r>
    <r>
      <rPr>
        <sz val="9"/>
        <rFont val="Microsoft JhengHei"/>
        <family val="0"/>
        <charset val="1"/>
      </rPr>
      <t xml:space="preserve">XML</t>
    </r>
    <r>
      <rPr>
        <sz val="9"/>
        <rFont val="Noto Sans CJK SC"/>
        <family val="2"/>
      </rPr>
      <t xml:space="preserve">與國家平台</t>
    </r>
    <r>
      <rPr>
        <sz val="9"/>
        <rFont val="Microsoft JhengHei"/>
        <family val="0"/>
        <charset val="1"/>
      </rPr>
      <t xml:space="preserve">API</t>
    </r>
    <r>
      <rPr>
        <sz val="9"/>
        <rFont val="Noto Sans CJK SC"/>
        <family val="2"/>
      </rPr>
      <t xml:space="preserve">為主。建議項目描述加註「以接入</t>
    </r>
    <r>
      <rPr>
        <sz val="9"/>
        <rFont val="Microsoft JhengHei"/>
        <family val="0"/>
        <charset val="1"/>
      </rPr>
      <t xml:space="preserve">VNeID/</t>
    </r>
    <r>
      <rPr>
        <sz val="9"/>
        <rFont val="Noto Sans CJK SC"/>
        <family val="2"/>
      </rPr>
      <t xml:space="preserve">國家平台優先，</t>
    </r>
    <r>
      <rPr>
        <sz val="9"/>
        <rFont val="Microsoft JhengHei"/>
        <family val="0"/>
        <charset val="1"/>
      </rPr>
      <t xml:space="preserve">FHIR</t>
    </r>
    <r>
      <rPr>
        <sz val="9"/>
        <rFont val="Noto Sans CJK SC"/>
        <family val="2"/>
      </rPr>
      <t xml:space="preserve">為前瞻布局」。</t>
    </r>
  </si>
  <si>
    <t xml:space="preserve">OPP-34</t>
  </si>
  <si>
    <r>
      <rPr>
        <b val="true"/>
        <sz val="9.5"/>
        <color rgb="FF203864"/>
        <rFont val="Noto Sans CJK SC"/>
        <family val="2"/>
      </rPr>
      <t xml:space="preserve">主病人索引</t>
    </r>
    <r>
      <rPr>
        <b val="true"/>
        <sz val="9.5"/>
        <color rgb="FF203864"/>
        <rFont val="微軟正黑體"/>
        <family val="0"/>
        <charset val="1"/>
      </rPr>
      <t xml:space="preserve">(MPI)</t>
    </r>
    <r>
      <rPr>
        <b val="true"/>
        <sz val="9.5"/>
        <color rgb="FF203864"/>
        <rFont val="Noto Sans CJK SC"/>
        <family val="2"/>
      </rPr>
      <t xml:space="preserve">與資料清理</t>
    </r>
  </si>
  <si>
    <t xml:space="preserve">Master Patient Index &amp; Data Cleansing</t>
  </si>
  <si>
    <r>
      <rPr>
        <sz val="9"/>
        <color rgb="FF000000"/>
        <rFont val="Noto Sans CJK SC"/>
        <family val="2"/>
      </rPr>
      <t xml:space="preserve">把病人資料與國民身分證／</t>
    </r>
    <r>
      <rPr>
        <sz val="9"/>
        <color rgb="FF000000"/>
        <rFont val="微軟正黑體"/>
        <family val="0"/>
        <charset val="1"/>
      </rPr>
      <t xml:space="preserve">VNeID</t>
    </r>
    <r>
      <rPr>
        <sz val="9"/>
        <color rgb="FF000000"/>
        <rFont val="Noto Sans CJK SC"/>
        <family val="2"/>
      </rPr>
      <t xml:space="preserve">比對去重、清理歷史資料，才能上傳國家平台</t>
    </r>
  </si>
  <si>
    <t xml:space="preserve">Data Governance Lead</t>
  </si>
  <si>
    <r>
      <rPr>
        <sz val="9"/>
        <color rgb="FF000000"/>
        <rFont val="Noto Sans CJK SC"/>
        <family val="2"/>
      </rPr>
      <t xml:space="preserve">幾乎沒有在地供應商；資料沒清乾淨，後面的互通與</t>
    </r>
    <r>
      <rPr>
        <sz val="9"/>
        <color rgb="FF000000"/>
        <rFont val="微軟正黑體"/>
        <family val="0"/>
        <charset val="1"/>
      </rPr>
      <t xml:space="preserve">BI</t>
    </r>
    <r>
      <rPr>
        <sz val="9"/>
        <color rgb="FF000000"/>
        <rFont val="Noto Sans CJK SC"/>
        <family val="2"/>
      </rPr>
      <t xml:space="preserve">一定失真</t>
    </r>
  </si>
  <si>
    <t xml:space="preserve">無在地供應商</t>
  </si>
  <si>
    <r>
      <rPr>
        <sz val="9"/>
        <color rgb="FF000000"/>
        <rFont val="微軟正黑體"/>
        <family val="0"/>
        <charset val="1"/>
      </rPr>
      <t xml:space="preserve">VNeID </t>
    </r>
    <r>
      <rPr>
        <sz val="9"/>
        <color rgb="FF000000"/>
        <rFont val="Noto Sans CJK SC"/>
        <family val="2"/>
      </rPr>
      <t xml:space="preserve">串接經驗＋病人主檔清理方法論</t>
    </r>
  </si>
  <si>
    <r>
      <rPr>
        <sz val="9"/>
        <rFont val="Microsoft JhengHei"/>
        <family val="0"/>
        <charset val="1"/>
      </rPr>
      <t xml:space="preserve">MPI</t>
    </r>
    <r>
      <rPr>
        <sz val="9"/>
        <rFont val="Noto Sans CJK SC"/>
        <family val="2"/>
      </rPr>
      <t xml:space="preserve">實質＝國民</t>
    </r>
    <r>
      <rPr>
        <sz val="9"/>
        <rFont val="Microsoft JhengHei"/>
        <family val="0"/>
        <charset val="1"/>
      </rPr>
      <t xml:space="preserve">ID/VNeID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Circular 13/2025</t>
    </r>
    <r>
      <rPr>
        <sz val="9"/>
        <rFont val="Noto Sans CJK SC"/>
        <family val="2"/>
      </rPr>
      <t xml:space="preserve">強制</t>
    </r>
    <r>
      <rPr>
        <sz val="9"/>
        <rFont val="Microsoft JhengHei"/>
        <family val="0"/>
        <charset val="1"/>
      </rPr>
      <t xml:space="preserve">EMR</t>
    </r>
    <r>
      <rPr>
        <sz val="9"/>
        <rFont val="Noto Sans CJK SC"/>
        <family val="2"/>
      </rPr>
      <t xml:space="preserve">連結人口資料庫）；獨立</t>
    </r>
    <r>
      <rPr>
        <sz val="9"/>
        <rFont val="Microsoft JhengHei"/>
        <family val="0"/>
        <charset val="1"/>
      </rPr>
      <t xml:space="preserve">MPI</t>
    </r>
    <r>
      <rPr>
        <sz val="9"/>
        <rFont val="Noto Sans CJK SC"/>
        <family val="2"/>
      </rPr>
      <t xml:space="preserve">產品需求轉為「與</t>
    </r>
    <r>
      <rPr>
        <sz val="9"/>
        <rFont val="Microsoft JhengHei"/>
        <family val="0"/>
        <charset val="1"/>
      </rPr>
      <t xml:space="preserve">VNeID/BHYT</t>
    </r>
    <r>
      <rPr>
        <sz val="9"/>
        <rFont val="Noto Sans CJK SC"/>
        <family val="2"/>
      </rPr>
      <t xml:space="preserve">對接＋資料清理」。</t>
    </r>
  </si>
  <si>
    <t xml:space="preserve">OPP-35</t>
  </si>
  <si>
    <t xml:space="preserve">臨床術語與編碼服務</t>
  </si>
  <si>
    <t xml:space="preserve">Clinical Terminology Services</t>
  </si>
  <si>
    <r>
      <rPr>
        <sz val="9"/>
        <color rgb="FF000000"/>
        <rFont val="微軟正黑體"/>
        <family val="0"/>
        <charset val="1"/>
      </rPr>
      <t xml:space="preserve">ICD-10→ICD-11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SNOMED CT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LOINC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RxNorm </t>
    </r>
    <r>
      <rPr>
        <sz val="9"/>
        <color rgb="FF000000"/>
        <rFont val="Noto Sans CJK SC"/>
        <family val="2"/>
      </rPr>
      <t xml:space="preserve">對應與術語伺服器</t>
    </r>
  </si>
  <si>
    <r>
      <rPr>
        <sz val="9"/>
        <color rgb="FF000000"/>
        <rFont val="微軟正黑體"/>
        <family val="0"/>
        <charset val="1"/>
      </rPr>
      <t xml:space="preserve">Decision 2146 </t>
    </r>
    <r>
      <rPr>
        <sz val="9"/>
        <color rgb="FF000000"/>
        <rFont val="Noto Sans CJK SC"/>
        <family val="2"/>
      </rPr>
      <t xml:space="preserve">已指定術語標準，但在地幾乎沒有供應商——法規造出來的空白市場</t>
    </r>
  </si>
  <si>
    <t xml:space="preserve">OPP-36</t>
  </si>
  <si>
    <t xml:space="preserve">省級健康資料中台</t>
  </si>
  <si>
    <t xml:space="preserve">Provincial Health Data Platform</t>
  </si>
  <si>
    <t xml:space="preserve">市／省級資料湖與資料調度平台；省級衛生局預算</t>
  </si>
  <si>
    <t xml:space="preserve">Data Architect</t>
  </si>
  <si>
    <r>
      <rPr>
        <sz val="9"/>
        <color rgb="FF000000"/>
        <rFont val="Noto Sans CJK SC"/>
        <family val="2"/>
      </rPr>
      <t xml:space="preserve">河內須於</t>
    </r>
    <r>
      <rPr>
        <sz val="9"/>
        <color rgb="FF000000"/>
        <rFont val="微軟正黑體"/>
        <family val="0"/>
        <charset val="1"/>
      </rPr>
      <t xml:space="preserve">2026/5/30</t>
    </r>
    <r>
      <rPr>
        <sz val="9"/>
        <color rgb="FF000000"/>
        <rFont val="Noto Sans CJK SC"/>
        <family val="2"/>
      </rPr>
      <t xml:space="preserve">前完成就醫資料互通，省級資料平台是下一波編列的預算</t>
    </r>
  </si>
  <si>
    <r>
      <rPr>
        <sz val="9"/>
        <rFont val="Microsoft JhengHei"/>
        <family val="0"/>
        <charset val="1"/>
      </rPr>
      <t xml:space="preserve">34/34</t>
    </r>
    <r>
      <rPr>
        <sz val="9"/>
        <rFont val="Noto Sans CJK SC"/>
        <family val="2"/>
      </rPr>
      <t xml:space="preserve">省市已上線</t>
    </r>
    <r>
      <rPr>
        <sz val="9"/>
        <rFont val="Microsoft JhengHei"/>
        <family val="0"/>
        <charset val="1"/>
      </rPr>
      <t xml:space="preserve">VNeID</t>
    </r>
    <r>
      <rPr>
        <sz val="9"/>
        <rFont val="Noto Sans CJK SC"/>
        <family val="2"/>
      </rPr>
      <t xml:space="preserve">電子健康簿、約</t>
    </r>
    <r>
      <rPr>
        <sz val="9"/>
        <rFont val="Microsoft JhengHei"/>
        <family val="0"/>
        <charset val="1"/>
      </rPr>
      <t xml:space="preserve">3,280</t>
    </r>
    <r>
      <rPr>
        <sz val="9"/>
        <rFont val="Noto Sans CJK SC"/>
        <family val="2"/>
      </rPr>
      <t xml:space="preserve">萬人（</t>
    </r>
    <r>
      <rPr>
        <sz val="9"/>
        <rFont val="Microsoft JhengHei"/>
        <family val="0"/>
        <charset val="1"/>
      </rPr>
      <t xml:space="preserve">2026-07</t>
    </r>
    <r>
      <rPr>
        <sz val="9"/>
        <rFont val="Noto Sans CJK SC"/>
        <family val="2"/>
      </rPr>
      <t xml:space="preserve">）；</t>
    </r>
    <r>
      <rPr>
        <sz val="9"/>
        <rFont val="Microsoft JhengHei"/>
        <family val="0"/>
        <charset val="1"/>
      </rPr>
      <t xml:space="preserve">Quyết định 31/QĐ-BYT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2026-01-06</t>
    </r>
    <r>
      <rPr>
        <sz val="9"/>
        <rFont val="Noto Sans CJK SC"/>
        <family val="2"/>
      </rPr>
      <t xml:space="preserve">）已明定與紙本同等法律效力，</t>
    </r>
    <r>
      <rPr>
        <sz val="9"/>
        <rFont val="Microsoft JhengHei"/>
        <family val="0"/>
        <charset val="1"/>
      </rPr>
      <t xml:space="preserve">1551/QĐ-BYT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2026-05-31</t>
    </r>
    <r>
      <rPr>
        <sz val="9"/>
        <rFont val="Noto Sans CJK SC"/>
        <family val="2"/>
      </rPr>
      <t xml:space="preserve">生效）規範醫療資料上鏈</t>
    </r>
    <r>
      <rPr>
        <sz val="9"/>
        <rFont val="Microsoft JhengHei"/>
        <family val="0"/>
        <charset val="1"/>
      </rPr>
      <t xml:space="preserve">VNeID</t>
    </r>
    <r>
      <rPr>
        <sz val="9"/>
        <rFont val="Noto Sans CJK SC"/>
        <family val="2"/>
      </rPr>
      <t xml:space="preserve">；省級</t>
    </r>
    <r>
      <rPr>
        <sz val="9"/>
        <rFont val="Microsoft JhengHei"/>
        <family val="0"/>
        <charset val="1"/>
      </rPr>
      <t xml:space="preserve">HIE</t>
    </r>
    <r>
      <rPr>
        <sz val="9"/>
        <rFont val="Noto Sans CJK SC"/>
        <family val="2"/>
      </rPr>
      <t xml:space="preserve">統一技術規範未查得。</t>
    </r>
  </si>
  <si>
    <t xml:space="preserve">OPP-37</t>
  </si>
  <si>
    <r>
      <rPr>
        <b val="true"/>
        <sz val="9.5"/>
        <color rgb="FF203864"/>
        <rFont val="Noto Sans CJK SC"/>
        <family val="2"/>
      </rPr>
      <t xml:space="preserve">醫院</t>
    </r>
    <r>
      <rPr>
        <b val="true"/>
        <sz val="9.5"/>
        <color rgb="FF203864"/>
        <rFont val="微軟正黑體"/>
        <family val="0"/>
        <charset val="1"/>
      </rPr>
      <t xml:space="preserve">BI</t>
    </r>
    <r>
      <rPr>
        <b val="true"/>
        <sz val="9.5"/>
        <color rgb="FF203864"/>
        <rFont val="Noto Sans CJK SC"/>
        <family val="2"/>
      </rPr>
      <t xml:space="preserve">與營運指揮中心</t>
    </r>
  </si>
  <si>
    <t xml:space="preserve">Hospital BI &amp; Command Centre</t>
  </si>
  <si>
    <t xml:space="preserve">營運指標儀表板、床位與手術室流量、對衛生部的報表；醫院或衛生局付錢</t>
  </si>
  <si>
    <t xml:space="preserve">Data/Analytics Lead</t>
  </si>
  <si>
    <t xml:space="preserve">衛生部自己已經在跑儀表板並要求院級回報，需求會由上而下壓下來</t>
  </si>
  <si>
    <t xml:space="preserve">OPP-38</t>
  </si>
  <si>
    <t xml:space="preserve">醫材資料介接與床邊自動擷取</t>
  </si>
  <si>
    <t xml:space="preserve">Medical Device Integration</t>
  </si>
  <si>
    <r>
      <rPr>
        <sz val="9"/>
        <color rgb="FF000000"/>
        <rFont val="Noto Sans CJK SC"/>
        <family val="2"/>
      </rPr>
      <t xml:space="preserve">把監視器、呼吸器、麻醉機的資料自動送進病歷；</t>
    </r>
    <r>
      <rPr>
        <sz val="9"/>
        <color rgb="FF000000"/>
        <rFont val="微軟正黑體"/>
        <family val="0"/>
        <charset val="1"/>
      </rPr>
      <t xml:space="preserve">ICU</t>
    </r>
    <r>
      <rPr>
        <sz val="9"/>
        <color rgb="FF000000"/>
        <rFont val="Noto Sans CJK SC"/>
        <family val="2"/>
      </rPr>
      <t xml:space="preserve">優先</t>
    </r>
  </si>
  <si>
    <r>
      <rPr>
        <sz val="9"/>
        <color rgb="FF000000"/>
        <rFont val="Noto Sans CJK SC"/>
        <family val="2"/>
      </rPr>
      <t xml:space="preserve">★是所有臨床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的前提。沒有這一層，敗血症預警之類的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根本沒有即時資料可用</t>
    </r>
  </si>
  <si>
    <t xml:space="preserve">OPP-39</t>
  </si>
  <si>
    <r>
      <rPr>
        <b val="true"/>
        <sz val="9.5"/>
        <color rgb="FF203864"/>
        <rFont val="Noto Sans CJK SC"/>
        <family val="2"/>
      </rPr>
      <t xml:space="preserve">影像長期歸檔</t>
    </r>
    <r>
      <rPr>
        <b val="true"/>
        <sz val="9.5"/>
        <color rgb="FF203864"/>
        <rFont val="微軟正黑體"/>
        <family val="0"/>
        <charset val="1"/>
      </rPr>
      <t xml:space="preserve">(VNA)</t>
    </r>
    <r>
      <rPr>
        <b val="true"/>
        <sz val="9.5"/>
        <color rgb="FF203864"/>
        <rFont val="Noto Sans CJK SC"/>
        <family val="2"/>
      </rPr>
      <t xml:space="preserve">與異地備援</t>
    </r>
  </si>
  <si>
    <t xml:space="preserve">Vendor Neutral Archive &amp; Long-term Storage</t>
  </si>
  <si>
    <r>
      <rPr>
        <sz val="9"/>
        <color rgb="FF000000"/>
        <rFont val="Noto Sans CJK SC"/>
        <family val="2"/>
      </rPr>
      <t xml:space="preserve">法定</t>
    </r>
    <r>
      <rPr>
        <sz val="9"/>
        <color rgb="FF000000"/>
        <rFont val="微軟正黑體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年保存、異地備援與分層儲存；越來越多醫院改用「租儲存服務」</t>
    </r>
  </si>
  <si>
    <r>
      <rPr>
        <sz val="9"/>
        <color rgb="FF000000"/>
        <rFont val="Noto Sans CJK SC"/>
        <family val="2"/>
      </rPr>
      <t xml:space="preserve">影像量隨</t>
    </r>
    <r>
      <rPr>
        <sz val="9"/>
        <color rgb="FF000000"/>
        <rFont val="微軟正黑體"/>
        <family val="0"/>
        <charset val="1"/>
      </rPr>
      <t xml:space="preserve">CT/MRI</t>
    </r>
    <r>
      <rPr>
        <sz val="9"/>
        <color rgb="FF000000"/>
        <rFont val="Noto Sans CJK SC"/>
        <family val="2"/>
      </rPr>
      <t xml:space="preserve">普及暴增，但保存與備援幾乎沒被編列——先賣儲存再賣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是可行的順序</t>
    </r>
  </si>
  <si>
    <t xml:space="preserve">OPP-40</t>
  </si>
  <si>
    <r>
      <rPr>
        <b val="true"/>
        <sz val="9.5"/>
        <color rgb="FF203864"/>
        <rFont val="Noto Sans CJK SC"/>
        <family val="2"/>
      </rPr>
      <t xml:space="preserve">醫療</t>
    </r>
    <r>
      <rPr>
        <b val="true"/>
        <sz val="9.5"/>
        <color rgb="FF203864"/>
        <rFont val="微軟正黑體"/>
        <family val="0"/>
        <charset val="1"/>
      </rPr>
      <t xml:space="preserve">IT</t>
    </r>
    <r>
      <rPr>
        <b val="true"/>
        <sz val="9.5"/>
        <color rgb="FF203864"/>
        <rFont val="Noto Sans CJK SC"/>
        <family val="2"/>
      </rPr>
      <t xml:space="preserve">代管與以租代購</t>
    </r>
  </si>
  <si>
    <t xml:space="preserve">Managed IT Services / OpEx Financing</t>
  </si>
  <si>
    <r>
      <rPr>
        <sz val="9"/>
        <color rgb="FF000000"/>
        <rFont val="Noto Sans CJK SC"/>
        <family val="2"/>
      </rPr>
      <t xml:space="preserve">由供應商出資建置</t>
    </r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＋雲端，醫院從營運收入按年付服務費（</t>
    </r>
    <r>
      <rPr>
        <sz val="9"/>
        <color rgb="FF000000"/>
        <rFont val="微軟正黑體"/>
        <family val="0"/>
        <charset val="1"/>
      </rPr>
      <t xml:space="preserve">thuê dịch vụ CNTT</t>
    </r>
    <r>
      <rPr>
        <sz val="9"/>
        <color rgb="FF000000"/>
        <rFont val="Noto Sans CJK SC"/>
        <family val="2"/>
      </rPr>
      <t xml:space="preserve">）</t>
    </r>
  </si>
  <si>
    <t xml:space="preserve">租賃／以租代購</t>
  </si>
  <si>
    <r>
      <rPr>
        <sz val="9"/>
        <color rgb="FF000000"/>
        <rFont val="Noto Sans CJK SC"/>
        <family val="2"/>
      </rPr>
      <t xml:space="preserve">★關鍵商模：越南醫療服務價格結構至今不含</t>
    </r>
    <r>
      <rPr>
        <sz val="9"/>
        <color rgb="FF000000"/>
        <rFont val="微軟正黑體"/>
        <family val="0"/>
        <charset val="1"/>
      </rPr>
      <t xml:space="preserve">IT</t>
    </r>
    <r>
      <rPr>
        <sz val="9"/>
        <color rgb="FF000000"/>
        <rFont val="Noto Sans CJK SC"/>
        <family val="2"/>
      </rPr>
      <t xml:space="preserve">成本、資本支出審批極慢，代管模式是目前成長最快的成交方式</t>
    </r>
  </si>
  <si>
    <r>
      <rPr>
        <sz val="9"/>
        <color rgb="FF000000"/>
        <rFont val="微軟正黑體"/>
        <family val="0"/>
        <charset val="1"/>
      </rPr>
      <t xml:space="preserve">FPT/Viettel </t>
    </r>
    <r>
      <rPr>
        <sz val="9"/>
        <color rgb="FF000000"/>
        <rFont val="Noto Sans CJK SC"/>
        <family val="2"/>
      </rPr>
      <t xml:space="preserve">有通用 </t>
    </r>
    <r>
      <rPr>
        <sz val="9"/>
        <color rgb="FF000000"/>
        <rFont val="微軟正黑體"/>
        <family val="0"/>
        <charset val="1"/>
      </rPr>
      <t xml:space="preserve">IT </t>
    </r>
    <r>
      <rPr>
        <sz val="9"/>
        <color rgb="FF000000"/>
        <rFont val="Noto Sans CJK SC"/>
        <family val="2"/>
      </rPr>
      <t xml:space="preserve">代管</t>
    </r>
  </si>
  <si>
    <r>
      <rPr>
        <sz val="9"/>
        <color rgb="FF000000"/>
        <rFont val="Noto Sans CJK SC"/>
        <family val="2"/>
      </rPr>
      <t xml:space="preserve">醫療級 </t>
    </r>
    <r>
      <rPr>
        <sz val="9"/>
        <color rgb="FF000000"/>
        <rFont val="微軟正黑體"/>
        <family val="0"/>
        <charset val="1"/>
      </rPr>
      <t xml:space="preserve">SLA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EMR </t>
    </r>
    <r>
      <rPr>
        <sz val="9"/>
        <color rgb="FF000000"/>
        <rFont val="Noto Sans CJK SC"/>
        <family val="2"/>
      </rPr>
      <t xml:space="preserve">不停機）＋以租代購財務設計，繞開資本支出審批</t>
    </r>
  </si>
  <si>
    <r>
      <rPr>
        <sz val="9"/>
        <rFont val="Microsoft JhengHei"/>
        <family val="0"/>
        <charset val="1"/>
      </rPr>
      <t xml:space="preserve">IT</t>
    </r>
    <r>
      <rPr>
        <sz val="9"/>
        <rFont val="Noto Sans CJK SC"/>
        <family val="2"/>
      </rPr>
      <t xml:space="preserve">人力短缺被官方點名為</t>
    </r>
    <r>
      <rPr>
        <sz val="9"/>
        <rFont val="Microsoft JhengHei"/>
        <family val="0"/>
        <charset val="1"/>
      </rPr>
      <t xml:space="preserve">EMR</t>
    </r>
    <r>
      <rPr>
        <sz val="9"/>
        <rFont val="Noto Sans CJK SC"/>
        <family val="2"/>
      </rPr>
      <t xml:space="preserve">瓶頸→代管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託運維空間大；「</t>
    </r>
    <r>
      <rPr>
        <sz val="9"/>
        <rFont val="Microsoft JhengHei"/>
        <family val="0"/>
        <charset val="1"/>
      </rPr>
      <t xml:space="preserve">IT</t>
    </r>
    <r>
      <rPr>
        <sz val="9"/>
        <rFont val="Noto Sans CJK SC"/>
        <family val="2"/>
      </rPr>
      <t xml:space="preserve">成本未入醫療服務定價」既是障礙也是以租代購（</t>
    </r>
    <r>
      <rPr>
        <sz val="9"/>
        <rFont val="Microsoft JhengHei"/>
        <family val="0"/>
        <charset val="1"/>
      </rPr>
      <t xml:space="preserve">OpEx</t>
    </r>
    <r>
      <rPr>
        <sz val="9"/>
        <rFont val="Noto Sans CJK SC"/>
        <family val="2"/>
      </rPr>
      <t xml:space="preserve">）模式的賣點。</t>
    </r>
  </si>
  <si>
    <t xml:space="preserve">OPP-41</t>
  </si>
  <si>
    <t xml:space="preserve">電子處方與國家藥品資料庫介接</t>
  </si>
  <si>
    <t xml:space="preserve">E-prescription &amp; National Drug Database</t>
  </si>
  <si>
    <t xml:space="preserve">合規開方＋即時上傳國家處方系統；醫院與診所按站點訂閱</t>
  </si>
  <si>
    <t xml:space="preserve">&lt;100K USD</t>
  </si>
  <si>
    <t xml:space="preserve">CMIO / Pharmacy Lead</t>
  </si>
  <si>
    <r>
      <rPr>
        <sz val="9"/>
        <color rgb="FF000000"/>
        <rFont val="微軟正黑體"/>
        <family val="0"/>
        <charset val="1"/>
      </rPr>
      <t xml:space="preserve">Circular 26/2025</t>
    </r>
    <r>
      <rPr>
        <sz val="9"/>
        <color rgb="FF000000"/>
        <rFont val="Noto Sans CJK SC"/>
        <family val="2"/>
      </rPr>
      <t xml:space="preserve">：醫院</t>
    </r>
    <r>
      <rPr>
        <sz val="9"/>
        <color rgb="FF000000"/>
        <rFont val="微軟正黑體"/>
        <family val="0"/>
        <charset val="1"/>
      </rPr>
      <t xml:space="preserve">2025/10/1</t>
    </r>
    <r>
      <rPr>
        <sz val="9"/>
        <color rgb="FF000000"/>
        <rFont val="Noto Sans CJK SC"/>
        <family val="2"/>
      </rPr>
      <t xml:space="preserve">、其他機構</t>
    </r>
    <r>
      <rPr>
        <sz val="9"/>
        <color rgb="FF000000"/>
        <rFont val="微軟正黑體"/>
        <family val="0"/>
        <charset val="1"/>
      </rPr>
      <t xml:space="preserve">2026/1/1</t>
    </r>
    <r>
      <rPr>
        <sz val="9"/>
        <color rgb="FF000000"/>
        <rFont val="Noto Sans CJK SC"/>
        <family val="2"/>
      </rPr>
      <t xml:space="preserve">起強制；全國約</t>
    </r>
    <r>
      <rPr>
        <sz val="9"/>
        <color rgb="FF000000"/>
        <rFont val="微軟正黑體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萬家診所是長尾市場</t>
    </r>
  </si>
  <si>
    <r>
      <rPr>
        <sz val="9"/>
        <rFont val="Noto Sans CJK SC"/>
        <family val="2"/>
      </rPr>
      <t xml:space="preserve">重大更新：</t>
    </r>
    <r>
      <rPr>
        <sz val="9"/>
        <rFont val="Microsoft JhengHei"/>
        <family val="0"/>
        <charset val="1"/>
      </rPr>
      <t xml:space="preserve">Circular 26/2025</t>
    </r>
    <r>
      <rPr>
        <sz val="9"/>
        <rFont val="Noto Sans CJK SC"/>
        <family val="2"/>
      </rPr>
      <t xml:space="preserve">規定</t>
    </r>
    <r>
      <rPr>
        <sz val="9"/>
        <rFont val="Microsoft JhengHei"/>
        <family val="0"/>
        <charset val="1"/>
      </rPr>
      <t xml:space="preserve">2025-10-01</t>
    </r>
    <r>
      <rPr>
        <sz val="9"/>
        <rFont val="Noto Sans CJK SC"/>
        <family val="2"/>
      </rPr>
      <t xml:space="preserve">起所有醫院強制電子處方、其他機構</t>
    </r>
    <r>
      <rPr>
        <sz val="9"/>
        <rFont val="Microsoft JhengHei"/>
        <family val="0"/>
        <charset val="1"/>
      </rPr>
      <t xml:space="preserve">2026-01-01</t>
    </r>
    <r>
      <rPr>
        <sz val="9"/>
        <rFont val="Noto Sans CJK SC"/>
        <family val="2"/>
      </rPr>
      <t xml:space="preserve">起——成熟度應從「起步中」上調，市場由「要不要做」變「怎麼做完」。</t>
    </r>
  </si>
  <si>
    <t xml:space="preserve">OPP-42</t>
  </si>
  <si>
    <t xml:space="preserve">閉環給藥與條碼用藥安全</t>
  </si>
  <si>
    <t xml:space="preserve">Closed-loop Medication Administration</t>
  </si>
  <si>
    <t xml:space="preserve">給藥掃碼、病人手圈、藥櫃管理；醫院藥劑部付錢</t>
  </si>
  <si>
    <t xml:space="preserve">Pharmacy Lead</t>
  </si>
  <si>
    <r>
      <rPr>
        <sz val="9"/>
        <color rgb="FF000000"/>
        <rFont val="Noto Sans CJK SC"/>
        <family val="2"/>
      </rPr>
      <t xml:space="preserve">是</t>
    </r>
    <r>
      <rPr>
        <sz val="9"/>
        <color rgb="FF000000"/>
        <rFont val="微軟正黑體"/>
        <family val="0"/>
        <charset val="1"/>
      </rPr>
      <t xml:space="preserve">JCI</t>
    </r>
    <r>
      <rPr>
        <sz val="9"/>
        <color rgb="FF000000"/>
        <rFont val="Noto Sans CJK SC"/>
        <family val="2"/>
      </rPr>
      <t xml:space="preserve">與病安評鑑的重點項目，但越南導入率極低</t>
    </r>
  </si>
  <si>
    <t xml:space="preserve">OPP-43</t>
  </si>
  <si>
    <r>
      <rPr>
        <b val="true"/>
        <sz val="9.5"/>
        <color rgb="FF203864"/>
        <rFont val="Noto Sans CJK SC"/>
        <family val="2"/>
      </rPr>
      <t xml:space="preserve">結核胸片</t>
    </r>
    <r>
      <rPr>
        <b val="true"/>
        <sz val="9.5"/>
        <color rgb="FF203864"/>
        <rFont val="微軟正黑體"/>
        <family val="0"/>
        <charset val="1"/>
      </rPr>
      <t xml:space="preserve">AI</t>
    </r>
    <r>
      <rPr>
        <b val="true"/>
        <sz val="9.5"/>
        <color rgb="FF203864"/>
        <rFont val="Noto Sans CJK SC"/>
        <family val="2"/>
      </rPr>
      <t xml:space="preserve">篩檢</t>
    </r>
    <r>
      <rPr>
        <b val="true"/>
        <sz val="9.5"/>
        <color rgb="FF203864"/>
        <rFont val="微軟正黑體"/>
        <family val="0"/>
        <charset val="1"/>
      </rPr>
      <t xml:space="preserve">(CAD)</t>
    </r>
  </si>
  <si>
    <t xml:space="preserve">TB Chest X-ray CAD Screening</t>
  </si>
  <si>
    <r>
      <rPr>
        <sz val="9"/>
        <color rgb="FF000000"/>
        <rFont val="微軟正黑體"/>
        <family val="0"/>
        <charset val="1"/>
      </rPr>
      <t xml:space="preserve">F AI</t>
    </r>
    <r>
      <rPr>
        <sz val="9"/>
        <color rgb="FF000000"/>
        <rFont val="Noto Sans CJK SC"/>
        <family val="2"/>
      </rPr>
      <t xml:space="preserve">與智慧醫療</t>
    </r>
  </si>
  <si>
    <r>
      <rPr>
        <sz val="9"/>
        <color rgb="FF000000"/>
        <rFont val="Noto Sans CJK SC"/>
        <family val="2"/>
      </rPr>
      <t xml:space="preserve">每台</t>
    </r>
    <r>
      <rPr>
        <sz val="9"/>
        <color rgb="FF000000"/>
        <rFont val="微軟正黑體"/>
        <family val="0"/>
        <charset val="1"/>
      </rPr>
      <t xml:space="preserve">X</t>
    </r>
    <r>
      <rPr>
        <sz val="9"/>
        <color rgb="FF000000"/>
        <rFont val="Noto Sans CJK SC"/>
        <family val="2"/>
      </rPr>
      <t xml:space="preserve">光機年授權，賣給國家結核防治計畫、省衛生局與國際捐助方案</t>
    </r>
  </si>
  <si>
    <r>
      <rPr>
        <sz val="9"/>
        <color rgb="FF000000"/>
        <rFont val="Noto Sans CJK SC"/>
        <family val="2"/>
      </rPr>
      <t xml:space="preserve">國際開發援助</t>
    </r>
    <r>
      <rPr>
        <sz val="9"/>
        <color rgb="FF000000"/>
        <rFont val="微軟正黑體"/>
        <family val="0"/>
        <charset val="1"/>
      </rPr>
      <t xml:space="preserve">(ODA</t>
    </r>
    <r>
      <rPr>
        <sz val="9"/>
        <color rgb="FF000000"/>
        <rFont val="Noto Sans CJK SC"/>
        <family val="2"/>
      </rPr>
      <t xml:space="preserve">／世銀／</t>
    </r>
    <r>
      <rPr>
        <sz val="9"/>
        <color rgb="FF000000"/>
        <rFont val="微軟正黑體"/>
        <family val="0"/>
        <charset val="1"/>
      </rPr>
      <t xml:space="preserve">ADB)</t>
    </r>
  </si>
  <si>
    <r>
      <rPr>
        <sz val="9"/>
        <color rgb="FF000000"/>
        <rFont val="微軟正黑體"/>
        <family val="0"/>
        <charset val="1"/>
      </rPr>
      <t xml:space="preserve">ODA</t>
    </r>
    <r>
      <rPr>
        <sz val="9"/>
        <color rgb="FF000000"/>
        <rFont val="Noto Sans CJK SC"/>
        <family val="2"/>
      </rPr>
      <t xml:space="preserve">／贈款</t>
    </r>
  </si>
  <si>
    <r>
      <rPr>
        <sz val="9"/>
        <color rgb="FF000000"/>
        <rFont val="微軟正黑體"/>
        <family val="0"/>
        <charset val="1"/>
      </rPr>
      <t xml:space="preserve">★WHO 2025/6</t>
    </r>
    <r>
      <rPr>
        <sz val="9"/>
        <color rgb="FF000000"/>
        <rFont val="Noto Sans CJK SC"/>
        <family val="2"/>
      </rPr>
      <t xml:space="preserve">核准</t>
    </r>
    <r>
      <rPr>
        <sz val="9"/>
        <color rgb="FF000000"/>
        <rFont val="微軟正黑體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項</t>
    </r>
    <r>
      <rPr>
        <sz val="9"/>
        <color rgb="FF000000"/>
        <rFont val="微軟正黑體"/>
        <family val="0"/>
        <charset val="1"/>
      </rPr>
      <t xml:space="preserve">CAD</t>
    </r>
    <r>
      <rPr>
        <sz val="9"/>
        <color rgb="FF000000"/>
        <rFont val="Noto Sans CJK SC"/>
        <family val="2"/>
      </rPr>
      <t xml:space="preserve">產品；</t>
    </r>
    <r>
      <rPr>
        <sz val="9"/>
        <color rgb="FF000000"/>
        <rFont val="微軟正黑體"/>
        <family val="0"/>
        <charset val="1"/>
      </rPr>
      <t xml:space="preserve">Unitaid/CHAI</t>
    </r>
    <r>
      <rPr>
        <sz val="9"/>
        <color rgb="FF000000"/>
        <rFont val="Noto Sans CJK SC"/>
        <family val="2"/>
      </rPr>
      <t xml:space="preserve">已把價格壓到每台</t>
    </r>
    <r>
      <rPr>
        <sz val="9"/>
        <color rgb="FF000000"/>
        <rFont val="微軟正黑體"/>
        <family val="0"/>
        <charset val="1"/>
      </rPr>
      <t xml:space="preserve">X</t>
    </r>
    <r>
      <rPr>
        <sz val="9"/>
        <color rgb="FF000000"/>
        <rFont val="Noto Sans CJK SC"/>
        <family val="2"/>
      </rPr>
      <t xml:space="preserve">光機每年</t>
    </r>
    <r>
      <rPr>
        <sz val="9"/>
        <color rgb="FF000000"/>
        <rFont val="微軟正黑體"/>
        <family val="0"/>
        <charset val="1"/>
      </rPr>
      <t xml:space="preserve">US$2500-2850</t>
    </r>
    <r>
      <rPr>
        <sz val="9"/>
        <color rgb="FF000000"/>
        <rFont val="Noto Sans CJK SC"/>
        <family val="2"/>
      </rPr>
      <t xml:space="preserve">。越南結核負擔全球第</t>
    </r>
    <r>
      <rPr>
        <sz val="9"/>
        <color rgb="FF000000"/>
        <rFont val="微軟正黑體"/>
        <family val="0"/>
        <charset val="1"/>
      </rPr>
      <t xml:space="preserve">12</t>
    </r>
    <r>
      <rPr>
        <sz val="9"/>
        <color rgb="FF000000"/>
        <rFont val="Noto Sans CJK SC"/>
        <family val="2"/>
      </rPr>
      <t xml:space="preserve">、每年約</t>
    </r>
    <r>
      <rPr>
        <sz val="9"/>
        <color rgb="FF000000"/>
        <rFont val="微軟正黑體"/>
        <family val="0"/>
        <charset val="1"/>
      </rPr>
      <t xml:space="preserve">18.2</t>
    </r>
    <r>
      <rPr>
        <sz val="9"/>
        <color rgb="FF000000"/>
        <rFont val="Noto Sans CJK SC"/>
        <family val="2"/>
      </rPr>
      <t xml:space="preserve">萬例——捐助資金＋政策背書都到位</t>
    </r>
  </si>
  <si>
    <r>
      <rPr>
        <sz val="9"/>
        <color rgb="FF000000"/>
        <rFont val="微軟正黑體"/>
        <family val="0"/>
        <charset val="1"/>
      </rPr>
      <t xml:space="preserve">WHO </t>
    </r>
    <r>
      <rPr>
        <sz val="9"/>
        <color rgb="FF000000"/>
        <rFont val="Noto Sans CJK SC"/>
        <family val="2"/>
      </rPr>
      <t xml:space="preserve">已核准</t>
    </r>
    <r>
      <rPr>
        <sz val="9"/>
        <color rgb="FF000000"/>
        <rFont val="微軟正黑體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項</t>
    </r>
    <r>
      <rPr>
        <sz val="9"/>
        <color rgb="FF000000"/>
        <rFont val="微軟正黑體"/>
        <family val="0"/>
        <charset val="1"/>
      </rPr>
      <t xml:space="preserve">CAD</t>
    </r>
    <r>
      <rPr>
        <sz val="9"/>
        <color rgb="FF000000"/>
        <rFont val="Noto Sans CJK SC"/>
        <family val="2"/>
      </rPr>
      <t xml:space="preserve">產品（</t>
    </r>
    <r>
      <rPr>
        <sz val="9"/>
        <color rgb="FF000000"/>
        <rFont val="微軟正黑體"/>
        <family val="0"/>
        <charset val="1"/>
      </rPr>
      <t xml:space="preserve">Qure.ai qXR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Lunit INSIGHT </t>
    </r>
    <r>
      <rPr>
        <sz val="9"/>
        <color rgb="FF000000"/>
        <rFont val="Noto Sans CJK SC"/>
        <family val="2"/>
      </rPr>
      <t xml:space="preserve">等）</t>
    </r>
  </si>
  <si>
    <r>
      <rPr>
        <sz val="9"/>
        <color rgb="FF000000"/>
        <rFont val="Noto Sans CJK SC"/>
        <family val="2"/>
      </rPr>
      <t xml:space="preserve">不自研：代理＋篩檢巴士整合＋</t>
    </r>
    <r>
      <rPr>
        <sz val="9"/>
        <color rgb="FF000000"/>
        <rFont val="微軟正黑體"/>
        <family val="0"/>
        <charset val="1"/>
      </rPr>
      <t xml:space="preserve">ODA </t>
    </r>
    <r>
      <rPr>
        <sz val="9"/>
        <color rgb="FF000000"/>
        <rFont val="Noto Sans CJK SC"/>
        <family val="2"/>
      </rPr>
      <t xml:space="preserve">組案（</t>
    </r>
    <r>
      <rPr>
        <sz val="9"/>
        <color rgb="FF000000"/>
        <rFont val="微軟正黑體"/>
        <family val="0"/>
        <charset val="1"/>
      </rPr>
      <t xml:space="preserve">Unitaid </t>
    </r>
    <r>
      <rPr>
        <sz val="9"/>
        <color rgb="FF000000"/>
        <rFont val="Noto Sans CJK SC"/>
        <family val="2"/>
      </rPr>
      <t xml:space="preserve">已把價壓到每機每年</t>
    </r>
    <r>
      <rPr>
        <sz val="9"/>
        <color rgb="FF000000"/>
        <rFont val="微軟正黑體"/>
        <family val="0"/>
        <charset val="1"/>
      </rPr>
      <t xml:space="preserve">US$2500-2850</t>
    </r>
    <r>
      <rPr>
        <sz val="9"/>
        <color rgb="FF000000"/>
        <rFont val="Noto Sans CJK SC"/>
        <family val="2"/>
      </rPr>
      <t xml:space="preserve">）</t>
    </r>
  </si>
  <si>
    <r>
      <rPr>
        <b val="true"/>
        <sz val="9"/>
        <color rgb="FFFFFFFF"/>
        <rFont val="Microsoft JhengHei"/>
        <family val="0"/>
        <charset val="1"/>
      </rPr>
      <t xml:space="preserve">L5 </t>
    </r>
    <r>
      <rPr>
        <b val="true"/>
        <sz val="9"/>
        <color rgb="FFFFFFFF"/>
        <rFont val="Noto Sans CJK SC"/>
        <family val="2"/>
      </rPr>
      <t xml:space="preserve">智慧應用層</t>
    </r>
  </si>
  <si>
    <r>
      <rPr>
        <sz val="9"/>
        <rFont val="Noto Sans CJK SC"/>
        <family val="2"/>
      </rPr>
      <t xml:space="preserve">證據最強的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項目：</t>
    </r>
    <r>
      <rPr>
        <sz val="9"/>
        <rFont val="Microsoft JhengHei"/>
        <family val="0"/>
        <charset val="1"/>
      </rPr>
      <t xml:space="preserve">qXR 3.0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USAID/NTP</t>
    </r>
    <r>
      <rPr>
        <sz val="9"/>
        <rFont val="Noto Sans CJK SC"/>
        <family val="2"/>
      </rPr>
      <t xml:space="preserve">，</t>
    </r>
    <r>
      <rPr>
        <sz val="9"/>
        <rFont val="Microsoft JhengHei"/>
        <family val="0"/>
        <charset val="1"/>
      </rPr>
      <t xml:space="preserve">9</t>
    </r>
    <r>
      <rPr>
        <sz val="9"/>
        <rFont val="Noto Sans CJK SC"/>
        <family val="2"/>
      </rPr>
      <t xml:space="preserve">省</t>
    </r>
    <r>
      <rPr>
        <sz val="9"/>
        <rFont val="Microsoft JhengHei"/>
        <family val="0"/>
        <charset val="1"/>
      </rPr>
      <t xml:space="preserve">57</t>
    </r>
    <r>
      <rPr>
        <sz val="9"/>
        <rFont val="Noto Sans CJK SC"/>
        <family val="2"/>
      </rPr>
      <t xml:space="preserve">萬人篩檢）＋</t>
    </r>
    <r>
      <rPr>
        <sz val="9"/>
        <rFont val="Microsoft JhengHei"/>
        <family val="0"/>
        <charset val="1"/>
      </rPr>
      <t xml:space="preserve">VinBrain×</t>
    </r>
    <r>
      <rPr>
        <sz val="9"/>
        <rFont val="Noto Sans CJK SC"/>
        <family val="2"/>
      </rPr>
      <t xml:space="preserve">全球基金（</t>
    </r>
    <r>
      <rPr>
        <sz val="9"/>
        <rFont val="Microsoft JhengHei"/>
        <family val="0"/>
        <charset val="1"/>
      </rPr>
      <t xml:space="preserve">32</t>
    </r>
    <r>
      <rPr>
        <sz val="9"/>
        <rFont val="Noto Sans CJK SC"/>
        <family val="2"/>
      </rPr>
      <t xml:space="preserve">授權、目標</t>
    </r>
    <r>
      <rPr>
        <sz val="9"/>
        <rFont val="Microsoft JhengHei"/>
        <family val="0"/>
        <charset val="1"/>
      </rPr>
      <t xml:space="preserve">100</t>
    </r>
    <r>
      <rPr>
        <sz val="9"/>
        <rFont val="Noto Sans CJK SC"/>
        <family val="2"/>
      </rPr>
      <t xml:space="preserve">萬人、單例成本降至約</t>
    </r>
    <r>
      <rPr>
        <sz val="9"/>
        <rFont val="Microsoft JhengHei"/>
        <family val="0"/>
        <charset val="1"/>
      </rPr>
      <t xml:space="preserve">1</t>
    </r>
    <r>
      <rPr>
        <sz val="9"/>
        <rFont val="Noto Sans CJK SC"/>
        <family val="2"/>
      </rPr>
      <t xml:space="preserve">美元）。風險：</t>
    </r>
    <r>
      <rPr>
        <sz val="9"/>
        <rFont val="Microsoft JhengHei"/>
        <family val="0"/>
        <charset val="1"/>
      </rPr>
      <t xml:space="preserve">USAID</t>
    </r>
    <r>
      <rPr>
        <sz val="9"/>
        <rFont val="Noto Sans CJK SC"/>
        <family val="2"/>
      </rPr>
      <t xml:space="preserve">退場、國際經費下滑，買單方轉換中。年新發結核估</t>
    </r>
    <r>
      <rPr>
        <sz val="9"/>
        <rFont val="Microsoft JhengHei"/>
        <family val="0"/>
        <charset val="1"/>
      </rPr>
      <t xml:space="preserve">18.2</t>
    </r>
    <r>
      <rPr>
        <sz val="9"/>
        <rFont val="Noto Sans CJK SC"/>
        <family val="2"/>
      </rPr>
      <t xml:space="preserve">萬例。</t>
    </r>
  </si>
  <si>
    <r>
      <rPr>
        <sz val="9"/>
        <rFont val="Noto Sans CJK SC"/>
        <family val="2"/>
      </rPr>
      <t xml:space="preserve">結核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已規模化：</t>
    </r>
    <r>
      <rPr>
        <sz val="9"/>
        <rFont val="Microsoft JhengHei"/>
        <family val="0"/>
        <charset val="1"/>
      </rPr>
      <t xml:space="preserve">9</t>
    </r>
    <r>
      <rPr>
        <sz val="9"/>
        <rFont val="Noto Sans CJK SC"/>
        <family val="2"/>
      </rPr>
      <t xml:space="preserve">省</t>
    </r>
    <r>
      <rPr>
        <sz val="9"/>
        <rFont val="Microsoft JhengHei"/>
        <family val="0"/>
        <charset val="1"/>
      </rPr>
      <t xml:space="preserve">57</t>
    </r>
    <r>
      <rPr>
        <sz val="9"/>
        <rFont val="Noto Sans CJK SC"/>
        <family val="2"/>
      </rPr>
      <t xml:space="preserve">萬人篩檢；</t>
    </r>
    <r>
      <rPr>
        <sz val="9"/>
        <rFont val="Microsoft JhengHei"/>
        <family val="0"/>
        <charset val="1"/>
      </rPr>
      <t xml:space="preserve">VinBrain×</t>
    </r>
    <r>
      <rPr>
        <sz val="9"/>
        <rFont val="Noto Sans CJK SC"/>
        <family val="2"/>
      </rPr>
      <t xml:space="preserve">全球基金</t>
    </r>
    <r>
      <rPr>
        <sz val="9"/>
        <rFont val="Microsoft JhengHei"/>
        <family val="0"/>
        <charset val="1"/>
      </rPr>
      <t xml:space="preserve">32</t>
    </r>
    <r>
      <rPr>
        <sz val="9"/>
        <rFont val="Noto Sans CJK SC"/>
        <family val="2"/>
      </rPr>
      <t xml:space="preserve">套授權、目標</t>
    </r>
    <r>
      <rPr>
        <sz val="9"/>
        <rFont val="Microsoft JhengHei"/>
        <family val="0"/>
        <charset val="1"/>
      </rPr>
      <t xml:space="preserve">100</t>
    </r>
    <r>
      <rPr>
        <sz val="9"/>
        <rFont val="Noto Sans CJK SC"/>
        <family val="2"/>
      </rPr>
      <t xml:space="preserve">萬人、單例成本從</t>
    </r>
    <r>
      <rPr>
        <sz val="9"/>
        <rFont val="Microsoft JhengHei"/>
        <family val="0"/>
        <charset val="1"/>
      </rPr>
      <t xml:space="preserve">50-60</t>
    </r>
    <r>
      <rPr>
        <sz val="9"/>
        <rFont val="Noto Sans CJK SC"/>
        <family val="2"/>
      </rPr>
      <t xml:space="preserve">美元降至約</t>
    </r>
    <r>
      <rPr>
        <sz val="9"/>
        <rFont val="Microsoft JhengHei"/>
        <family val="0"/>
        <charset val="1"/>
      </rPr>
      <t xml:space="preserve">1</t>
    </r>
    <r>
      <rPr>
        <sz val="9"/>
        <rFont val="Noto Sans CJK SC"/>
        <family val="2"/>
      </rPr>
      <t xml:space="preserve">美元。《數位科技產業法》</t>
    </r>
    <r>
      <rPr>
        <sz val="9"/>
        <rFont val="Microsoft JhengHei"/>
        <family val="0"/>
        <charset val="1"/>
      </rPr>
      <t xml:space="preserve">2026-01-01</t>
    </r>
    <r>
      <rPr>
        <sz val="9"/>
        <rFont val="Noto Sans CJK SC"/>
        <family val="2"/>
      </rPr>
      <t xml:space="preserve">生效（越南首部含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專章法律）；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專法草案</t>
    </r>
    <r>
      <rPr>
        <sz val="9"/>
        <rFont val="Microsoft JhengHei"/>
        <family val="0"/>
        <charset val="1"/>
      </rPr>
      <t xml:space="preserve">2025-10</t>
    </r>
    <r>
      <rPr>
        <sz val="9"/>
        <rFont val="Noto Sans CJK SC"/>
        <family val="2"/>
      </rPr>
      <t xml:space="preserve">徵詢中（風險分級、參考歐盟）。已實證：影像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（結核、放射、內視鏡</t>
    </r>
    <r>
      <rPr>
        <sz val="9"/>
        <rFont val="Microsoft JhengHei"/>
        <family val="0"/>
        <charset val="1"/>
      </rPr>
      <t xml:space="preserve">Olympus</t>
    </r>
    <r>
      <rPr>
        <sz val="9"/>
        <rFont val="Noto Sans CJK SC"/>
        <family val="2"/>
      </rPr>
      <t xml:space="preserve">於</t>
    </r>
    <r>
      <rPr>
        <sz val="9"/>
        <rFont val="Microsoft JhengHei"/>
        <family val="0"/>
        <charset val="1"/>
      </rPr>
      <t xml:space="preserve">Cho Ray/108</t>
    </r>
    <r>
      <rPr>
        <sz val="9"/>
        <rFont val="Noto Sans CJK SC"/>
        <family val="2"/>
      </rPr>
      <t xml:space="preserve">醫院、眼底</t>
    </r>
    <r>
      <rPr>
        <sz val="9"/>
        <rFont val="Microsoft JhengHei"/>
        <family val="0"/>
        <charset val="1"/>
      </rPr>
      <t xml:space="preserve">Orbis</t>
    </r>
    <r>
      <rPr>
        <sz val="9"/>
        <rFont val="Noto Sans CJK SC"/>
        <family val="2"/>
      </rPr>
      <t xml:space="preserve">）；未查得實證：營運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（排程、供應鏈、敗血症、申報審核）、數位病理、越南語臨床</t>
    </r>
    <r>
      <rPr>
        <sz val="9"/>
        <rFont val="Microsoft JhengHei"/>
        <family val="0"/>
        <charset val="1"/>
      </rPr>
      <t xml:space="preserve">LLM——</t>
    </r>
    <r>
      <rPr>
        <sz val="9"/>
        <rFont val="Noto Sans CJK SC"/>
        <family val="2"/>
      </rPr>
      <t xml:space="preserve">空白即機會，但需承擔市場教育成本。</t>
    </r>
  </si>
  <si>
    <t xml:space="preserve">OPP-44</t>
  </si>
  <si>
    <r>
      <rPr>
        <b val="true"/>
        <sz val="9.5"/>
        <color rgb="FF203864"/>
        <rFont val="Noto Sans CJK SC"/>
        <family val="2"/>
      </rPr>
      <t xml:space="preserve">放射影像分診</t>
    </r>
    <r>
      <rPr>
        <b val="true"/>
        <sz val="9.5"/>
        <color rgb="FF203864"/>
        <rFont val="微軟正黑體"/>
        <family val="0"/>
        <charset val="1"/>
      </rPr>
      <t xml:space="preserve">AI</t>
    </r>
    <r>
      <rPr>
        <b val="true"/>
        <sz val="9.5"/>
        <color rgb="FF203864"/>
        <rFont val="Noto Sans CJK SC"/>
        <family val="2"/>
      </rPr>
      <t xml:space="preserve">（中風／出血／結節／骨折）</t>
    </r>
  </si>
  <si>
    <t xml:space="preserve">Radiology Triage &amp; Detection AI</t>
  </si>
  <si>
    <t xml:space="preserve">按檢查次數或每院年授權賣給影像科；醫院自付，健保沒有給付碼</t>
  </si>
  <si>
    <r>
      <rPr>
        <sz val="9"/>
        <color rgb="FF000000"/>
        <rFont val="Noto Sans CJK SC"/>
        <family val="2"/>
      </rPr>
      <t xml:space="preserve">河內</t>
    </r>
    <r>
      <rPr>
        <sz val="9"/>
        <color rgb="FF000000"/>
        <rFont val="微軟正黑體"/>
        <family val="0"/>
        <charset val="1"/>
      </rPr>
      <t xml:space="preserve">2026/3</t>
    </r>
    <r>
      <rPr>
        <sz val="9"/>
        <color rgb="FF000000"/>
        <rFont val="Noto Sans CJK SC"/>
        <family val="2"/>
      </rPr>
      <t xml:space="preserve">已在德江、聖保羅、腫瘤三家醫院試辦；</t>
    </r>
    <r>
      <rPr>
        <sz val="9"/>
        <color rgb="FF000000"/>
        <rFont val="微軟正黑體"/>
        <family val="0"/>
        <charset val="1"/>
      </rPr>
      <t xml:space="preserve">VinBrain</t>
    </r>
    <r>
      <rPr>
        <sz val="9"/>
        <color rgb="FF000000"/>
        <rFont val="Noto Sans CJK SC"/>
        <family val="2"/>
      </rPr>
      <t xml:space="preserve">（已被</t>
    </r>
    <r>
      <rPr>
        <sz val="9"/>
        <color rgb="FF000000"/>
        <rFont val="微軟正黑體"/>
        <family val="0"/>
        <charset val="1"/>
      </rPr>
      <t xml:space="preserve">NVIDIA</t>
    </r>
    <r>
      <rPr>
        <sz val="9"/>
        <color rgb="FF000000"/>
        <rFont val="Noto Sans CJK SC"/>
        <family val="2"/>
      </rPr>
      <t xml:space="preserve">收購）進入</t>
    </r>
    <r>
      <rPr>
        <sz val="9"/>
        <color rgb="FF000000"/>
        <rFont val="微軟正黑體"/>
        <family val="0"/>
        <charset val="1"/>
      </rPr>
      <t xml:space="preserve">100+</t>
    </r>
    <r>
      <rPr>
        <sz val="9"/>
        <color rgb="FF000000"/>
        <rFont val="Noto Sans CJK SC"/>
        <family val="2"/>
      </rPr>
      <t xml:space="preserve">醫院但多為試用</t>
    </r>
  </si>
  <si>
    <r>
      <rPr>
        <sz val="9"/>
        <color rgb="FF000000"/>
        <rFont val="微軟正黑體"/>
        <family val="0"/>
        <charset val="1"/>
      </rPr>
      <t xml:space="preserve">VinBrain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NVIDIA </t>
    </r>
    <r>
      <rPr>
        <sz val="9"/>
        <color rgb="FF000000"/>
        <rFont val="Noto Sans CJK SC"/>
        <family val="2"/>
      </rPr>
      <t xml:space="preserve">已收購，進入</t>
    </r>
    <r>
      <rPr>
        <sz val="9"/>
        <color rgb="FF000000"/>
        <rFont val="微軟正黑體"/>
        <family val="0"/>
        <charset val="1"/>
      </rPr>
      <t xml:space="preserve">100+</t>
    </r>
    <r>
      <rPr>
        <sz val="9"/>
        <color rgb="FF000000"/>
        <rFont val="Noto Sans CJK SC"/>
        <family val="2"/>
      </rPr>
      <t xml:space="preserve">醫院）；河內三院試辦中</t>
    </r>
  </si>
  <si>
    <t xml:space="preserve">避開通用分診紅海，選利基病種＋與設備綁售</t>
  </si>
  <si>
    <r>
      <rPr>
        <sz val="9"/>
        <rFont val="Microsoft JhengHei"/>
        <family val="0"/>
        <charset val="1"/>
      </rPr>
      <t xml:space="preserve">VinBrain DrAid</t>
    </r>
    <r>
      <rPr>
        <sz val="9"/>
        <rFont val="Noto Sans CJK SC"/>
        <family val="2"/>
      </rPr>
      <t xml:space="preserve">宣稱部署</t>
    </r>
    <r>
      <rPr>
        <sz val="9"/>
        <rFont val="Microsoft JhengHei"/>
        <family val="0"/>
        <charset val="1"/>
      </rPr>
      <t xml:space="preserve">100+</t>
    </r>
    <r>
      <rPr>
        <sz val="9"/>
        <rFont val="Noto Sans CJK SC"/>
        <family val="2"/>
      </rPr>
      <t xml:space="preserve">醫院；</t>
    </r>
    <r>
      <rPr>
        <sz val="9"/>
        <rFont val="Microsoft JhengHei"/>
        <family val="0"/>
        <charset val="1"/>
      </rPr>
      <t xml:space="preserve">Hoan My×Annalise.ai</t>
    </r>
    <r>
      <rPr>
        <sz val="9"/>
        <rFont val="Noto Sans CJK SC"/>
        <family val="2"/>
      </rPr>
      <t xml:space="preserve">簽</t>
    </r>
    <r>
      <rPr>
        <sz val="9"/>
        <rFont val="Microsoft JhengHei"/>
        <family val="0"/>
        <charset val="1"/>
      </rPr>
      <t xml:space="preserve">MoU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2023-04</t>
    </r>
    <r>
      <rPr>
        <sz val="9"/>
        <rFont val="Noto Sans CJK SC"/>
        <family val="2"/>
      </rPr>
      <t xml:space="preserve">）——已有人做，競爭者具名。</t>
    </r>
  </si>
  <si>
    <t xml:space="preserve">OPP-45</t>
  </si>
  <si>
    <r>
      <rPr>
        <b val="true"/>
        <sz val="9.5"/>
        <color rgb="FF203864"/>
        <rFont val="Noto Sans CJK SC"/>
        <family val="2"/>
      </rPr>
      <t xml:space="preserve">肺癌</t>
    </r>
    <r>
      <rPr>
        <b val="true"/>
        <sz val="9.5"/>
        <color rgb="FF203864"/>
        <rFont val="微軟正黑體"/>
        <family val="0"/>
        <charset val="1"/>
      </rPr>
      <t xml:space="preserve">CT</t>
    </r>
    <r>
      <rPr>
        <b val="true"/>
        <sz val="9.5"/>
        <color rgb="FF203864"/>
        <rFont val="Noto Sans CJK SC"/>
        <family val="2"/>
      </rPr>
      <t xml:space="preserve">早篩</t>
    </r>
    <r>
      <rPr>
        <b val="true"/>
        <sz val="9.5"/>
        <color rgb="FF203864"/>
        <rFont val="微軟正黑體"/>
        <family val="0"/>
        <charset val="1"/>
      </rPr>
      <t xml:space="preserve">AI</t>
    </r>
  </si>
  <si>
    <t xml:space="preserve">Lung Cancer CT Screening AI</t>
  </si>
  <si>
    <t xml:space="preserve">結節偵測與風險分層，搭自費健檢套餐按人次分潤</t>
  </si>
  <si>
    <r>
      <rPr>
        <sz val="9"/>
        <color rgb="FF000000"/>
        <rFont val="Noto Sans CJK SC"/>
        <family val="2"/>
      </rPr>
      <t xml:space="preserve">白梅醫院已有三個國家級肺癌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模型（</t>
    </r>
    <r>
      <rPr>
        <sz val="9"/>
        <color rgb="FF000000"/>
        <rFont val="微軟正黑體"/>
        <family val="0"/>
        <charset val="1"/>
      </rPr>
      <t xml:space="preserve">CT</t>
    </r>
    <r>
      <rPr>
        <sz val="9"/>
        <color rgb="FF000000"/>
        <rFont val="Noto Sans CJK SC"/>
        <family val="2"/>
      </rPr>
      <t xml:space="preserve">／即時支氣管鏡／病理）——在地國家隊會低價競爭，要挑差異化角度</t>
    </r>
  </si>
  <si>
    <r>
      <rPr>
        <sz val="9"/>
        <color rgb="FF000000"/>
        <rFont val="Noto Sans CJK SC"/>
        <family val="2"/>
      </rPr>
      <t xml:space="preserve">白梅醫院三個國家級肺癌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模型（低價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免費推廣）</t>
    </r>
  </si>
  <si>
    <t xml:space="preserve">走自費健檢通路＋報告品質差異化，不與國家隊拚公立醫院端</t>
  </si>
  <si>
    <t xml:space="preserve">OPP-46</t>
  </si>
  <si>
    <r>
      <rPr>
        <b val="true"/>
        <sz val="9.5"/>
        <color rgb="FF203864"/>
        <rFont val="Noto Sans CJK SC"/>
        <family val="2"/>
      </rPr>
      <t xml:space="preserve">內視鏡</t>
    </r>
    <r>
      <rPr>
        <b val="true"/>
        <sz val="9.5"/>
        <color rgb="FF203864"/>
        <rFont val="微軟正黑體"/>
        <family val="0"/>
        <charset val="1"/>
      </rPr>
      <t xml:space="preserve">AI</t>
    </r>
    <r>
      <rPr>
        <b val="true"/>
        <sz val="9.5"/>
        <color rgb="FF203864"/>
        <rFont val="Noto Sans CJK SC"/>
        <family val="2"/>
      </rPr>
      <t xml:space="preserve">息肉偵測</t>
    </r>
  </si>
  <si>
    <t xml:space="preserve">Endoscopy AI (Polyp CADe)</t>
  </si>
  <si>
    <t xml:space="preserve">硬體模組隨內視鏡主機綁售，走設備商／代理商通路</t>
  </si>
  <si>
    <r>
      <rPr>
        <sz val="9"/>
        <color rgb="FF000000"/>
        <rFont val="Noto Sans CJK SC"/>
        <family val="2"/>
      </rPr>
      <t xml:space="preserve">★與已註冊硬體綁售可免除單獨的軟體醫材許可，是所有醫療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裡最省法規事的通路打法</t>
    </r>
  </si>
  <si>
    <r>
      <rPr>
        <sz val="9"/>
        <rFont val="Microsoft JhengHei"/>
        <family val="0"/>
        <charset val="1"/>
      </rPr>
      <t xml:space="preserve">Olympus EndoBRAIN-EYE</t>
    </r>
    <r>
      <rPr>
        <sz val="9"/>
        <rFont val="Noto Sans CJK SC"/>
        <family val="2"/>
      </rPr>
      <t xml:space="preserve">已在</t>
    </r>
    <r>
      <rPr>
        <sz val="9"/>
        <rFont val="Microsoft JhengHei"/>
        <family val="0"/>
        <charset val="1"/>
      </rPr>
      <t xml:space="preserve">Cho Ray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108</t>
    </r>
    <r>
      <rPr>
        <sz val="9"/>
        <rFont val="Noto Sans CJK SC"/>
        <family val="2"/>
      </rPr>
      <t xml:space="preserve">軍醫院完成驗證（</t>
    </r>
    <r>
      <rPr>
        <sz val="9"/>
        <rFont val="Microsoft JhengHei"/>
        <family val="0"/>
        <charset val="1"/>
      </rPr>
      <t xml:space="preserve">2022-11</t>
    </r>
    <r>
      <rPr>
        <sz val="9"/>
        <rFont val="Noto Sans CJK SC"/>
        <family val="2"/>
      </rPr>
      <t xml:space="preserve">至</t>
    </r>
    <r>
      <rPr>
        <sz val="9"/>
        <rFont val="Microsoft JhengHei"/>
        <family val="0"/>
        <charset val="1"/>
      </rPr>
      <t xml:space="preserve">2023-03</t>
    </r>
    <r>
      <rPr>
        <sz val="9"/>
        <rFont val="Noto Sans CJK SC"/>
        <family val="2"/>
      </rPr>
      <t xml:space="preserve">，日本總務省計畫）；常規採購未查得。</t>
    </r>
  </si>
  <si>
    <t xml:space="preserve">OPP-47</t>
  </si>
  <si>
    <r>
      <rPr>
        <b val="true"/>
        <sz val="9.5"/>
        <color rgb="FF203864"/>
        <rFont val="Noto Sans CJK SC"/>
        <family val="2"/>
      </rPr>
      <t xml:space="preserve">糖尿病視網膜病變</t>
    </r>
    <r>
      <rPr>
        <b val="true"/>
        <sz val="9.5"/>
        <color rgb="FF203864"/>
        <rFont val="微軟正黑體"/>
        <family val="0"/>
        <charset val="1"/>
      </rPr>
      <t xml:space="preserve">AI</t>
    </r>
    <r>
      <rPr>
        <b val="true"/>
        <sz val="9.5"/>
        <color rgb="FF203864"/>
        <rFont val="Noto Sans CJK SC"/>
        <family val="2"/>
      </rPr>
      <t xml:space="preserve">篩檢</t>
    </r>
  </si>
  <si>
    <t xml:space="preserve">Diabetic Retinopathy Screening AI</t>
  </si>
  <si>
    <t xml:space="preserve">按篩檢人次或眼底相機綁售；搭慢性病篩檢方案或自費健檢</t>
  </si>
  <si>
    <t xml:space="preserve">糖尿病人口大、眼科醫師少；沒有健保給付碼，一定要掛在篩檢方案或健檢套餐底下才有付費方</t>
  </si>
  <si>
    <r>
      <rPr>
        <sz val="9"/>
        <rFont val="Microsoft JhengHei"/>
        <family val="0"/>
        <charset val="1"/>
      </rPr>
      <t xml:space="preserve">Orbis Cybersight AI 2024</t>
    </r>
    <r>
      <rPr>
        <sz val="9"/>
        <rFont val="Noto Sans CJK SC"/>
        <family val="2"/>
      </rPr>
      <t xml:space="preserve">年起在越南啟動眼底篩檢；全國性計畫未查得。</t>
    </r>
  </si>
  <si>
    <t xml:space="preserve">OPP-48</t>
  </si>
  <si>
    <r>
      <rPr>
        <b val="true"/>
        <sz val="9.5"/>
        <color rgb="FF203864"/>
        <rFont val="Noto Sans CJK SC"/>
        <family val="2"/>
      </rPr>
      <t xml:space="preserve">病理數位化與</t>
    </r>
    <r>
      <rPr>
        <b val="true"/>
        <sz val="9.5"/>
        <color rgb="FF203864"/>
        <rFont val="微軟正黑體"/>
        <family val="0"/>
        <charset val="1"/>
      </rPr>
      <t xml:space="preserve">AI</t>
    </r>
    <r>
      <rPr>
        <b val="true"/>
        <sz val="9.5"/>
        <color rgb="FF203864"/>
        <rFont val="Noto Sans CJK SC"/>
        <family val="2"/>
      </rPr>
      <t xml:space="preserve">判讀</t>
    </r>
  </si>
  <si>
    <t xml:space="preserve">Digital Pathology &amp; AI</t>
  </si>
  <si>
    <r>
      <rPr>
        <sz val="9"/>
        <color rgb="FF000000"/>
        <rFont val="Noto Sans CJK SC"/>
        <family val="2"/>
      </rPr>
      <t xml:space="preserve">全玻片掃描器＋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判讀；賣給中央／腫瘤醫院與私立檢驗連鎖</t>
    </r>
  </si>
  <si>
    <r>
      <rPr>
        <sz val="9"/>
        <color rgb="FF000000"/>
        <rFont val="Noto Sans CJK SC"/>
        <family val="2"/>
      </rPr>
      <t xml:space="preserve">卡在掃描器基數太小（每台</t>
    </r>
    <r>
      <rPr>
        <sz val="9"/>
        <color rgb="FF000000"/>
        <rFont val="微軟正黑體"/>
        <family val="0"/>
        <charset val="1"/>
      </rPr>
      <t xml:space="preserve">US$100-250k</t>
    </r>
    <r>
      <rPr>
        <sz val="9"/>
        <color rgb="FF000000"/>
        <rFont val="Noto Sans CJK SC"/>
        <family val="2"/>
      </rPr>
      <t xml:space="preserve">），現實上是</t>
    </r>
    <r>
      <rPr>
        <sz val="9"/>
        <color rgb="FF000000"/>
        <rFont val="微軟正黑體"/>
        <family val="0"/>
        <charset val="1"/>
      </rPr>
      <t xml:space="preserve">2028</t>
    </r>
    <r>
      <rPr>
        <sz val="9"/>
        <color rgb="FF000000"/>
        <rFont val="Noto Sans CJK SC"/>
        <family val="2"/>
      </rPr>
      <t xml:space="preserve">年以後的題目，但可以先卡位</t>
    </r>
  </si>
  <si>
    <t xml:space="preserve">掃描器基數極小，暫無在地玩家</t>
  </si>
  <si>
    <r>
      <rPr>
        <sz val="9"/>
        <color rgb="FF000000"/>
        <rFont val="Noto Sans CJK SC"/>
        <family val="2"/>
      </rPr>
      <t xml:space="preserve">先卡位腫瘤中心合作，隨 </t>
    </r>
    <r>
      <rPr>
        <sz val="9"/>
        <color rgb="FF000000"/>
        <rFont val="微軟正黑體"/>
        <family val="0"/>
        <charset val="1"/>
      </rPr>
      <t xml:space="preserve">OPP-15 </t>
    </r>
    <r>
      <rPr>
        <sz val="9"/>
        <color rgb="FF000000"/>
        <rFont val="Noto Sans CJK SC"/>
        <family val="2"/>
      </rPr>
      <t xml:space="preserve">放腫整案綁入</t>
    </r>
  </si>
  <si>
    <t xml:space="preserve">越南本地部署實證未查得——真空白，需自帶市場教育。</t>
  </si>
  <si>
    <t xml:space="preserve">OPP-49</t>
  </si>
  <si>
    <r>
      <rPr>
        <b val="true"/>
        <sz val="9.5"/>
        <color rgb="FF203864"/>
        <rFont val="Noto Sans CJK SC"/>
        <family val="2"/>
      </rPr>
      <t xml:space="preserve">越南語</t>
    </r>
    <r>
      <rPr>
        <b val="true"/>
        <sz val="9.5"/>
        <color rgb="FF203864"/>
        <rFont val="微軟正黑體"/>
        <family val="0"/>
        <charset val="1"/>
      </rPr>
      <t xml:space="preserve">AI</t>
    </r>
    <r>
      <rPr>
        <b val="true"/>
        <sz val="9.5"/>
        <color rgb="FF203864"/>
        <rFont val="Noto Sans CJK SC"/>
        <family val="2"/>
      </rPr>
      <t xml:space="preserve">病歷書寫助理</t>
    </r>
  </si>
  <si>
    <t xml:space="preserve">Vietnamese Ambient Clinical Documentation</t>
  </si>
  <si>
    <t xml:space="preserve">按醫師人數月費訂閱，把看診對話自動變成病歷；醫院營運預算或私立連鎖付錢</t>
  </si>
  <si>
    <t xml:space="preserve">★最大的白地：越南語醫療語音辨識是護城河、不依賴健保給付，而且無紙化病歷政策直接製造需求</t>
  </si>
  <si>
    <t xml:space="preserve">無越南語成熟產品</t>
  </si>
  <si>
    <r>
      <rPr>
        <sz val="9"/>
        <color rgb="FF000000"/>
        <rFont val="Noto Sans CJK SC"/>
        <family val="2"/>
      </rPr>
      <t xml:space="preserve">越南語醫療語音是護城河；與 </t>
    </r>
    <r>
      <rPr>
        <sz val="9"/>
        <color rgb="FF000000"/>
        <rFont val="微軟正黑體"/>
        <family val="0"/>
        <charset val="1"/>
      </rPr>
      <t xml:space="preserve">HIS </t>
    </r>
    <r>
      <rPr>
        <sz val="9"/>
        <color rgb="FF000000"/>
        <rFont val="Noto Sans CJK SC"/>
        <family val="2"/>
      </rPr>
      <t xml:space="preserve">商白標合作進場</t>
    </r>
  </si>
  <si>
    <r>
      <rPr>
        <sz val="9"/>
        <rFont val="Noto Sans CJK SC"/>
        <family val="2"/>
      </rPr>
      <t xml:space="preserve">具名的越南語臨床</t>
    </r>
    <r>
      <rPr>
        <sz val="9"/>
        <rFont val="Microsoft JhengHei"/>
        <family val="0"/>
        <charset val="1"/>
      </rPr>
      <t xml:space="preserve">LLM/AI scribe</t>
    </r>
    <r>
      <rPr>
        <sz val="9"/>
        <rFont val="Noto Sans CJK SC"/>
        <family val="2"/>
      </rPr>
      <t xml:space="preserve">上線案例未查得——空白即機會，但需自建越南語語料。</t>
    </r>
  </si>
  <si>
    <t xml:space="preserve">OPP-50</t>
  </si>
  <si>
    <t xml:space="preserve">臨床大模型助理與知識庫</t>
  </si>
  <si>
    <t xml:space="preserve">Clinical LLM Assistant</t>
  </si>
  <si>
    <r>
      <rPr>
        <sz val="9"/>
        <color rgb="FF000000"/>
        <rFont val="Noto Sans CJK SC"/>
        <family val="2"/>
      </rPr>
      <t xml:space="preserve">院級授權的臨床問答、病歷摘要與指引查詢；也可白標給</t>
    </r>
    <r>
      <rPr>
        <sz val="9"/>
        <color rgb="FF000000"/>
        <rFont val="微軟正黑體"/>
        <family val="0"/>
        <charset val="1"/>
      </rPr>
      <t xml:space="preserve">HIS</t>
    </r>
    <r>
      <rPr>
        <sz val="9"/>
        <color rgb="FF000000"/>
        <rFont val="Noto Sans CJK SC"/>
        <family val="2"/>
      </rPr>
      <t xml:space="preserve">廠商</t>
    </r>
  </si>
  <si>
    <r>
      <rPr>
        <sz val="9"/>
        <color rgb="FF000000"/>
        <rFont val="Noto Sans CJK SC"/>
        <family val="2"/>
      </rPr>
      <t xml:space="preserve">越南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法（</t>
    </r>
    <r>
      <rPr>
        <sz val="9"/>
        <color rgb="FF000000"/>
        <rFont val="微軟正黑體"/>
        <family val="0"/>
        <charset val="1"/>
      </rPr>
      <t xml:space="preserve">2026/3/1</t>
    </r>
    <r>
      <rPr>
        <sz val="9"/>
        <color rgb="FF000000"/>
        <rFont val="Noto Sans CJK SC"/>
        <family val="2"/>
      </rPr>
      <t xml:space="preserve">生效）把醫療列為高風險：須登記、留存訓練資料與操作紀錄、外商要有在地法律代表</t>
    </r>
  </si>
  <si>
    <r>
      <rPr>
        <sz val="9"/>
        <color rgb="FF000000"/>
        <rFont val="微軟正黑體"/>
        <family val="0"/>
        <charset val="1"/>
      </rPr>
      <t xml:space="preserve">VinBrain </t>
    </r>
    <r>
      <rPr>
        <sz val="9"/>
        <color rgb="FF000000"/>
        <rFont val="Noto Sans CJK SC"/>
        <family val="2"/>
      </rPr>
      <t xml:space="preserve">與國際大廠通用模型可能進入</t>
    </r>
  </si>
  <si>
    <r>
      <rPr>
        <sz val="9"/>
        <color rgb="FF000000"/>
        <rFont val="Noto Sans CJK SC"/>
        <family val="2"/>
      </rPr>
      <t xml:space="preserve">合規包裝（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法高風險文件）＋院內部署（資料不出院區）</t>
    </r>
  </si>
  <si>
    <t xml:space="preserve">OPP-51</t>
  </si>
  <si>
    <r>
      <rPr>
        <b val="true"/>
        <sz val="9.5"/>
        <color rgb="FF203864"/>
        <rFont val="Noto Sans CJK SC"/>
        <family val="2"/>
      </rPr>
      <t xml:space="preserve">健保申報</t>
    </r>
    <r>
      <rPr>
        <b val="true"/>
        <sz val="9.5"/>
        <color rgb="FF203864"/>
        <rFont val="微軟正黑體"/>
        <family val="0"/>
        <charset val="1"/>
      </rPr>
      <t xml:space="preserve">AI</t>
    </r>
    <r>
      <rPr>
        <b val="true"/>
        <sz val="9.5"/>
        <color rgb="FF203864"/>
        <rFont val="Noto Sans CJK SC"/>
        <family val="2"/>
      </rPr>
      <t xml:space="preserve">審核與拒付管理</t>
    </r>
  </si>
  <si>
    <t xml:space="preserve">Claims Audit &amp; Denial Management AI</t>
  </si>
  <si>
    <t xml:space="preserve">付費方側：替越南社會保險自動審核申報、抓高編與拆帳；醫院側：送件前先自我檢查</t>
  </si>
  <si>
    <r>
      <rPr>
        <sz val="9"/>
        <color rgb="FF000000"/>
        <rFont val="Noto Sans CJK SC"/>
        <family val="2"/>
      </rPr>
      <t xml:space="preserve">越南健保</t>
    </r>
    <r>
      <rPr>
        <sz val="9"/>
        <color rgb="FF000000"/>
        <rFont val="微軟正黑體"/>
        <family val="0"/>
        <charset val="1"/>
      </rPr>
      <t xml:space="preserve">(VSS)</t>
    </r>
    <r>
      <rPr>
        <sz val="9"/>
        <color rgb="FF000000"/>
        <rFont val="Noto Sans CJK SC"/>
        <family val="2"/>
      </rPr>
      <t xml:space="preserve">給付</t>
    </r>
  </si>
  <si>
    <t xml:space="preserve">Revenue Cycle Lead</t>
  </si>
  <si>
    <r>
      <rPr>
        <sz val="9"/>
        <color rgb="FF000000"/>
        <rFont val="Noto Sans CJK SC"/>
        <family val="2"/>
      </rPr>
      <t xml:space="preserve">付費方</t>
    </r>
    <r>
      <rPr>
        <sz val="9"/>
        <color rgb="FF000000"/>
        <rFont val="微軟正黑體"/>
        <family val="0"/>
        <charset val="1"/>
      </rPr>
      <t xml:space="preserve">(VSS)</t>
    </r>
    <r>
      <rPr>
        <sz val="9"/>
        <color rgb="FF000000"/>
        <rFont val="Noto Sans CJK SC"/>
        <family val="2"/>
      </rPr>
      <t xml:space="preserve">側是更好的門：單一買方、追回金額就是可量化的</t>
    </r>
    <r>
      <rPr>
        <sz val="9"/>
        <color rgb="FF000000"/>
        <rFont val="微軟正黑體"/>
        <family val="0"/>
        <charset val="1"/>
      </rPr>
      <t xml:space="preserve">ROI</t>
    </r>
  </si>
  <si>
    <r>
      <rPr>
        <sz val="9"/>
        <rFont val="Microsoft JhengHei"/>
        <family val="0"/>
        <charset val="1"/>
      </rPr>
      <t xml:space="preserve">VSS</t>
    </r>
    <r>
      <rPr>
        <sz val="9"/>
        <rFont val="Noto Sans CJK SC"/>
        <family val="2"/>
      </rPr>
      <t xml:space="preserve">已有連接</t>
    </r>
    <r>
      <rPr>
        <sz val="9"/>
        <rFont val="Microsoft JhengHei"/>
        <family val="0"/>
        <charset val="1"/>
      </rPr>
      <t xml:space="preserve">12,000+</t>
    </r>
    <r>
      <rPr>
        <sz val="9"/>
        <rFont val="Noto Sans CJK SC"/>
        <family val="2"/>
      </rPr>
      <t xml:space="preserve">機構的規則式電子審查系統；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化升級案未查得＝明確缺口。</t>
    </r>
    <r>
      <rPr>
        <sz val="9"/>
        <rFont val="Microsoft JhengHei"/>
        <family val="0"/>
        <charset val="1"/>
      </rPr>
      <t xml:space="preserve">DRG</t>
    </r>
    <r>
      <rPr>
        <sz val="9"/>
        <rFont val="Noto Sans CJK SC"/>
        <family val="2"/>
      </rPr>
      <t xml:space="preserve">準備期（資料庫＋分組軟體建置中）正是切入窗口。</t>
    </r>
  </si>
  <si>
    <t xml:space="preserve">OPP-52</t>
  </si>
  <si>
    <r>
      <rPr>
        <b val="true"/>
        <sz val="9.5"/>
        <color rgb="FF203864"/>
        <rFont val="Noto Sans CJK SC"/>
        <family val="2"/>
      </rPr>
      <t xml:space="preserve">病床病人流</t>
    </r>
    <r>
      <rPr>
        <b val="true"/>
        <sz val="9.5"/>
        <color rgb="FF203864"/>
        <rFont val="微軟正黑體"/>
        <family val="0"/>
        <charset val="1"/>
      </rPr>
      <t xml:space="preserve">AI</t>
    </r>
    <r>
      <rPr>
        <b val="true"/>
        <sz val="9.5"/>
        <color rgb="FF203864"/>
        <rFont val="Noto Sans CJK SC"/>
        <family val="2"/>
      </rPr>
      <t xml:space="preserve">與手術室排程優化</t>
    </r>
  </si>
  <si>
    <t xml:space="preserve">Patient Flow &amp; OR Scheduling AI</t>
  </si>
  <si>
    <t xml:space="preserve">預測住院量、出院規劃、手術室檔期釋出與使用率優化；醫院年費訂閱</t>
  </si>
  <si>
    <r>
      <rPr>
        <sz val="9"/>
        <color rgb="FF000000"/>
        <rFont val="Noto Sans CJK SC"/>
        <family val="2"/>
      </rPr>
      <t xml:space="preserve">每搶回一個手術室小時就是可計價的收入，是所有營運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裡</t>
    </r>
    <r>
      <rPr>
        <sz val="9"/>
        <color rgb="FF000000"/>
        <rFont val="微軟正黑體"/>
        <family val="0"/>
        <charset val="1"/>
      </rPr>
      <t xml:space="preserve">ROI</t>
    </r>
    <r>
      <rPr>
        <sz val="9"/>
        <color rgb="FF000000"/>
        <rFont val="Noto Sans CJK SC"/>
        <family val="2"/>
      </rPr>
      <t xml:space="preserve">最硬的一項</t>
    </r>
  </si>
  <si>
    <t xml:space="preserve">OPP-53</t>
  </si>
  <si>
    <r>
      <rPr>
        <b val="true"/>
        <sz val="9.5"/>
        <color rgb="FF203864"/>
        <rFont val="Noto Sans CJK SC"/>
        <family val="2"/>
      </rPr>
      <t xml:space="preserve">藥品耗材需求預測</t>
    </r>
    <r>
      <rPr>
        <b val="true"/>
        <sz val="9.5"/>
        <color rgb="FF203864"/>
        <rFont val="微軟正黑體"/>
        <family val="0"/>
        <charset val="1"/>
      </rPr>
      <t xml:space="preserve">AI</t>
    </r>
  </si>
  <si>
    <t xml:space="preserve">Pharmacy &amp; Supply Chain Forecasting AI</t>
  </si>
  <si>
    <t xml:space="preserve">需求預測與自動補貨；醫院藥劑／採購付錢，或由經銷商買單綁住客戶</t>
  </si>
  <si>
    <t xml:space="preserve">Supply Chain Lead</t>
  </si>
  <si>
    <t xml:space="preserve">越南反覆發生缺藥事件、政治敏感度高；走經銷商通路是最快的路徑</t>
  </si>
  <si>
    <t xml:space="preserve">OPP-54</t>
  </si>
  <si>
    <r>
      <rPr>
        <b val="true"/>
        <sz val="9.5"/>
        <color rgb="FF203864"/>
        <rFont val="Noto Sans CJK SC"/>
        <family val="2"/>
      </rPr>
      <t xml:space="preserve">設備預測維護與能耗優化</t>
    </r>
    <r>
      <rPr>
        <b val="true"/>
        <sz val="9.5"/>
        <color rgb="FF203864"/>
        <rFont val="微軟正黑體"/>
        <family val="0"/>
        <charset val="1"/>
      </rPr>
      <t xml:space="preserve">AI</t>
    </r>
  </si>
  <si>
    <t xml:space="preserve">Predictive Maintenance &amp; Energy AI</t>
  </si>
  <si>
    <t xml:space="preserve">影像設備妥善率與空調冰水主機能耗優化，用實測節省額分成</t>
  </si>
  <si>
    <t xml:space="preserve">FM Lead</t>
  </si>
  <si>
    <r>
      <rPr>
        <sz val="9"/>
        <color rgb="FF000000"/>
        <rFont val="Noto Sans CJK SC"/>
        <family val="2"/>
      </rPr>
      <t xml:space="preserve">能耗這一半可以自籌財源、不需臨床法規核准，是最容易先做起來的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應用</t>
    </r>
  </si>
  <si>
    <t xml:space="preserve">OPP-55</t>
  </si>
  <si>
    <r>
      <rPr>
        <b val="true"/>
        <sz val="9.5"/>
        <color rgb="FF203864"/>
        <rFont val="Noto Sans CJK SC"/>
        <family val="2"/>
      </rPr>
      <t xml:space="preserve">敗血症與病情惡化預警</t>
    </r>
    <r>
      <rPr>
        <b val="true"/>
        <sz val="9.5"/>
        <color rgb="FF203864"/>
        <rFont val="微軟正黑體"/>
        <family val="0"/>
        <charset val="1"/>
      </rPr>
      <t xml:space="preserve">AI</t>
    </r>
  </si>
  <si>
    <t xml:space="preserve">Sepsis &amp; Deterioration Early Warning AI</t>
  </si>
  <si>
    <r>
      <rPr>
        <sz val="9"/>
        <color rgb="FF000000"/>
        <rFont val="Noto Sans CJK SC"/>
        <family val="2"/>
      </rPr>
      <t xml:space="preserve">即時生命徵象與檢驗值預警，按床或按院授權給</t>
    </r>
    <r>
      <rPr>
        <sz val="9"/>
        <color rgb="FF000000"/>
        <rFont val="微軟正黑體"/>
        <family val="0"/>
        <charset val="1"/>
      </rPr>
      <t xml:space="preserve">ICU</t>
    </r>
    <r>
      <rPr>
        <sz val="9"/>
        <color rgb="FF000000"/>
        <rFont val="Noto Sans CJK SC"/>
        <family val="2"/>
      </rPr>
      <t xml:space="preserve">與急診</t>
    </r>
  </si>
  <si>
    <r>
      <rPr>
        <sz val="9"/>
        <color rgb="FF000000"/>
        <rFont val="Noto Sans CJK SC"/>
        <family val="2"/>
      </rPr>
      <t xml:space="preserve">需要即時結構化病歷資料，被 </t>
    </r>
    <r>
      <rPr>
        <sz val="9"/>
        <color rgb="FF000000"/>
        <rFont val="微軟正黑體"/>
        <family val="0"/>
        <charset val="1"/>
      </rPr>
      <t xml:space="preserve">OPP-38 </t>
    </r>
    <r>
      <rPr>
        <sz val="9"/>
        <color rgb="FF000000"/>
        <rFont val="Noto Sans CJK SC"/>
        <family val="2"/>
      </rPr>
      <t xml:space="preserve">醫材介接與 </t>
    </r>
    <r>
      <rPr>
        <sz val="9"/>
        <color rgb="FF000000"/>
        <rFont val="微軟正黑體"/>
        <family val="0"/>
        <charset val="1"/>
      </rPr>
      <t xml:space="preserve">OPP-31 </t>
    </r>
    <r>
      <rPr>
        <sz val="9"/>
        <color rgb="FF000000"/>
        <rFont val="Noto Sans CJK SC"/>
        <family val="2"/>
      </rPr>
      <t xml:space="preserve">電子病歷卡住，順序上要排在它們後面</t>
    </r>
  </si>
  <si>
    <t xml:space="preserve">OPP-56</t>
  </si>
  <si>
    <t xml:space="preserve">越南語分診聊天機器人與病人助理</t>
  </si>
  <si>
    <t xml:space="preserve">Vietnamese Triage Chatbot</t>
  </si>
  <si>
    <t xml:space="preserve">症狀分診、預約導引與就診前資料收集；醫院、保險公司或電信業者付錢</t>
  </si>
  <si>
    <t xml:space="preserve">Digital Patient Lead</t>
  </si>
  <si>
    <r>
      <rPr>
        <sz val="9"/>
        <color rgb="FF000000"/>
        <rFont val="Noto Sans CJK SC"/>
        <family val="2"/>
      </rPr>
      <t xml:space="preserve">市面上多為行銷用玩具、缺臨床治理；</t>
    </r>
    <r>
      <rPr>
        <sz val="9"/>
        <color rgb="FF000000"/>
        <rFont val="微軟正黑體"/>
        <family val="0"/>
        <charset val="1"/>
      </rPr>
      <t xml:space="preserve">2026/3</t>
    </r>
    <r>
      <rPr>
        <sz val="9"/>
        <color rgb="FF000000"/>
        <rFont val="Noto Sans CJK SC"/>
        <family val="2"/>
      </rPr>
      <t xml:space="preserve">起中風險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有揭露義務，做得合規反而是差異化</t>
    </r>
  </si>
  <si>
    <t xml:space="preserve">OPP-57</t>
  </si>
  <si>
    <r>
      <rPr>
        <b val="true"/>
        <sz val="9.5"/>
        <color rgb="FF203864"/>
        <rFont val="Noto Sans CJK SC"/>
        <family val="2"/>
      </rPr>
      <t xml:space="preserve">院內</t>
    </r>
    <r>
      <rPr>
        <b val="true"/>
        <sz val="9.5"/>
        <color rgb="FF203864"/>
        <rFont val="微軟正黑體"/>
        <family val="0"/>
        <charset val="1"/>
      </rPr>
      <t xml:space="preserve">GPU</t>
    </r>
    <r>
      <rPr>
        <b val="true"/>
        <sz val="9.5"/>
        <color rgb="FF203864"/>
        <rFont val="Noto Sans CJK SC"/>
        <family val="2"/>
      </rPr>
      <t xml:space="preserve">與邊緣推論基礎設施</t>
    </r>
  </si>
  <si>
    <t xml:space="preserve">In-hospital GPU &amp; Edge Inference</t>
  </si>
  <si>
    <r>
      <rPr>
        <sz val="9"/>
        <color rgb="FF000000"/>
        <rFont val="Noto Sans CJK SC"/>
        <family val="2"/>
      </rPr>
      <t xml:space="preserve">把推論主機放在</t>
    </r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HIS</t>
    </r>
    <r>
      <rPr>
        <sz val="9"/>
        <color rgb="FF000000"/>
        <rFont val="Noto Sans CJK SC"/>
        <family val="2"/>
      </rPr>
      <t xml:space="preserve">旁邊，病人資料不出院區；硬體加維護，或按月代管</t>
    </r>
  </si>
  <si>
    <r>
      <rPr>
        <sz val="9"/>
        <color rgb="FF000000"/>
        <rFont val="Noto Sans CJK SC"/>
        <family val="2"/>
      </rPr>
      <t xml:space="preserve">★是個資法跨境限制的合規解，賣在所有臨床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的下面——群晶最自然的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搭售點</t>
    </r>
  </si>
  <si>
    <r>
      <rPr>
        <sz val="9"/>
        <color rgb="FF000000"/>
        <rFont val="微軟正黑體"/>
        <family val="0"/>
        <charset val="1"/>
      </rPr>
      <t xml:space="preserve">NVIDIA </t>
    </r>
    <r>
      <rPr>
        <sz val="9"/>
        <color rgb="FF000000"/>
        <rFont val="Noto Sans CJK SC"/>
        <family val="2"/>
      </rPr>
      <t xml:space="preserve">經銷體系與雲端業者</t>
    </r>
  </si>
  <si>
    <r>
      <rPr>
        <sz val="9"/>
        <color rgb="FF000000"/>
        <rFont val="Noto Sans CJK SC"/>
        <family val="2"/>
      </rPr>
      <t xml:space="preserve">醫院級邊緣部署（合規＋整合</t>
    </r>
    <r>
      <rPr>
        <sz val="9"/>
        <color rgb="FF000000"/>
        <rFont val="微軟正黑體"/>
        <family val="0"/>
        <charset val="1"/>
      </rPr>
      <t xml:space="preserve">PACS/HIS</t>
    </r>
    <r>
      <rPr>
        <sz val="9"/>
        <color rgb="FF000000"/>
        <rFont val="Noto Sans CJK SC"/>
        <family val="2"/>
      </rPr>
      <t xml:space="preserve">），群晶本業的自然延伸</t>
    </r>
  </si>
  <si>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負載推升機櫃密度</t>
    </r>
    <r>
      <rPr>
        <sz val="9"/>
        <rFont val="Microsoft JhengHei"/>
        <family val="0"/>
        <charset val="1"/>
      </rPr>
      <t xml:space="preserve">&gt;20kW</t>
    </r>
    <r>
      <rPr>
        <sz val="9"/>
        <rFont val="Noto Sans CJK SC"/>
        <family val="2"/>
      </rPr>
      <t xml:space="preserve">與液冷需求（</t>
    </r>
    <r>
      <rPr>
        <sz val="9"/>
        <rFont val="Microsoft JhengHei"/>
        <family val="0"/>
        <charset val="1"/>
      </rPr>
      <t xml:space="preserve">DC</t>
    </r>
    <r>
      <rPr>
        <sz val="9"/>
        <rFont val="Noto Sans CJK SC"/>
        <family val="2"/>
      </rPr>
      <t xml:space="preserve">市場趨勢）；醫療專屬邊緣案例未查得。</t>
    </r>
  </si>
  <si>
    <t xml:space="preserve">OPP-58</t>
  </si>
  <si>
    <r>
      <rPr>
        <b val="true"/>
        <sz val="9.5"/>
        <color rgb="FF203864"/>
        <rFont val="Noto Sans CJK SC"/>
        <family val="2"/>
      </rPr>
      <t xml:space="preserve">醫院資料湖、去識別化與</t>
    </r>
    <r>
      <rPr>
        <b val="true"/>
        <sz val="9.5"/>
        <color rgb="FF203864"/>
        <rFont val="微軟正黑體"/>
        <family val="0"/>
        <charset val="1"/>
      </rPr>
      <t xml:space="preserve">AI</t>
    </r>
    <r>
      <rPr>
        <b val="true"/>
        <sz val="9.5"/>
        <color rgb="FF203864"/>
        <rFont val="Noto Sans CJK SC"/>
        <family val="2"/>
      </rPr>
      <t xml:space="preserve">訓練資料層</t>
    </r>
  </si>
  <si>
    <t xml:space="preserve">Hospital Data Lake &amp; De-identification</t>
  </si>
  <si>
    <r>
      <rPr>
        <sz val="9"/>
        <color rgb="FF000000"/>
        <rFont val="微軟正黑體"/>
        <family val="0"/>
        <charset val="1"/>
      </rPr>
      <t xml:space="preserve">DICOM/HL7/FHIR</t>
    </r>
    <r>
      <rPr>
        <sz val="9"/>
        <color rgb="FF000000"/>
        <rFont val="Noto Sans CJK SC"/>
        <family val="2"/>
      </rPr>
      <t xml:space="preserve">正規化、去識別化與治理層；醫院專案或省級計畫付錢</t>
    </r>
  </si>
  <si>
    <r>
      <rPr>
        <sz val="9"/>
        <color rgb="FF000000"/>
        <rFont val="微軟正黑體"/>
        <family val="0"/>
        <charset val="1"/>
      </rPr>
      <t xml:space="preserve">★2026-2028</t>
    </r>
    <r>
      <rPr>
        <sz val="9"/>
        <color rgb="FF000000"/>
        <rFont val="Noto Sans CJK SC"/>
        <family val="2"/>
      </rPr>
      <t xml:space="preserve">實際被編到預算的就是這一層，而且是</t>
    </r>
    <r>
      <rPr>
        <sz val="9"/>
        <color rgb="FF000000"/>
        <rFont val="微軟正黑體"/>
        <family val="0"/>
        <charset val="1"/>
      </rPr>
      <t xml:space="preserve">OPP-49/50/52/55</t>
    </r>
    <r>
      <rPr>
        <sz val="9"/>
        <color rgb="FF000000"/>
        <rFont val="Noto Sans CJK SC"/>
        <family val="2"/>
      </rPr>
      <t xml:space="preserve">的共同前提</t>
    </r>
  </si>
  <si>
    <t xml:space="preserve">OPP-59</t>
  </si>
  <si>
    <r>
      <rPr>
        <b val="true"/>
        <sz val="9.5"/>
        <color rgb="FF203864"/>
        <rFont val="Noto Sans CJK SC"/>
        <family val="2"/>
      </rPr>
      <t xml:space="preserve">醫療</t>
    </r>
    <r>
      <rPr>
        <b val="true"/>
        <sz val="9.5"/>
        <color rgb="FF203864"/>
        <rFont val="微軟正黑體"/>
        <family val="0"/>
        <charset val="1"/>
      </rPr>
      <t xml:space="preserve">AI</t>
    </r>
    <r>
      <rPr>
        <b val="true"/>
        <sz val="9.5"/>
        <color rgb="FF203864"/>
        <rFont val="Noto Sans CJK SC"/>
        <family val="2"/>
      </rPr>
      <t xml:space="preserve">法規登記、在地驗證與模型治理</t>
    </r>
  </si>
  <si>
    <t xml:space="preserve">SaMD Registration, Validation &amp; AI Governance</t>
  </si>
  <si>
    <r>
      <rPr>
        <sz val="9"/>
        <color rgb="FF000000"/>
        <rFont val="Noto Sans CJK SC"/>
        <family val="2"/>
      </rPr>
      <t xml:space="preserve">軟體醫材登記、在地臨床驗證、上線後效能監控與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法高風險文件包；賣給要進越南的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廠商與醫院</t>
    </r>
  </si>
  <si>
    <r>
      <rPr>
        <sz val="9"/>
        <color rgb="FF000000"/>
        <rFont val="Noto Sans CJK SC"/>
        <family val="2"/>
      </rPr>
      <t xml:space="preserve">★法規造出來的新市場：越南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法</t>
    </r>
    <r>
      <rPr>
        <sz val="9"/>
        <color rgb="FF000000"/>
        <rFont val="微軟正黑體"/>
        <family val="0"/>
        <charset val="1"/>
      </rPr>
      <t xml:space="preserve">2026/3/1</t>
    </r>
    <r>
      <rPr>
        <sz val="9"/>
        <color rgb="FF000000"/>
        <rFont val="Noto Sans CJK SC"/>
        <family val="2"/>
      </rPr>
      <t xml:space="preserve">生效、既有醫療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系統</t>
    </r>
    <r>
      <rPr>
        <sz val="9"/>
        <color rgb="FF000000"/>
        <rFont val="微軟正黑體"/>
        <family val="0"/>
        <charset val="1"/>
      </rPr>
      <t xml:space="preserve">2027/9/1</t>
    </r>
    <r>
      <rPr>
        <sz val="9"/>
        <color rgb="FF000000"/>
        <rFont val="Noto Sans CJK SC"/>
        <family val="2"/>
      </rPr>
      <t xml:space="preserve">前須補齊；越南的資料標註量能可轉作在地驗證的供應鏈</t>
    </r>
  </si>
  <si>
    <r>
      <rPr>
        <sz val="9"/>
        <color rgb="FF000000"/>
        <rFont val="Noto Sans CJK SC"/>
        <family val="2"/>
      </rPr>
      <t xml:space="preserve">無在地專業者（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法 </t>
    </r>
    <r>
      <rPr>
        <sz val="9"/>
        <color rgb="FF000000"/>
        <rFont val="微軟正黑體"/>
        <family val="0"/>
        <charset val="1"/>
      </rPr>
      <t xml:space="preserve">2026/3 </t>
    </r>
    <r>
      <rPr>
        <sz val="9"/>
        <color rgb="FF000000"/>
        <rFont val="Noto Sans CJK SC"/>
        <family val="2"/>
      </rPr>
      <t xml:space="preserve">才生效）</t>
    </r>
  </si>
  <si>
    <r>
      <rPr>
        <sz val="9"/>
        <color rgb="FF000000"/>
        <rFont val="Noto Sans CJK SC"/>
        <family val="2"/>
      </rPr>
      <t xml:space="preserve">首波 </t>
    </r>
    <r>
      <rPr>
        <sz val="9"/>
        <color rgb="FF000000"/>
        <rFont val="微軟正黑體"/>
        <family val="0"/>
        <charset val="1"/>
      </rPr>
      <t xml:space="preserve">SaMD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AI </t>
    </r>
    <r>
      <rPr>
        <sz val="9"/>
        <color rgb="FF000000"/>
        <rFont val="Noto Sans CJK SC"/>
        <family val="2"/>
      </rPr>
      <t xml:space="preserve">法雙證顧問，賣給要進越南的 </t>
    </r>
    <r>
      <rPr>
        <sz val="9"/>
        <color rgb="FF000000"/>
        <rFont val="微軟正黑體"/>
        <family val="0"/>
        <charset val="1"/>
      </rPr>
      <t xml:space="preserve">AI </t>
    </r>
    <r>
      <rPr>
        <sz val="9"/>
        <color rgb="FF000000"/>
        <rFont val="Noto Sans CJK SC"/>
        <family val="2"/>
      </rPr>
      <t xml:space="preserve">廠商</t>
    </r>
  </si>
  <si>
    <r>
      <rPr>
        <sz val="9"/>
        <rFont val="Microsoft JhengHei"/>
        <family val="0"/>
        <charset val="1"/>
      </rPr>
      <t xml:space="preserve">SaMD</t>
    </r>
    <r>
      <rPr>
        <sz val="9"/>
        <rFont val="Noto Sans CJK SC"/>
        <family val="2"/>
      </rPr>
      <t xml:space="preserve">循</t>
    </r>
    <r>
      <rPr>
        <sz val="9"/>
        <rFont val="Microsoft JhengHei"/>
        <family val="0"/>
        <charset val="1"/>
      </rPr>
      <t xml:space="preserve">Decree 98/2021</t>
    </r>
    <r>
      <rPr>
        <sz val="9"/>
        <rFont val="Noto Sans CJK SC"/>
        <family val="2"/>
      </rPr>
      <t xml:space="preserve">醫材分類；《數位科技產業法》</t>
    </r>
    <r>
      <rPr>
        <sz val="9"/>
        <rFont val="Microsoft JhengHei"/>
        <family val="0"/>
        <charset val="1"/>
      </rPr>
      <t xml:space="preserve">2026-01-01</t>
    </r>
    <r>
      <rPr>
        <sz val="9"/>
        <rFont val="Noto Sans CJK SC"/>
        <family val="2"/>
      </rPr>
      <t xml:space="preserve">生效（首部含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專章，高風險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須許可）；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專法草案</t>
    </r>
    <r>
      <rPr>
        <sz val="9"/>
        <rFont val="Microsoft JhengHei"/>
        <family val="0"/>
        <charset val="1"/>
      </rPr>
      <t xml:space="preserve">2025-10</t>
    </r>
    <r>
      <rPr>
        <sz val="9"/>
        <rFont val="Noto Sans CJK SC"/>
        <family val="2"/>
      </rPr>
      <t xml:space="preserve">徵詢、風險分級參考歐盟——雙軌合規顧問本身即商機。</t>
    </r>
  </si>
  <si>
    <t xml:space="preserve">OPP-60</t>
  </si>
  <si>
    <r>
      <rPr>
        <b val="true"/>
        <sz val="9.5"/>
        <color rgb="FF203864"/>
        <rFont val="微軟正黑體"/>
        <family val="0"/>
        <charset val="1"/>
      </rPr>
      <t xml:space="preserve">JCI</t>
    </r>
    <r>
      <rPr>
        <b val="true"/>
        <sz val="9.5"/>
        <color rgb="FF203864"/>
        <rFont val="Noto Sans CJK SC"/>
        <family val="2"/>
      </rPr>
      <t xml:space="preserve">品質認證與病安體系導入</t>
    </r>
  </si>
  <si>
    <t xml:space="preserve">JCI Accreditation &amp; Patient Safety</t>
  </si>
  <si>
    <r>
      <rPr>
        <sz val="9"/>
        <color rgb="FF000000"/>
        <rFont val="微軟正黑體"/>
        <family val="0"/>
        <charset val="1"/>
      </rPr>
      <t xml:space="preserve">G </t>
    </r>
    <r>
      <rPr>
        <sz val="9"/>
        <color rgb="FF000000"/>
        <rFont val="Noto Sans CJK SC"/>
        <family val="2"/>
      </rPr>
      <t xml:space="preserve">品質認證與人才</t>
    </r>
  </si>
  <si>
    <t xml:space="preserve">品質管理制度、感控、用藥安全與事件通報體系導入；認證本身就是醫院的招牌與定價依據</t>
  </si>
  <si>
    <t xml:space="preserve">Quality Director</t>
  </si>
  <si>
    <r>
      <rPr>
        <sz val="9"/>
        <color rgb="FF000000"/>
        <rFont val="微軟正黑體"/>
        <family val="0"/>
        <charset val="1"/>
      </rPr>
      <t xml:space="preserve">JCI</t>
    </r>
    <r>
      <rPr>
        <sz val="9"/>
        <color rgb="FF000000"/>
        <rFont val="Noto Sans CJK SC"/>
        <family val="2"/>
      </rPr>
      <t xml:space="preserve">為國際自願性認證，可與越南醫院評鑑並行；顧問期通常</t>
    </r>
    <r>
      <rPr>
        <sz val="9"/>
        <color rgb="FF000000"/>
        <rFont val="微軟正黑體"/>
        <family val="0"/>
        <charset val="1"/>
      </rPr>
      <t xml:space="preserve">18-24</t>
    </r>
    <r>
      <rPr>
        <sz val="9"/>
        <color rgb="FF000000"/>
        <rFont val="Noto Sans CJK SC"/>
        <family val="2"/>
      </rPr>
      <t xml:space="preserve">個月</t>
    </r>
  </si>
  <si>
    <t xml:space="preserve">國際自由顧問＋新加坡體系</t>
  </si>
  <si>
    <r>
      <rPr>
        <sz val="9"/>
        <color rgb="FF000000"/>
        <rFont val="Noto Sans CJK SC"/>
        <family val="2"/>
      </rPr>
      <t xml:space="preserve">台灣 </t>
    </r>
    <r>
      <rPr>
        <sz val="9"/>
        <color rgb="FF000000"/>
        <rFont val="微軟正黑體"/>
        <family val="0"/>
        <charset val="1"/>
      </rPr>
      <t xml:space="preserve">JCI </t>
    </r>
    <r>
      <rPr>
        <sz val="9"/>
        <color rgb="FF000000"/>
        <rFont val="Noto Sans CJK SC"/>
        <family val="2"/>
      </rPr>
      <t xml:space="preserve">醫院實地見習＋中文輔導</t>
    </r>
  </si>
  <si>
    <r>
      <rPr>
        <b val="true"/>
        <sz val="9"/>
        <color rgb="FFFFFFFF"/>
        <rFont val="Microsoft JhengHei"/>
        <family val="0"/>
        <charset val="1"/>
      </rPr>
      <t xml:space="preserve">L6 </t>
    </r>
    <r>
      <rPr>
        <b val="true"/>
        <sz val="9"/>
        <color rgb="FFFFFFFF"/>
        <rFont val="Noto Sans CJK SC"/>
        <family val="2"/>
      </rPr>
      <t xml:space="preserve">照護營運層</t>
    </r>
  </si>
  <si>
    <r>
      <rPr>
        <sz val="9"/>
        <rFont val="Noto Sans CJK SC"/>
        <family val="2"/>
      </rPr>
      <t xml:space="preserve">官方</t>
    </r>
    <r>
      <rPr>
        <sz val="9"/>
        <rFont val="Microsoft JhengHei"/>
        <family val="0"/>
        <charset val="1"/>
      </rPr>
      <t xml:space="preserve">2025-12-31</t>
    </r>
    <r>
      <rPr>
        <sz val="9"/>
        <rFont val="Noto Sans CJK SC"/>
        <family val="2"/>
      </rPr>
      <t xml:space="preserve">以</t>
    </r>
    <r>
      <rPr>
        <sz val="9"/>
        <rFont val="Microsoft JhengHei"/>
        <family val="0"/>
        <charset val="1"/>
      </rPr>
      <t xml:space="preserve">4024/QĐ-BYT</t>
    </r>
    <r>
      <rPr>
        <sz val="9"/>
        <rFont val="Noto Sans CJK SC"/>
        <family val="2"/>
      </rPr>
      <t xml:space="preserve">承認</t>
    </r>
    <r>
      <rPr>
        <sz val="9"/>
        <rFont val="Microsoft JhengHei"/>
        <family val="0"/>
        <charset val="1"/>
      </rPr>
      <t xml:space="preserve">JCI</t>
    </r>
    <r>
      <rPr>
        <sz val="9"/>
        <rFont val="Noto Sans CJK SC"/>
        <family val="2"/>
      </rPr>
      <t xml:space="preserve">；現況</t>
    </r>
    <r>
      <rPr>
        <sz val="9"/>
        <rFont val="Microsoft JhengHei"/>
        <family val="0"/>
        <charset val="1"/>
      </rPr>
      <t xml:space="preserve">9</t>
    </r>
    <r>
      <rPr>
        <sz val="9"/>
        <rFont val="Noto Sans CJK SC"/>
        <family val="2"/>
      </rPr>
      <t xml:space="preserve">機構（公立</t>
    </r>
    <r>
      <rPr>
        <sz val="9"/>
        <rFont val="Microsoft JhengHei"/>
        <family val="0"/>
        <charset val="1"/>
      </rPr>
      <t xml:space="preserve">1</t>
    </r>
    <r>
      <rPr>
        <sz val="9"/>
        <rFont val="Noto Sans CJK SC"/>
        <family val="2"/>
      </rPr>
      <t xml:space="preserve">家）；</t>
    </r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年目標</t>
    </r>
    <r>
      <rPr>
        <sz val="9"/>
        <rFont val="Microsoft JhengHei"/>
        <family val="0"/>
        <charset val="1"/>
      </rPr>
      <t xml:space="preserve">15-20</t>
    </r>
    <r>
      <rPr>
        <sz val="9"/>
        <rFont val="Noto Sans CJK SC"/>
        <family val="2"/>
      </rPr>
      <t xml:space="preserve">家（含公立</t>
    </r>
    <r>
      <rPr>
        <sz val="9"/>
        <rFont val="Microsoft JhengHei"/>
        <family val="0"/>
        <charset val="1"/>
      </rPr>
      <t xml:space="preserve">5</t>
    </r>
    <r>
      <rPr>
        <sz val="9"/>
        <rFont val="Noto Sans CJK SC"/>
        <family val="2"/>
      </rPr>
      <t xml:space="preserve">家）——輔導市場從私立選配變公立政策任務。公立首例：血液醫院</t>
    </r>
    <r>
      <rPr>
        <sz val="9"/>
        <rFont val="Microsoft JhengHei"/>
        <family val="0"/>
        <charset val="1"/>
      </rPr>
      <t xml:space="preserve">16</t>
    </r>
    <r>
      <rPr>
        <sz val="9"/>
        <rFont val="Noto Sans CJK SC"/>
        <family val="2"/>
      </rPr>
      <t xml:space="preserve">個月完成、</t>
    </r>
    <r>
      <rPr>
        <sz val="9"/>
        <rFont val="Microsoft JhengHei"/>
        <family val="0"/>
        <charset val="1"/>
      </rPr>
      <t xml:space="preserve">9.89/10</t>
    </r>
    <r>
      <rPr>
        <sz val="9"/>
        <rFont val="Noto Sans CJK SC"/>
        <family val="2"/>
      </rPr>
      <t xml:space="preserve">。</t>
    </r>
  </si>
  <si>
    <r>
      <rPr>
        <sz val="9"/>
        <rFont val="Noto Sans CJK SC"/>
        <family val="2"/>
      </rPr>
      <t xml:space="preserve">衛生部</t>
    </r>
    <r>
      <rPr>
        <sz val="9"/>
        <rFont val="Microsoft JhengHei"/>
        <family val="0"/>
        <charset val="1"/>
      </rPr>
      <t xml:space="preserve">2025-12-31</t>
    </r>
    <r>
      <rPr>
        <sz val="9"/>
        <rFont val="Noto Sans CJK SC"/>
        <family val="2"/>
      </rPr>
      <t xml:space="preserve">以</t>
    </r>
    <r>
      <rPr>
        <sz val="9"/>
        <rFont val="Microsoft JhengHei"/>
        <family val="0"/>
        <charset val="1"/>
      </rPr>
      <t xml:space="preserve">4024/QĐ-BYT</t>
    </r>
    <r>
      <rPr>
        <sz val="9"/>
        <rFont val="Noto Sans CJK SC"/>
        <family val="2"/>
      </rPr>
      <t xml:space="preserve">正式承認</t>
    </r>
    <r>
      <rPr>
        <sz val="9"/>
        <rFont val="Microsoft JhengHei"/>
        <family val="0"/>
        <charset val="1"/>
      </rPr>
      <t xml:space="preserve">JCI</t>
    </r>
    <r>
      <rPr>
        <sz val="9"/>
        <rFont val="Noto Sans CJK SC"/>
        <family val="2"/>
      </rPr>
      <t xml:space="preserve">標準；截至</t>
    </r>
    <r>
      <rPr>
        <sz val="9"/>
        <rFont val="Microsoft JhengHei"/>
        <family val="0"/>
        <charset val="1"/>
      </rPr>
      <t xml:space="preserve">2026-01</t>
    </r>
    <r>
      <rPr>
        <sz val="9"/>
        <rFont val="Noto Sans CJK SC"/>
        <family val="2"/>
      </rPr>
      <t xml:space="preserve">全越</t>
    </r>
    <r>
      <rPr>
        <sz val="9"/>
        <rFont val="Microsoft JhengHei"/>
        <family val="0"/>
        <charset val="1"/>
      </rPr>
      <t xml:space="preserve">9</t>
    </r>
    <r>
      <rPr>
        <sz val="9"/>
        <rFont val="Noto Sans CJK SC"/>
        <family val="2"/>
      </rPr>
      <t xml:space="preserve">機構持</t>
    </r>
    <r>
      <rPr>
        <sz val="9"/>
        <rFont val="Microsoft JhengHei"/>
        <family val="0"/>
        <charset val="1"/>
      </rPr>
      <t xml:space="preserve">JCI</t>
    </r>
    <r>
      <rPr>
        <sz val="9"/>
        <rFont val="Noto Sans CJK SC"/>
        <family val="2"/>
      </rPr>
      <t xml:space="preserve">認證（公立僅</t>
    </r>
    <r>
      <rPr>
        <sz val="9"/>
        <rFont val="Microsoft JhengHei"/>
        <family val="0"/>
        <charset val="1"/>
      </rPr>
      <t xml:space="preserve">1</t>
    </r>
    <r>
      <rPr>
        <sz val="9"/>
        <rFont val="Noto Sans CJK SC"/>
        <family val="2"/>
      </rPr>
      <t xml:space="preserve">家：胡志明市血液醫院，首評</t>
    </r>
    <r>
      <rPr>
        <sz val="9"/>
        <rFont val="Microsoft JhengHei"/>
        <family val="0"/>
        <charset val="1"/>
      </rPr>
      <t xml:space="preserve">9.89/10</t>
    </r>
    <r>
      <rPr>
        <sz val="9"/>
        <rFont val="Noto Sans CJK SC"/>
        <family val="2"/>
      </rPr>
      <t xml:space="preserve">、費時</t>
    </r>
    <r>
      <rPr>
        <sz val="9"/>
        <rFont val="Microsoft JhengHei"/>
        <family val="0"/>
        <charset val="1"/>
      </rPr>
      <t xml:space="preserve">16</t>
    </r>
    <r>
      <rPr>
        <sz val="9"/>
        <rFont val="Noto Sans CJK SC"/>
        <family val="2"/>
      </rPr>
      <t xml:space="preserve">個月）。</t>
    </r>
    <r>
      <rPr>
        <sz val="9"/>
        <rFont val="Microsoft JhengHei"/>
        <family val="0"/>
        <charset val="1"/>
      </rPr>
      <t xml:space="preserve">35/2024/TT-BYT</t>
    </r>
    <r>
      <rPr>
        <sz val="9"/>
        <rFont val="Noto Sans CJK SC"/>
        <family val="2"/>
      </rPr>
      <t xml:space="preserve">五項基本品質標準</t>
    </r>
    <r>
      <rPr>
        <sz val="9"/>
        <rFont val="Microsoft JhengHei"/>
        <family val="0"/>
        <charset val="1"/>
      </rPr>
      <t xml:space="preserve">2025-01-01</t>
    </r>
    <r>
      <rPr>
        <sz val="9"/>
        <rFont val="Noto Sans CJK SC"/>
        <family val="2"/>
      </rPr>
      <t xml:space="preserve">生效。</t>
    </r>
    <r>
      <rPr>
        <sz val="9"/>
        <rFont val="Microsoft JhengHei"/>
        <family val="0"/>
        <charset val="1"/>
      </rPr>
      <t xml:space="preserve">VILAS Med</t>
    </r>
    <r>
      <rPr>
        <sz val="9"/>
        <rFont val="Noto Sans CJK SC"/>
        <family val="2"/>
      </rPr>
      <t xml:space="preserve">累計</t>
    </r>
    <r>
      <rPr>
        <sz val="9"/>
        <rFont val="Microsoft JhengHei"/>
        <family val="0"/>
        <charset val="1"/>
      </rPr>
      <t xml:space="preserve">200+</t>
    </r>
    <r>
      <rPr>
        <sz val="9"/>
        <rFont val="Noto Sans CJK SC"/>
        <family val="2"/>
      </rPr>
      <t xml:space="preserve">實驗室。</t>
    </r>
    <r>
      <rPr>
        <sz val="9"/>
        <rFont val="Microsoft JhengHei"/>
        <family val="0"/>
        <charset val="1"/>
      </rPr>
      <t xml:space="preserve">2027-01-01</t>
    </r>
    <r>
      <rPr>
        <sz val="9"/>
        <rFont val="Noto Sans CJK SC"/>
        <family val="2"/>
      </rPr>
      <t xml:space="preserve">起醫師須通過國家執業能力考試（新制</t>
    </r>
    <r>
      <rPr>
        <sz val="9"/>
        <rFont val="Microsoft JhengHei"/>
        <family val="0"/>
        <charset val="1"/>
      </rPr>
      <t xml:space="preserve">5</t>
    </r>
    <r>
      <rPr>
        <sz val="9"/>
        <rFont val="Noto Sans CJK SC"/>
        <family val="2"/>
      </rPr>
      <t xml:space="preserve">年換照＋</t>
    </r>
    <r>
      <rPr>
        <sz val="9"/>
        <rFont val="Microsoft JhengHei"/>
        <family val="0"/>
        <charset val="1"/>
      </rPr>
      <t xml:space="preserve">CME</t>
    </r>
    <r>
      <rPr>
        <sz val="9"/>
        <rFont val="Noto Sans CJK SC"/>
        <family val="2"/>
      </rPr>
      <t xml:space="preserve">）。</t>
    </r>
  </si>
  <si>
    <t xml:space="preserve">OPP-61</t>
  </si>
  <si>
    <r>
      <rPr>
        <b val="true"/>
        <sz val="9.5"/>
        <color rgb="FF203864"/>
        <rFont val="微軟正黑體"/>
        <family val="0"/>
        <charset val="1"/>
      </rPr>
      <t xml:space="preserve">ISO 15189</t>
    </r>
    <r>
      <rPr>
        <b val="true"/>
        <sz val="9.5"/>
        <color rgb="FF203864"/>
        <rFont val="Noto Sans CJK SC"/>
        <family val="2"/>
      </rPr>
      <t xml:space="preserve">檢驗室認證輔導</t>
    </r>
  </si>
  <si>
    <t xml:space="preserve">ISO 15189 Laboratory Accreditation</t>
  </si>
  <si>
    <t xml:space="preserve">檢驗室品質系統建置與認證輔導；醫院或私立檢驗連鎖付錢</t>
  </si>
  <si>
    <r>
      <rPr>
        <sz val="9"/>
        <color rgb="FF000000"/>
        <rFont val="Noto Sans CJK SC"/>
        <family val="2"/>
      </rPr>
      <t xml:space="preserve">全國</t>
    </r>
    <r>
      <rPr>
        <sz val="9"/>
        <color rgb="FF000000"/>
        <rFont val="微軟正黑體"/>
        <family val="0"/>
        <charset val="1"/>
      </rPr>
      <t xml:space="preserve">3000</t>
    </r>
    <r>
      <rPr>
        <sz val="9"/>
        <color rgb="FF000000"/>
        <rFont val="Noto Sans CJK SC"/>
        <family val="2"/>
      </rPr>
      <t xml:space="preserve">家檢驗室僅約</t>
    </r>
    <r>
      <rPr>
        <sz val="9"/>
        <color rgb="FF000000"/>
        <rFont val="微軟正黑體"/>
        <family val="0"/>
        <charset val="1"/>
      </rPr>
      <t xml:space="preserve">10%</t>
    </r>
    <r>
      <rPr>
        <sz val="9"/>
        <color rgb="FF000000"/>
        <rFont val="Noto Sans CJK SC"/>
        <family val="2"/>
      </rPr>
      <t xml:space="preserve">標準化——全民健檢政策上路後，認證會變成接案門票</t>
    </r>
  </si>
  <si>
    <r>
      <rPr>
        <sz val="9"/>
        <rFont val="Microsoft JhengHei"/>
        <family val="0"/>
        <charset val="1"/>
      </rPr>
      <t xml:space="preserve">VILAS Med</t>
    </r>
    <r>
      <rPr>
        <sz val="9"/>
        <rFont val="Noto Sans CJK SC"/>
        <family val="2"/>
      </rPr>
      <t xml:space="preserve">累計</t>
    </r>
    <r>
      <rPr>
        <sz val="9"/>
        <rFont val="Microsoft JhengHei"/>
        <family val="0"/>
        <charset val="1"/>
      </rPr>
      <t xml:space="preserve">200+</t>
    </r>
    <r>
      <rPr>
        <sz val="9"/>
        <rFont val="Noto Sans CJK SC"/>
        <family val="2"/>
      </rPr>
      <t xml:space="preserve">實驗室、具</t>
    </r>
    <r>
      <rPr>
        <sz val="9"/>
        <rFont val="Microsoft JhengHei"/>
        <family val="0"/>
        <charset val="1"/>
      </rPr>
      <t xml:space="preserve">ILAC MRA</t>
    </r>
    <r>
      <rPr>
        <sz val="9"/>
        <rFont val="Noto Sans CJK SC"/>
        <family val="2"/>
      </rPr>
      <t xml:space="preserve">地位——本土認證體系成熟，外部輔導空間在</t>
    </r>
    <r>
      <rPr>
        <sz val="9"/>
        <rFont val="Microsoft JhengHei"/>
        <family val="0"/>
        <charset val="1"/>
      </rPr>
      <t xml:space="preserve">15189:2022</t>
    </r>
    <r>
      <rPr>
        <sz val="9"/>
        <rFont val="Noto Sans CJK SC"/>
        <family val="2"/>
      </rPr>
      <t xml:space="preserve">轉版、</t>
    </r>
    <r>
      <rPr>
        <sz val="9"/>
        <rFont val="Microsoft JhengHei"/>
        <family val="0"/>
        <charset val="1"/>
      </rPr>
      <t xml:space="preserve">POCT</t>
    </r>
    <r>
      <rPr>
        <sz val="9"/>
        <rFont val="Noto Sans CJK SC"/>
        <family val="2"/>
      </rPr>
      <t xml:space="preserve">、影像、細胞治療實驗室等新範圍。</t>
    </r>
  </si>
  <si>
    <t xml:space="preserve">OPP-62</t>
  </si>
  <si>
    <t xml:space="preserve">臨床人才培訓、模擬中心與技術移轉</t>
  </si>
  <si>
    <t xml:space="preserve">Clinical Workforce &amp; Tech Transfer</t>
  </si>
  <si>
    <r>
      <rPr>
        <sz val="9"/>
        <color rgb="FF000000"/>
        <rFont val="Noto Sans CJK SC"/>
        <family val="2"/>
      </rPr>
      <t xml:space="preserve">種子教師培訓、模擬中心、開院演練與職能認證；常可爭取政府或</t>
    </r>
    <r>
      <rPr>
        <sz val="9"/>
        <color rgb="FF000000"/>
        <rFont val="微軟正黑體"/>
        <family val="0"/>
        <charset val="1"/>
      </rPr>
      <t xml:space="preserve">ODA</t>
    </r>
    <r>
      <rPr>
        <sz val="9"/>
        <color rgb="FF000000"/>
        <rFont val="Noto Sans CJK SC"/>
        <family val="2"/>
      </rPr>
      <t xml:space="preserve">預算單獨立案</t>
    </r>
  </si>
  <si>
    <t xml:space="preserve">Clinical Education Lead</t>
  </si>
  <si>
    <t xml:space="preserve">需與越南醫護大學合作取得學分／認證資格；台灣參考醫院是主要供給端</t>
  </si>
  <si>
    <r>
      <rPr>
        <sz val="9"/>
        <rFont val="Microsoft JhengHei"/>
        <family val="0"/>
        <charset val="1"/>
      </rPr>
      <t xml:space="preserve">2027-01-01</t>
    </r>
    <r>
      <rPr>
        <sz val="9"/>
        <rFont val="Noto Sans CJK SC"/>
        <family val="2"/>
      </rPr>
      <t xml:space="preserve">起醫師國家執業能力考試（後逐年擴及護理助產）＋</t>
    </r>
    <r>
      <rPr>
        <sz val="9"/>
        <rFont val="Microsoft JhengHei"/>
        <family val="0"/>
        <charset val="1"/>
      </rPr>
      <t xml:space="preserve">5</t>
    </r>
    <r>
      <rPr>
        <sz val="9"/>
        <rFont val="Noto Sans CJK SC"/>
        <family val="2"/>
      </rPr>
      <t xml:space="preserve">年換照＋</t>
    </r>
    <r>
      <rPr>
        <sz val="9"/>
        <rFont val="Microsoft JhengHei"/>
        <family val="0"/>
        <charset val="1"/>
      </rPr>
      <t xml:space="preserve">CME→</t>
    </r>
    <r>
      <rPr>
        <sz val="9"/>
        <rFont val="Noto Sans CJK SC"/>
        <family val="2"/>
      </rPr>
      <t xml:space="preserve">考前培訓、題庫、</t>
    </r>
    <r>
      <rPr>
        <sz val="9"/>
        <rFont val="Microsoft JhengHei"/>
        <family val="0"/>
        <charset val="1"/>
      </rPr>
      <t xml:space="preserve">OSCE/</t>
    </r>
    <r>
      <rPr>
        <sz val="9"/>
        <rFont val="Noto Sans CJK SC"/>
        <family val="2"/>
      </rPr>
      <t xml:space="preserve">模擬是新產業鏈；</t>
    </r>
    <r>
      <rPr>
        <sz val="9"/>
        <rFont val="Microsoft JhengHei"/>
        <family val="0"/>
        <charset val="1"/>
      </rPr>
      <t xml:space="preserve">VinUni</t>
    </r>
    <r>
      <rPr>
        <sz val="9"/>
        <rFont val="Noto Sans CJK SC"/>
        <family val="2"/>
      </rPr>
      <t xml:space="preserve">模擬中心已對外承接公立醫院訓練＝商模已被驗證。</t>
    </r>
  </si>
  <si>
    <t xml:space="preserve">OPP-63</t>
  </si>
  <si>
    <t xml:space="preserve">開院前臨床安全驗證與試營運</t>
  </si>
  <si>
    <t xml:space="preserve">Pre-opening Clinical Assurance &amp; Commissioning</t>
  </si>
  <si>
    <r>
      <rPr>
        <sz val="9"/>
        <color rgb="FF000000"/>
        <rFont val="Noto Sans CJK SC"/>
        <family val="2"/>
      </rPr>
      <t xml:space="preserve">開院前的臨床流程驗證、模擬病人演練與缺失關閉；業主或</t>
    </r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公司付錢</t>
    </r>
  </si>
  <si>
    <t xml:space="preserve">Independent Clinical Assurance</t>
  </si>
  <si>
    <t xml:space="preserve">越南新醫院常「硬體完工但開不了院」，這一段是台灣醫院經驗最值錢的地方</t>
  </si>
  <si>
    <r>
      <rPr>
        <sz val="9"/>
        <rFont val="Noto Sans CJK SC"/>
        <family val="2"/>
      </rPr>
      <t xml:space="preserve">越南無開院</t>
    </r>
    <r>
      <rPr>
        <sz val="9"/>
        <rFont val="Microsoft JhengHei"/>
        <family val="0"/>
        <charset val="1"/>
      </rPr>
      <t xml:space="preserve">commissioning</t>
    </r>
    <r>
      <rPr>
        <sz val="9"/>
        <rFont val="Noto Sans CJK SC"/>
        <family val="2"/>
      </rPr>
      <t xml:space="preserve">專屬法規；</t>
    </r>
    <r>
      <rPr>
        <sz val="9"/>
        <rFont val="Microsoft JhengHei"/>
        <family val="0"/>
        <charset val="1"/>
      </rPr>
      <t xml:space="preserve">35/2024/TT-BYT</t>
    </r>
    <r>
      <rPr>
        <sz val="9"/>
        <rFont val="Noto Sans CJK SC"/>
        <family val="2"/>
      </rPr>
      <t xml:space="preserve">五項基本標準（</t>
    </r>
    <r>
      <rPr>
        <sz val="9"/>
        <rFont val="Microsoft JhengHei"/>
        <family val="0"/>
        <charset val="1"/>
      </rPr>
      <t xml:space="preserve">2025-01</t>
    </r>
    <r>
      <rPr>
        <sz val="9"/>
        <rFont val="Noto Sans CJK SC"/>
        <family val="2"/>
      </rPr>
      <t xml:space="preserve">生效）是最接近的法定錨點——空白市場、可帶國際框架進場。</t>
    </r>
  </si>
  <si>
    <t xml:space="preserve">OPP-64</t>
  </si>
  <si>
    <r>
      <rPr>
        <b val="true"/>
        <sz val="9.5"/>
        <color rgb="FF203864"/>
        <rFont val="Noto Sans CJK SC"/>
        <family val="2"/>
      </rPr>
      <t xml:space="preserve">院內物流</t>
    </r>
    <r>
      <rPr>
        <b val="true"/>
        <sz val="9.5"/>
        <color rgb="FF203864"/>
        <rFont val="微軟正黑體"/>
        <family val="0"/>
        <charset val="1"/>
      </rPr>
      <t xml:space="preserve">SPD</t>
    </r>
    <r>
      <rPr>
        <b val="true"/>
        <sz val="9.5"/>
        <color rgb="FF203864"/>
        <rFont val="Noto Sans CJK SC"/>
        <family val="2"/>
      </rPr>
      <t xml:space="preserve">委外</t>
    </r>
  </si>
  <si>
    <t xml:space="preserve">In-hospital SPD Logistics Outsourcing</t>
  </si>
  <si>
    <r>
      <rPr>
        <sz val="9"/>
        <color rgb="FF000000"/>
        <rFont val="微軟正黑體"/>
        <family val="0"/>
        <charset val="1"/>
      </rPr>
      <t xml:space="preserve">H </t>
    </r>
    <r>
      <rPr>
        <sz val="9"/>
        <color rgb="FF000000"/>
        <rFont val="Noto Sans CJK SC"/>
        <family val="2"/>
      </rPr>
      <t xml:space="preserve">供應鏈與維運服務</t>
    </r>
  </si>
  <si>
    <r>
      <rPr>
        <sz val="9"/>
        <color rgb="FF000000"/>
        <rFont val="Noto Sans CJK SC"/>
        <family val="2"/>
      </rPr>
      <t xml:space="preserve">耗材寄售、條碼揀貨、氣送與</t>
    </r>
    <r>
      <rPr>
        <sz val="9"/>
        <color rgb="FF000000"/>
        <rFont val="微軟正黑體"/>
        <family val="0"/>
        <charset val="1"/>
      </rPr>
      <t xml:space="preserve">AGV</t>
    </r>
    <r>
      <rPr>
        <sz val="9"/>
        <color rgb="FF000000"/>
        <rFont val="Noto Sans CJK SC"/>
        <family val="2"/>
      </rPr>
      <t xml:space="preserve">，按耗材金額比例收管理費</t>
    </r>
  </si>
  <si>
    <r>
      <rPr>
        <sz val="9"/>
        <color rgb="FF000000"/>
        <rFont val="Noto Sans CJK SC"/>
        <family val="2"/>
      </rPr>
      <t xml:space="preserve">★越南沒有</t>
    </r>
    <r>
      <rPr>
        <sz val="9"/>
        <color rgb="FF000000"/>
        <rFont val="微軟正黑體"/>
        <family val="0"/>
        <charset val="1"/>
      </rPr>
      <t xml:space="preserve">SPD</t>
    </r>
    <r>
      <rPr>
        <sz val="9"/>
        <color rgb="FF000000"/>
        <rFont val="Noto Sans CJK SC"/>
        <family val="2"/>
      </rPr>
      <t xml:space="preserve">業者，台日模式可直接移植；而且是營運費用，繞開資本支出採購的價格管制</t>
    </r>
  </si>
  <si>
    <r>
      <rPr>
        <sz val="9"/>
        <color rgb="FF000000"/>
        <rFont val="Noto Sans CJK SC"/>
        <family val="2"/>
      </rPr>
      <t xml:space="preserve">越南無 </t>
    </r>
    <r>
      <rPr>
        <sz val="9"/>
        <color rgb="FF000000"/>
        <rFont val="微軟正黑體"/>
        <family val="0"/>
        <charset val="1"/>
      </rPr>
      <t xml:space="preserve">SPD </t>
    </r>
    <r>
      <rPr>
        <sz val="9"/>
        <color rgb="FF000000"/>
        <rFont val="Noto Sans CJK SC"/>
        <family val="2"/>
      </rPr>
      <t xml:space="preserve">業者</t>
    </r>
  </si>
  <si>
    <t xml:space="preserve">台日模式直接移植；先簽一家示範醫院建立標竿</t>
  </si>
  <si>
    <r>
      <rPr>
        <sz val="9"/>
        <rFont val="Noto Sans CJK SC"/>
        <family val="2"/>
      </rPr>
      <t xml:space="preserve">越南</t>
    </r>
    <r>
      <rPr>
        <sz val="9"/>
        <rFont val="Microsoft JhengHei"/>
        <family val="0"/>
        <charset val="1"/>
      </rPr>
      <t xml:space="preserve">SPD</t>
    </r>
    <r>
      <rPr>
        <sz val="9"/>
        <rFont val="Noto Sans CJK SC"/>
        <family val="2"/>
      </rPr>
      <t xml:space="preserve">委外市場數據未查得＝萌芽前期；需自建市場情報。</t>
    </r>
  </si>
  <si>
    <r>
      <rPr>
        <sz val="9"/>
        <rFont val="Microsoft JhengHei"/>
        <family val="0"/>
        <charset val="1"/>
      </rPr>
      <t xml:space="preserve">FM</t>
    </r>
    <r>
      <rPr>
        <sz val="9"/>
        <rFont val="Noto Sans CJK SC"/>
        <family val="2"/>
      </rPr>
      <t xml:space="preserve">市場</t>
    </r>
    <r>
      <rPr>
        <sz val="9"/>
        <rFont val="Microsoft JhengHei"/>
        <family val="0"/>
        <charset val="1"/>
      </rPr>
      <t xml:space="preserve">2024</t>
    </r>
    <r>
      <rPr>
        <sz val="9"/>
        <rFont val="Noto Sans CJK SC"/>
        <family val="2"/>
      </rPr>
      <t xml:space="preserve">年約</t>
    </r>
    <r>
      <rPr>
        <sz val="9"/>
        <rFont val="Microsoft JhengHei"/>
        <family val="0"/>
        <charset val="1"/>
      </rPr>
      <t xml:space="preserve">25</t>
    </r>
    <r>
      <rPr>
        <sz val="9"/>
        <rFont val="Noto Sans CJK SC"/>
        <family val="2"/>
      </rPr>
      <t xml:space="preserve">億美元（</t>
    </r>
    <r>
      <rPr>
        <sz val="9"/>
        <rFont val="Microsoft JhengHei"/>
        <family val="0"/>
        <charset val="1"/>
      </rPr>
      <t xml:space="preserve">JLL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CBRE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ISS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Sodexo</t>
    </r>
    <r>
      <rPr>
        <sz val="9"/>
        <rFont val="Noto Sans CJK SC"/>
        <family val="2"/>
      </rPr>
      <t xml:space="preserve">等，醫療列重點場域）；冷鏈</t>
    </r>
    <r>
      <rPr>
        <sz val="9"/>
        <rFont val="Microsoft JhengHei"/>
        <family val="0"/>
        <charset val="1"/>
      </rPr>
      <t xml:space="preserve">2023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1.63</t>
    </r>
    <r>
      <rPr>
        <sz val="9"/>
        <rFont val="Noto Sans CJK SC"/>
        <family val="2"/>
      </rPr>
      <t xml:space="preserve">億美元、</t>
    </r>
    <r>
      <rPr>
        <sz val="9"/>
        <rFont val="Microsoft JhengHei"/>
        <family val="0"/>
        <charset val="1"/>
      </rPr>
      <t xml:space="preserve">CAGR 14.1%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Zuellig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DKSH</t>
    </r>
    <r>
      <rPr>
        <sz val="9"/>
        <rFont val="Noto Sans CJK SC"/>
        <family val="2"/>
      </rPr>
      <t xml:space="preserve">主導醫藥端）；設備寄放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按次計費模式</t>
    </r>
    <r>
      <rPr>
        <sz val="9"/>
        <rFont val="Microsoft JhengHei"/>
        <family val="0"/>
        <charset val="1"/>
      </rPr>
      <t xml:space="preserve">2024</t>
    </r>
    <r>
      <rPr>
        <sz val="9"/>
        <rFont val="Noto Sans CJK SC"/>
        <family val="2"/>
      </rPr>
      <t xml:space="preserve">年入法＝醫材託管服務（</t>
    </r>
    <r>
      <rPr>
        <sz val="9"/>
        <rFont val="Microsoft JhengHei"/>
        <family val="0"/>
        <charset val="1"/>
      </rPr>
      <t xml:space="preserve">MES</t>
    </r>
    <r>
      <rPr>
        <sz val="9"/>
        <rFont val="Noto Sans CJK SC"/>
        <family val="2"/>
      </rPr>
      <t xml:space="preserve">）首次有法源。</t>
    </r>
    <r>
      <rPr>
        <sz val="9"/>
        <rFont val="Microsoft JhengHei"/>
        <family val="0"/>
        <charset val="1"/>
      </rPr>
      <t xml:space="preserve">SPD/CSSD/CMMS</t>
    </r>
    <r>
      <rPr>
        <sz val="9"/>
        <rFont val="Noto Sans CJK SC"/>
        <family val="2"/>
      </rPr>
      <t xml:space="preserve">：越南無公開市場統計——政策先行、資料空白的早期市場。</t>
    </r>
  </si>
  <si>
    <t xml:space="preserve">OPP-65</t>
  </si>
  <si>
    <r>
      <rPr>
        <b val="true"/>
        <sz val="9.5"/>
        <color rgb="FF203864"/>
        <rFont val="Noto Sans CJK SC"/>
        <family val="2"/>
      </rPr>
      <t xml:space="preserve">消毒供應外包（區域</t>
    </r>
    <r>
      <rPr>
        <b val="true"/>
        <sz val="9.5"/>
        <color rgb="FF203864"/>
        <rFont val="微軟正黑體"/>
        <family val="0"/>
        <charset val="1"/>
      </rPr>
      <t xml:space="preserve">CSSD</t>
    </r>
    <r>
      <rPr>
        <b val="true"/>
        <sz val="9.5"/>
        <color rgb="FF203864"/>
        <rFont val="Noto Sans CJK SC"/>
        <family val="2"/>
      </rPr>
      <t xml:space="preserve">服務化）</t>
    </r>
  </si>
  <si>
    <t xml:space="preserve">Off-site CSSD as a Service</t>
  </si>
  <si>
    <t xml:space="preserve">區域滅菌中心服務多家醫院與日間手術中心，按器械盤計價</t>
  </si>
  <si>
    <t xml:space="preserve">G6</t>
  </si>
  <si>
    <t xml:space="preserve">★越南沒有第三方滅菌服務市場，是完全的空白產業</t>
  </si>
  <si>
    <t xml:space="preserve">無第三方滅菌服務市場</t>
  </si>
  <si>
    <t xml:space="preserve">區域中心＋日間手術群聚；感控稽查收緊前卡位</t>
  </si>
  <si>
    <t xml:space="preserve">越南第三方滅菌服務市場數據未查得；查得資料均為歐美市場。</t>
  </si>
  <si>
    <t xml:space="preserve">OPP-66</t>
  </si>
  <si>
    <r>
      <rPr>
        <b val="true"/>
        <sz val="9.5"/>
        <color rgb="FF203864"/>
        <rFont val="Noto Sans CJK SC"/>
        <family val="2"/>
      </rPr>
      <t xml:space="preserve">醫材維運與託管服務</t>
    </r>
    <r>
      <rPr>
        <b val="true"/>
        <sz val="9.5"/>
        <color rgb="FF203864"/>
        <rFont val="微軟正黑體"/>
        <family val="0"/>
        <charset val="1"/>
      </rPr>
      <t xml:space="preserve">(MES)</t>
    </r>
  </si>
  <si>
    <t xml:space="preserve">Managed Equipment Services</t>
  </si>
  <si>
    <t xml:space="preserve">全險維修或「按掃描次數付費」，用服務合約取代醫院資本支出</t>
  </si>
  <si>
    <t xml:space="preserve">★設備閒置／故障是常態、缺生物醫學工程量能；按次計費正好避開越南的採購價格管制</t>
  </si>
  <si>
    <t xml:space="preserve">原廠維保各自為政，無跨廠牌整合商</t>
  </si>
  <si>
    <t xml:space="preserve">跨廠牌整合維保＋按次付費，繞開採購價格管制</t>
  </si>
  <si>
    <r>
      <rPr>
        <sz val="9"/>
        <rFont val="Noto Sans CJK SC"/>
        <family val="2"/>
      </rPr>
      <t xml:space="preserve">法源已備：設備寄放＋按次計費＋委外檢驗等模式</t>
    </r>
    <r>
      <rPr>
        <sz val="9"/>
        <rFont val="Microsoft JhengHei"/>
        <family val="0"/>
        <charset val="1"/>
      </rPr>
      <t xml:space="preserve">2024</t>
    </r>
    <r>
      <rPr>
        <sz val="9"/>
        <rFont val="Noto Sans CJK SC"/>
        <family val="2"/>
      </rPr>
      <t xml:space="preserve">年入法；承包商選擇方式</t>
    </r>
    <r>
      <rPr>
        <sz val="9"/>
        <rFont val="Microsoft JhengHei"/>
        <family val="0"/>
        <charset val="1"/>
      </rPr>
      <t xml:space="preserve">2025-07-01</t>
    </r>
    <r>
      <rPr>
        <sz val="9"/>
        <rFont val="Noto Sans CJK SC"/>
        <family val="2"/>
      </rPr>
      <t xml:space="preserve">起由</t>
    </r>
    <r>
      <rPr>
        <sz val="9"/>
        <rFont val="Microsoft JhengHei"/>
        <family val="0"/>
        <charset val="1"/>
      </rPr>
      <t xml:space="preserve">6</t>
    </r>
    <r>
      <rPr>
        <sz val="9"/>
        <rFont val="Noto Sans CJK SC"/>
        <family val="2"/>
      </rPr>
      <t xml:space="preserve">種增為</t>
    </r>
    <r>
      <rPr>
        <sz val="9"/>
        <rFont val="Microsoft JhengHei"/>
        <family val="0"/>
        <charset val="1"/>
      </rPr>
      <t xml:space="preserve">10</t>
    </r>
    <r>
      <rPr>
        <sz val="9"/>
        <rFont val="Noto Sans CJK SC"/>
        <family val="2"/>
      </rPr>
      <t xml:space="preserve">種（</t>
    </r>
    <r>
      <rPr>
        <sz val="9"/>
        <rFont val="Microsoft JhengHei"/>
        <family val="0"/>
        <charset val="1"/>
      </rPr>
      <t xml:space="preserve">Luật 90/2025</t>
    </r>
    <r>
      <rPr>
        <sz val="9"/>
        <rFont val="Noto Sans CJK SC"/>
        <family val="2"/>
      </rPr>
      <t xml:space="preserve">，新增</t>
    </r>
    <r>
      <rPr>
        <sz val="9"/>
        <rFont val="Microsoft JhengHei"/>
        <family val="0"/>
        <charset val="1"/>
      </rPr>
      <t xml:space="preserve">đặt hàng</t>
    </r>
    <r>
      <rPr>
        <sz val="9"/>
        <rFont val="Noto Sans CJK SC"/>
        <family val="2"/>
      </rPr>
      <t xml:space="preserve">）；商業案例數據未查得——法規先行、市場待開。</t>
    </r>
  </si>
  <si>
    <t xml:space="preserve">OPP-67</t>
  </si>
  <si>
    <r>
      <rPr>
        <b val="true"/>
        <sz val="9.5"/>
        <color rgb="FF203864"/>
        <rFont val="Noto Sans CJK SC"/>
        <family val="2"/>
      </rPr>
      <t xml:space="preserve">醫院設施管理委外（醫療級</t>
    </r>
    <r>
      <rPr>
        <b val="true"/>
        <sz val="9.5"/>
        <color rgb="FF203864"/>
        <rFont val="微軟正黑體"/>
        <family val="0"/>
        <charset val="1"/>
      </rPr>
      <t xml:space="preserve">FM</t>
    </r>
    <r>
      <rPr>
        <b val="true"/>
        <sz val="9.5"/>
        <color rgb="FF203864"/>
        <rFont val="Noto Sans CJK SC"/>
        <family val="2"/>
      </rPr>
      <t xml:space="preserve">）</t>
    </r>
  </si>
  <si>
    <t xml:space="preserve">Healthcare-grade Facility Management</t>
  </si>
  <si>
    <r>
      <rPr>
        <sz val="9"/>
        <color rgb="FF000000"/>
        <rFont val="Noto Sans CJK SC"/>
        <family val="2"/>
      </rPr>
      <t xml:space="preserve">符合感染管制標準的清潔、</t>
    </r>
    <r>
      <rPr>
        <sz val="9"/>
        <color rgb="FF000000"/>
        <rFont val="微軟正黑體"/>
        <family val="0"/>
        <charset val="1"/>
      </rPr>
      <t xml:space="preserve">BMS</t>
    </r>
    <r>
      <rPr>
        <sz val="9"/>
        <color rgb="FF000000"/>
        <rFont val="Noto Sans CJK SC"/>
        <family val="2"/>
      </rPr>
      <t xml:space="preserve">與機電維運多年約；醫院營運預算</t>
    </r>
  </si>
  <si>
    <r>
      <rPr>
        <sz val="9"/>
        <color rgb="FF000000"/>
        <rFont val="Noto Sans CJK SC"/>
        <family val="2"/>
      </rPr>
      <t xml:space="preserve">一般商用</t>
    </r>
    <r>
      <rPr>
        <sz val="9"/>
        <color rgb="FF000000"/>
        <rFont val="微軟正黑體"/>
        <family val="0"/>
        <charset val="1"/>
      </rPr>
      <t xml:space="preserve">FM</t>
    </r>
    <r>
      <rPr>
        <sz val="9"/>
        <color rgb="FF000000"/>
        <rFont val="Noto Sans CJK SC"/>
        <family val="2"/>
      </rPr>
      <t xml:space="preserve">市場有，但醫療級</t>
    </r>
    <r>
      <rPr>
        <sz val="9"/>
        <color rgb="FF000000"/>
        <rFont val="微軟正黑體"/>
        <family val="0"/>
        <charset val="1"/>
      </rPr>
      <t xml:space="preserve">FM</t>
    </r>
    <r>
      <rPr>
        <sz val="9"/>
        <color rgb="FF000000"/>
        <rFont val="Noto Sans CJK SC"/>
        <family val="2"/>
      </rPr>
      <t xml:space="preserve">幾乎空白；建議先從私立醫院連鎖切入</t>
    </r>
  </si>
  <si>
    <r>
      <rPr>
        <sz val="9"/>
        <rFont val="Noto Sans CJK SC"/>
        <family val="2"/>
      </rPr>
      <t xml:space="preserve">與 </t>
    </r>
    <r>
      <rPr>
        <sz val="9"/>
        <rFont val="Microsoft JhengHei"/>
        <family val="0"/>
        <charset val="1"/>
      </rPr>
      <t xml:space="preserve">CAP-053 </t>
    </r>
    <r>
      <rPr>
        <sz val="9"/>
        <rFont val="Noto Sans CJK SC"/>
        <family val="2"/>
      </rPr>
      <t xml:space="preserve">連動：</t>
    </r>
    <r>
      <rPr>
        <sz val="9"/>
        <rFont val="Microsoft JhengHei"/>
        <family val="0"/>
        <charset val="1"/>
      </rPr>
      <t xml:space="preserve">FM </t>
    </r>
    <r>
      <rPr>
        <sz val="9"/>
        <rFont val="Noto Sans CJK SC"/>
        <family val="2"/>
      </rPr>
      <t xml:space="preserve">市場 </t>
    </r>
    <r>
      <rPr>
        <sz val="9"/>
        <rFont val="Microsoft JhengHei"/>
        <family val="0"/>
        <charset val="1"/>
      </rPr>
      <t xml:space="preserve">2024 </t>
    </r>
    <r>
      <rPr>
        <sz val="9"/>
        <rFont val="Noto Sans CJK SC"/>
        <family val="2"/>
      </rPr>
      <t xml:space="preserve">年約 </t>
    </r>
    <r>
      <rPr>
        <sz val="9"/>
        <rFont val="Microsoft JhengHei"/>
        <family val="0"/>
        <charset val="1"/>
      </rPr>
      <t xml:space="preserve">25 </t>
    </r>
    <r>
      <rPr>
        <sz val="9"/>
        <rFont val="Noto Sans CJK SC"/>
        <family val="2"/>
      </rPr>
      <t xml:space="preserve">億美元但醫療未單獨拆分；越南醫院 </t>
    </r>
    <r>
      <rPr>
        <sz val="9"/>
        <rFont val="Microsoft JhengHei"/>
        <family val="0"/>
        <charset val="1"/>
      </rPr>
      <t xml:space="preserve">CMMS </t>
    </r>
    <r>
      <rPr>
        <sz val="9"/>
        <rFont val="Noto Sans CJK SC"/>
        <family val="2"/>
      </rPr>
      <t xml:space="preserve">採用率未查得。</t>
    </r>
    <r>
      <rPr>
        <sz val="9"/>
        <rFont val="Microsoft JhengHei"/>
        <family val="0"/>
        <charset val="1"/>
      </rPr>
      <t xml:space="preserve">WHO 2025 </t>
    </r>
    <r>
      <rPr>
        <sz val="9"/>
        <rFont val="Noto Sans CJK SC"/>
        <family val="2"/>
      </rPr>
      <t xml:space="preserve">案例指越南近半數醫療機構能源不安全、</t>
    </r>
    <r>
      <rPr>
        <sz val="9"/>
        <rFont val="Microsoft JhengHei"/>
        <family val="0"/>
        <charset val="1"/>
      </rPr>
      <t xml:space="preserve">2024 </t>
    </r>
    <r>
      <rPr>
        <sz val="9"/>
        <rFont val="Noto Sans CJK SC"/>
        <family val="2"/>
      </rPr>
      <t xml:space="preserve">年颱風 </t>
    </r>
    <r>
      <rPr>
        <sz val="9"/>
        <rFont val="Microsoft JhengHei"/>
        <family val="0"/>
        <charset val="1"/>
      </rPr>
      <t xml:space="preserve">Yagi </t>
    </r>
    <r>
      <rPr>
        <sz val="9"/>
        <rFont val="Noto Sans CJK SC"/>
        <family val="2"/>
      </rPr>
      <t xml:space="preserve">損害逾 </t>
    </r>
    <r>
      <rPr>
        <sz val="9"/>
        <rFont val="Microsoft JhengHei"/>
        <family val="0"/>
        <charset val="1"/>
      </rPr>
      <t xml:space="preserve">800 </t>
    </r>
    <r>
      <rPr>
        <sz val="9"/>
        <rFont val="Noto Sans CJK SC"/>
        <family val="2"/>
      </rPr>
      <t xml:space="preserve">家機構——韌性論述比純節能更有說服力。</t>
    </r>
  </si>
  <si>
    <t xml:space="preserve">OPP-68</t>
  </si>
  <si>
    <t xml:space="preserve">冷鏈與特殊物料物流</t>
  </si>
  <si>
    <t xml:space="preserve">Cold Chain &amp; Special Materials Logistics</t>
  </si>
  <si>
    <t xml:space="preserve">疫苗、檢體、生物製劑的冷鏈運送與監控；醫院或檢驗連鎖付錢</t>
  </si>
  <si>
    <r>
      <rPr>
        <sz val="9"/>
        <color rgb="FF000000"/>
        <rFont val="Noto Sans CJK SC"/>
        <family val="2"/>
      </rPr>
      <t xml:space="preserve">須符合藥品</t>
    </r>
    <r>
      <rPr>
        <sz val="9"/>
        <color rgb="FF000000"/>
        <rFont val="微軟正黑體"/>
        <family val="0"/>
        <charset val="1"/>
      </rPr>
      <t xml:space="preserve">GSP</t>
    </r>
    <r>
      <rPr>
        <sz val="9"/>
        <color rgb="FF000000"/>
        <rFont val="Noto Sans CJK SC"/>
        <family val="2"/>
      </rPr>
      <t xml:space="preserve">規範；全民健檢與檢體外送量會把這塊撐大</t>
    </r>
  </si>
  <si>
    <r>
      <rPr>
        <sz val="9"/>
        <rFont val="Noto Sans CJK SC"/>
        <family val="2"/>
      </rPr>
      <t xml:space="preserve">冷鏈</t>
    </r>
    <r>
      <rPr>
        <sz val="9"/>
        <rFont val="Microsoft JhengHei"/>
        <family val="0"/>
        <charset val="1"/>
      </rPr>
      <t xml:space="preserve">2023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1.63</t>
    </r>
    <r>
      <rPr>
        <sz val="9"/>
        <rFont val="Noto Sans CJK SC"/>
        <family val="2"/>
      </rPr>
      <t xml:space="preserve">億美元、</t>
    </r>
    <r>
      <rPr>
        <sz val="9"/>
        <rFont val="Microsoft JhengHei"/>
        <family val="0"/>
        <charset val="1"/>
      </rPr>
      <t xml:space="preserve">CAGR 14.1%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2024-29</t>
    </r>
    <r>
      <rPr>
        <sz val="9"/>
        <rFont val="Noto Sans CJK SC"/>
        <family val="2"/>
      </rPr>
      <t xml:space="preserve">）；醫藥端</t>
    </r>
    <r>
      <rPr>
        <sz val="9"/>
        <rFont val="Microsoft JhengHei"/>
        <family val="0"/>
        <charset val="1"/>
      </rPr>
      <t xml:space="preserve">Zuellig/DKSH</t>
    </r>
    <r>
      <rPr>
        <sz val="9"/>
        <rFont val="Noto Sans CJK SC"/>
        <family val="2"/>
      </rPr>
      <t xml:space="preserve">主導；北越成長最快。</t>
    </r>
  </si>
  <si>
    <t xml:space="preserve">OPP-69</t>
  </si>
  <si>
    <t xml:space="preserve">醫療廢棄物收運處理服務</t>
  </si>
  <si>
    <t xml:space="preserve">Medical Waste Collection &amp; Treatment</t>
  </si>
  <si>
    <t xml:space="preserve">區域收運＋處理特許，按公斤計價服務一群醫院與診所</t>
  </si>
  <si>
    <t xml:space="preserve">市場高度分散、在地執照是門檻，適合與越南夥伴合資</t>
  </si>
  <si>
    <r>
      <rPr>
        <sz val="9"/>
        <rFont val="Noto Sans CJK SC"/>
        <family val="2"/>
      </rPr>
      <t xml:space="preserve">量能總量夠但區域錯配（全國焚化使用率</t>
    </r>
    <r>
      <rPr>
        <sz val="9"/>
        <rFont val="Microsoft JhengHei"/>
        <family val="0"/>
        <charset val="1"/>
      </rPr>
      <t xml:space="preserve">7.4% vs </t>
    </r>
    <r>
      <rPr>
        <sz val="9"/>
        <rFont val="Noto Sans CJK SC"/>
        <family val="2"/>
      </rPr>
      <t xml:space="preserve">胡志明尖峰</t>
    </r>
    <r>
      <rPr>
        <sz val="9"/>
        <rFont val="Microsoft JhengHei"/>
        <family val="0"/>
        <charset val="1"/>
      </rPr>
      <t xml:space="preserve">780%</t>
    </r>
    <r>
      <rPr>
        <sz val="9"/>
        <rFont val="Noto Sans CJK SC"/>
        <family val="2"/>
      </rPr>
      <t xml:space="preserve">）；院內管理依</t>
    </r>
    <r>
      <rPr>
        <sz val="9"/>
        <rFont val="Microsoft JhengHei"/>
        <family val="0"/>
        <charset val="1"/>
      </rPr>
      <t xml:space="preserve">Circular 20/2021/TT-BYT</t>
    </r>
    <r>
      <rPr>
        <sz val="9"/>
        <rFont val="Noto Sans CJK SC"/>
        <family val="2"/>
      </rPr>
      <t xml:space="preserve">；業者</t>
    </r>
    <r>
      <rPr>
        <sz val="9"/>
        <rFont val="Microsoft JhengHei"/>
        <family val="0"/>
        <charset val="1"/>
      </rPr>
      <t xml:space="preserve">URENCO</t>
    </r>
    <r>
      <rPr>
        <sz val="9"/>
        <rFont val="Noto Sans CJK SC"/>
        <family val="2"/>
      </rPr>
      <t xml:space="preserve">系、</t>
    </r>
    <r>
      <rPr>
        <sz val="9"/>
        <rFont val="Microsoft JhengHei"/>
        <family val="0"/>
        <charset val="1"/>
      </rPr>
      <t xml:space="preserve">INSEE Ecocycle</t>
    </r>
    <r>
      <rPr>
        <sz val="9"/>
        <rFont val="Noto Sans CJK SC"/>
        <family val="2"/>
      </rPr>
      <t xml:space="preserve">。</t>
    </r>
  </si>
  <si>
    <t xml:space="preserve">OPP-70</t>
  </si>
  <si>
    <t xml:space="preserve">在地備品、維修與汰換服務網</t>
  </si>
  <si>
    <t xml:space="preserve">Local Spare Parts &amp; Service Network</t>
  </si>
  <si>
    <t xml:space="preserve">備品庫存、維修、校正與汰換；覆蓋省份與到場時間是賣點</t>
  </si>
  <si>
    <r>
      <rPr>
        <sz val="9"/>
        <color rgb="FF000000"/>
        <rFont val="Noto Sans CJK SC"/>
        <family val="2"/>
      </rPr>
      <t xml:space="preserve">是</t>
    </r>
    <r>
      <rPr>
        <sz val="9"/>
        <color rgb="FF000000"/>
        <rFont val="微軟正黑體"/>
        <family val="0"/>
        <charset val="1"/>
      </rPr>
      <t xml:space="preserve">OPP-66</t>
    </r>
    <r>
      <rPr>
        <sz val="9"/>
        <color rgb="FF000000"/>
        <rFont val="Noto Sans CJK SC"/>
        <family val="2"/>
      </rPr>
      <t xml:space="preserve">託管服務的執行底層；沒有這張網，任何設備長約都做不下去</t>
    </r>
  </si>
  <si>
    <t xml:space="preserve">OPP-71</t>
  </si>
  <si>
    <t xml:space="preserve">洗腎連鎖（衛星洗腎中心）</t>
  </si>
  <si>
    <t xml:space="preserve">Dialysis Clinic Chain</t>
  </si>
  <si>
    <r>
      <rPr>
        <sz val="9"/>
        <color rgb="FF000000"/>
        <rFont val="微軟正黑體"/>
        <family val="0"/>
        <charset val="1"/>
      </rPr>
      <t xml:space="preserve">I </t>
    </r>
    <r>
      <rPr>
        <sz val="9"/>
        <color rgb="FF000000"/>
        <rFont val="Noto Sans CJK SC"/>
        <family val="2"/>
      </rPr>
      <t xml:space="preserve">照護服務新業態</t>
    </r>
  </si>
  <si>
    <t xml:space="preserve">在都市以外開衛星洗腎站；健保給付每次洗腎，是最明確的經常性收入</t>
  </si>
  <si>
    <t xml:space="preserve">Clinical Operator</t>
  </si>
  <si>
    <r>
      <rPr>
        <sz val="9"/>
        <color rgb="FF000000"/>
        <rFont val="Noto Sans CJK SC"/>
        <family val="2"/>
      </rPr>
      <t xml:space="preserve">★約</t>
    </r>
    <r>
      <rPr>
        <sz val="9"/>
        <color rgb="FF000000"/>
        <rFont val="微軟正黑體"/>
        <family val="0"/>
        <charset val="1"/>
      </rPr>
      <t xml:space="preserve">80%</t>
    </r>
    <r>
      <rPr>
        <sz val="9"/>
        <color rgb="FF000000"/>
        <rFont val="Noto Sans CJK SC"/>
        <family val="2"/>
      </rPr>
      <t xml:space="preserve">洗腎中心集中都市、鄉村是空白；每</t>
    </r>
    <r>
      <rPr>
        <sz val="9"/>
        <color rgb="FF000000"/>
        <rFont val="微軟正黑體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床單位約</t>
    </r>
    <r>
      <rPr>
        <sz val="9"/>
        <color rgb="FF000000"/>
        <rFont val="微軟正黑體"/>
        <family val="0"/>
        <charset val="1"/>
      </rPr>
      <t xml:space="preserve">US$50-150</t>
    </r>
    <r>
      <rPr>
        <sz val="9"/>
        <color rgb="FF000000"/>
        <rFont val="Noto Sans CJK SC"/>
        <family val="2"/>
      </rPr>
      <t xml:space="preserve">萬，連鎖化可做到</t>
    </r>
    <r>
      <rPr>
        <sz val="9"/>
        <color rgb="FF000000"/>
        <rFont val="微軟正黑體"/>
        <family val="0"/>
        <charset val="1"/>
      </rPr>
      <t xml:space="preserve">US$1000-5000</t>
    </r>
    <r>
      <rPr>
        <sz val="9"/>
        <color rgb="FF000000"/>
        <rFont val="Noto Sans CJK SC"/>
        <family val="2"/>
      </rPr>
      <t xml:space="preserve">萬</t>
    </r>
  </si>
  <si>
    <r>
      <rPr>
        <sz val="9"/>
        <color rgb="FF000000"/>
        <rFont val="Noto Sans CJK SC"/>
        <family val="2"/>
      </rPr>
      <t xml:space="preserve">在地私人洗腎中心擴張中，但約</t>
    </r>
    <r>
      <rPr>
        <sz val="9"/>
        <color rgb="FF000000"/>
        <rFont val="微軟正黑體"/>
        <family val="0"/>
        <charset val="1"/>
      </rPr>
      <t xml:space="preserve">80%</t>
    </r>
    <r>
      <rPr>
        <sz val="9"/>
        <color rgb="FF000000"/>
        <rFont val="Noto Sans CJK SC"/>
        <family val="2"/>
      </rPr>
      <t xml:space="preserve">集中都市</t>
    </r>
  </si>
  <si>
    <r>
      <rPr>
        <sz val="9"/>
        <color rgb="FF000000"/>
        <rFont val="Noto Sans CJK SC"/>
        <family val="2"/>
      </rPr>
      <t xml:space="preserve">下沉省級＋</t>
    </r>
    <r>
      <rPr>
        <sz val="9"/>
        <color rgb="FF000000"/>
        <rFont val="微軟正黑體"/>
        <family val="0"/>
        <charset val="1"/>
      </rPr>
      <t xml:space="preserve">VSS</t>
    </r>
    <r>
      <rPr>
        <sz val="9"/>
        <color rgb="FF000000"/>
        <rFont val="Noto Sans CJK SC"/>
        <family val="2"/>
      </rPr>
      <t xml:space="preserve">給付現金流＋台灣腎照護</t>
    </r>
    <r>
      <rPr>
        <sz val="9"/>
        <color rgb="FF000000"/>
        <rFont val="微軟正黑體"/>
        <family val="0"/>
        <charset val="1"/>
      </rPr>
      <t xml:space="preserve">protocol</t>
    </r>
  </si>
  <si>
    <r>
      <rPr>
        <sz val="9"/>
        <rFont val="Noto Sans CJK SC"/>
        <family val="2"/>
      </rPr>
      <t xml:space="preserve">中文有「衛星」、</t>
    </r>
    <r>
      <rPr>
        <sz val="9"/>
        <rFont val="Microsoft JhengHei"/>
        <family val="0"/>
        <charset val="1"/>
      </rPr>
      <t xml:space="preserve">EN</t>
    </r>
    <r>
      <rPr>
        <sz val="9"/>
        <rFont val="Noto Sans CJK SC"/>
        <family val="2"/>
      </rPr>
      <t xml:space="preserve">無→建議：</t>
    </r>
    <r>
      <rPr>
        <sz val="9"/>
        <rFont val="Microsoft JhengHei"/>
        <family val="0"/>
        <charset val="1"/>
      </rPr>
      <t xml:space="preserve">Satellite Dialysis Clinic Chain</t>
    </r>
    <r>
      <rPr>
        <sz val="9"/>
        <rFont val="Noto Sans CJK SC"/>
        <family val="2"/>
      </rPr>
      <t xml:space="preserve">。需求</t>
    </r>
    <r>
      <rPr>
        <sz val="9"/>
        <rFont val="Microsoft JhengHei"/>
        <family val="0"/>
        <charset val="1"/>
      </rPr>
      <t xml:space="preserve">&gt;10</t>
    </r>
    <r>
      <rPr>
        <sz val="9"/>
        <rFont val="Noto Sans CJK SC"/>
        <family val="2"/>
      </rPr>
      <t xml:space="preserve">萬</t>
    </r>
    <r>
      <rPr>
        <sz val="9"/>
        <rFont val="Microsoft JhengHei"/>
        <family val="0"/>
        <charset val="1"/>
      </rPr>
      <t xml:space="preserve">vs</t>
    </r>
    <r>
      <rPr>
        <sz val="9"/>
        <rFont val="Noto Sans CJK SC"/>
        <family val="2"/>
      </rPr>
      <t xml:space="preserve">服務</t>
    </r>
    <r>
      <rPr>
        <sz val="9"/>
        <rFont val="Microsoft JhengHei"/>
        <family val="0"/>
        <charset val="1"/>
      </rPr>
      <t xml:space="preserve">3.6</t>
    </r>
    <r>
      <rPr>
        <sz val="9"/>
        <rFont val="Noto Sans CJK SC"/>
        <family val="2"/>
      </rPr>
      <t xml:space="preserve">萬＝東南亞最大透析白地之一；本土連鎖品牌未查得、</t>
    </r>
    <r>
      <rPr>
        <sz val="9"/>
        <rFont val="Microsoft JhengHei"/>
        <family val="0"/>
        <charset val="1"/>
      </rPr>
      <t xml:space="preserve">B.Braun</t>
    </r>
    <r>
      <rPr>
        <sz val="9"/>
        <rFont val="Noto Sans CJK SC"/>
        <family val="2"/>
      </rPr>
      <t xml:space="preserve">有布局。</t>
    </r>
  </si>
  <si>
    <r>
      <rPr>
        <sz val="9"/>
        <rFont val="Noto Sans CJK SC"/>
        <family val="2"/>
      </rPr>
      <t xml:space="preserve">硬缺口全報告最強：透析需求</t>
    </r>
    <r>
      <rPr>
        <sz val="9"/>
        <rFont val="Microsoft JhengHei"/>
        <family val="0"/>
        <charset val="1"/>
      </rPr>
      <t xml:space="preserve">&gt;10</t>
    </r>
    <r>
      <rPr>
        <sz val="9"/>
        <rFont val="Noto Sans CJK SC"/>
        <family val="2"/>
      </rPr>
      <t xml:space="preserve">萬人、實際服務僅</t>
    </r>
    <r>
      <rPr>
        <sz val="9"/>
        <rFont val="Microsoft JhengHei"/>
        <family val="0"/>
        <charset val="1"/>
      </rPr>
      <t xml:space="preserve">3.6</t>
    </r>
    <r>
      <rPr>
        <sz val="9"/>
        <rFont val="Noto Sans CJK SC"/>
        <family val="2"/>
      </rPr>
      <t xml:space="preserve">萬（覆蓋</t>
    </r>
    <r>
      <rPr>
        <sz val="9"/>
        <rFont val="Microsoft JhengHei"/>
        <family val="0"/>
        <charset val="1"/>
      </rPr>
      <t xml:space="preserve">1/3</t>
    </r>
    <r>
      <rPr>
        <sz val="9"/>
        <rFont val="Noto Sans CJK SC"/>
        <family val="2"/>
      </rPr>
      <t xml:space="preserve">）；放療</t>
    </r>
    <r>
      <rPr>
        <sz val="9"/>
        <rFont val="Microsoft JhengHei"/>
        <family val="0"/>
        <charset val="1"/>
      </rPr>
      <t xml:space="preserve">84</t>
    </r>
    <r>
      <rPr>
        <sz val="9"/>
        <rFont val="Noto Sans CJK SC"/>
        <family val="2"/>
      </rPr>
      <t xml:space="preserve">台僅滿足</t>
    </r>
    <r>
      <rPr>
        <sz val="9"/>
        <rFont val="Microsoft JhengHei"/>
        <family val="0"/>
        <charset val="1"/>
      </rPr>
      <t xml:space="preserve">60-70%</t>
    </r>
    <r>
      <rPr>
        <sz val="9"/>
        <rFont val="Noto Sans CJK SC"/>
        <family val="2"/>
      </rPr>
      <t xml:space="preserve">需求（</t>
    </r>
    <r>
      <rPr>
        <sz val="9"/>
        <rFont val="Microsoft JhengHei"/>
        <family val="0"/>
        <charset val="1"/>
      </rPr>
      <t xml:space="preserve">K</t>
    </r>
    <r>
      <rPr>
        <sz val="9"/>
        <rFont val="Noto Sans CJK SC"/>
        <family val="2"/>
      </rPr>
      <t xml:space="preserve">醫院籌建北越首座質子中心</t>
    </r>
    <r>
      <rPr>
        <sz val="9"/>
        <rFont val="Microsoft JhengHei"/>
        <family val="0"/>
        <charset val="1"/>
      </rPr>
      <t xml:space="preserve">4.2</t>
    </r>
    <r>
      <rPr>
        <sz val="9"/>
        <rFont val="Noto Sans CJK SC"/>
        <family val="2"/>
      </rPr>
      <t xml:space="preserve">兆越盾）；</t>
    </r>
    <r>
      <rPr>
        <sz val="9"/>
        <rFont val="Microsoft JhengHei"/>
        <family val="0"/>
        <charset val="1"/>
      </rPr>
      <t xml:space="preserve">IVF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5</t>
    </r>
    <r>
      <rPr>
        <sz val="9"/>
        <rFont val="Noto Sans CJK SC"/>
        <family val="2"/>
      </rPr>
      <t xml:space="preserve">萬</t>
    </r>
    <r>
      <rPr>
        <sz val="9"/>
        <rFont val="Microsoft JhengHei"/>
        <family val="0"/>
        <charset val="1"/>
      </rPr>
      <t xml:space="preserve">+</t>
    </r>
    <r>
      <rPr>
        <sz val="9"/>
        <rFont val="Noto Sans CJK SC"/>
        <family val="2"/>
      </rPr>
      <t xml:space="preserve">週期、</t>
    </r>
    <r>
      <rPr>
        <sz val="9"/>
        <rFont val="Microsoft JhengHei"/>
        <family val="0"/>
        <charset val="1"/>
      </rPr>
      <t xml:space="preserve">65</t>
    </r>
    <r>
      <rPr>
        <sz val="9"/>
        <rFont val="Noto Sans CJK SC"/>
        <family val="2"/>
      </rPr>
      <t xml:space="preserve">家中心、價格為已開發國家</t>
    </r>
    <r>
      <rPr>
        <sz val="9"/>
        <rFont val="Microsoft JhengHei"/>
        <family val="0"/>
        <charset val="1"/>
      </rPr>
      <t xml:space="preserve">1/5</t>
    </r>
    <r>
      <rPr>
        <sz val="9"/>
        <rFont val="Noto Sans CJK SC"/>
        <family val="2"/>
      </rPr>
      <t xml:space="preserve">。遠距醫療法源齊備（</t>
    </r>
    <r>
      <rPr>
        <sz val="9"/>
        <rFont val="Microsoft JhengHei"/>
        <family val="0"/>
        <charset val="1"/>
      </rPr>
      <t xml:space="preserve">Law 15/2023</t>
    </r>
    <r>
      <rPr>
        <sz val="9"/>
        <rFont val="Noto Sans CJK SC"/>
        <family val="2"/>
      </rPr>
      <t xml:space="preserve">＋</t>
    </r>
    <r>
      <rPr>
        <sz val="9"/>
        <rFont val="Microsoft JhengHei"/>
        <family val="0"/>
        <charset val="1"/>
      </rPr>
      <t xml:space="preserve">Circular 30/2023</t>
    </r>
    <r>
      <rPr>
        <sz val="9"/>
        <rFont val="Noto Sans CJK SC"/>
        <family val="2"/>
      </rPr>
      <t xml:space="preserve">列</t>
    </r>
    <r>
      <rPr>
        <sz val="9"/>
        <rFont val="Microsoft JhengHei"/>
        <family val="0"/>
        <charset val="1"/>
      </rPr>
      <t xml:space="preserve">50</t>
    </r>
    <r>
      <rPr>
        <sz val="9"/>
        <rFont val="Noto Sans CJK SC"/>
        <family val="2"/>
      </rPr>
      <t xml:space="preserve">種疾病）。</t>
    </r>
    <r>
      <rPr>
        <sz val="9"/>
        <rFont val="Microsoft JhengHei"/>
        <family val="0"/>
        <charset val="1"/>
      </rPr>
      <t xml:space="preserve">99%</t>
    </r>
    <r>
      <rPr>
        <sz val="9"/>
        <rFont val="Noto Sans CJK SC"/>
        <family val="2"/>
      </rPr>
      <t xml:space="preserve">長者靠家庭照顧、</t>
    </r>
    <r>
      <rPr>
        <sz val="9"/>
        <rFont val="Microsoft JhengHei"/>
        <family val="0"/>
        <charset val="1"/>
      </rPr>
      <t xml:space="preserve">2036</t>
    </r>
    <r>
      <rPr>
        <sz val="9"/>
        <rFont val="Noto Sans CJK SC"/>
        <family val="2"/>
      </rPr>
      <t xml:space="preserve">年進入高齡社會、長照保險未立法。醫護人力：</t>
    </r>
    <r>
      <rPr>
        <sz val="9"/>
        <rFont val="Microsoft JhengHei"/>
        <family val="0"/>
        <charset val="1"/>
      </rPr>
      <t xml:space="preserve">2022</t>
    </r>
    <r>
      <rPr>
        <sz val="9"/>
        <rFont val="Noto Sans CJK SC"/>
        <family val="2"/>
      </rPr>
      <t xml:space="preserve">上半年</t>
    </r>
    <r>
      <rPr>
        <sz val="9"/>
        <rFont val="Microsoft JhengHei"/>
        <family val="0"/>
        <charset val="1"/>
      </rPr>
      <t xml:space="preserve">9,680</t>
    </r>
    <r>
      <rPr>
        <sz val="9"/>
        <rFont val="Noto Sans CJK SC"/>
        <family val="2"/>
      </rPr>
      <t xml:space="preserve">人離職，人力是最大瓶頸。</t>
    </r>
  </si>
  <si>
    <t xml:space="preserve">OPP-72</t>
  </si>
  <si>
    <r>
      <rPr>
        <b val="true"/>
        <sz val="9.5"/>
        <color rgb="FF203864"/>
        <rFont val="Noto Sans CJK SC"/>
        <family val="2"/>
      </rPr>
      <t xml:space="preserve">日間手術中心</t>
    </r>
    <r>
      <rPr>
        <b val="true"/>
        <sz val="9.5"/>
        <color rgb="FF203864"/>
        <rFont val="微軟正黑體"/>
        <family val="0"/>
        <charset val="1"/>
      </rPr>
      <t xml:space="preserve">(ASC)</t>
    </r>
  </si>
  <si>
    <t xml:space="preserve">Ambulatory Surgery Centre</t>
  </si>
  <si>
    <t xml:space="preserve">白內障、疝氣、內視鏡、耳鼻喉與骨科的日間手術；自費與商業保險，未來健保</t>
  </si>
  <si>
    <r>
      <rPr>
        <sz val="9"/>
        <color rgb="FF000000"/>
        <rFont val="微軟正黑體"/>
        <family val="0"/>
        <charset val="1"/>
      </rPr>
      <t xml:space="preserve">2027</t>
    </r>
    <r>
      <rPr>
        <sz val="9"/>
        <color rgb="FF000000"/>
        <rFont val="Noto Sans CJK SC"/>
        <family val="2"/>
      </rPr>
      <t xml:space="preserve">年第</t>
    </r>
    <r>
      <rPr>
        <sz val="9"/>
        <color rgb="FF000000"/>
        <rFont val="微軟正黑體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季起的分級轉診改革會把病人從中央醫院推下來，需求就是那時候出現</t>
    </r>
  </si>
  <si>
    <r>
      <rPr>
        <sz val="9"/>
        <color rgb="FF000000"/>
        <rFont val="Noto Sans CJK SC"/>
        <family val="2"/>
      </rPr>
      <t xml:space="preserve">幾乎空白；</t>
    </r>
    <r>
      <rPr>
        <sz val="9"/>
        <color rgb="FF000000"/>
        <rFont val="微軟正黑體"/>
        <family val="0"/>
        <charset val="1"/>
      </rPr>
      <t xml:space="preserve">2027Q2 </t>
    </r>
    <r>
      <rPr>
        <sz val="9"/>
        <color rgb="FF000000"/>
        <rFont val="Noto Sans CJK SC"/>
        <family val="2"/>
      </rPr>
      <t xml:space="preserve">分級轉診改革將創造需求</t>
    </r>
  </si>
  <si>
    <r>
      <rPr>
        <sz val="9"/>
        <color rgb="FF000000"/>
        <rFont val="Noto Sans CJK SC"/>
        <family val="2"/>
      </rPr>
      <t xml:space="preserve">搶改革時間差：白內障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內視鏡日間手術先行</t>
    </r>
  </si>
  <si>
    <r>
      <rPr>
        <sz val="9"/>
        <rFont val="Noto Sans CJK SC"/>
        <family val="2"/>
      </rPr>
      <t xml:space="preserve">越南獨立</t>
    </r>
    <r>
      <rPr>
        <sz val="9"/>
        <rFont val="Microsoft JhengHei"/>
        <family val="0"/>
        <charset val="1"/>
      </rPr>
      <t xml:space="preserve">ASC</t>
    </r>
    <r>
      <rPr>
        <sz val="9"/>
        <rFont val="Noto Sans CJK SC"/>
        <family val="2"/>
      </rPr>
      <t xml:space="preserve">業態實證未查得；機構型態是否允許獨立</t>
    </r>
    <r>
      <rPr>
        <sz val="9"/>
        <rFont val="Microsoft JhengHei"/>
        <family val="0"/>
        <charset val="1"/>
      </rPr>
      <t xml:space="preserve">ASC</t>
    </r>
    <r>
      <rPr>
        <sz val="9"/>
        <rFont val="Noto Sans CJK SC"/>
        <family val="2"/>
      </rPr>
      <t xml:space="preserve">需查</t>
    </r>
    <r>
      <rPr>
        <sz val="9"/>
        <rFont val="Microsoft JhengHei"/>
        <family val="0"/>
        <charset val="1"/>
      </rPr>
      <t xml:space="preserve">Decree 96/2023</t>
    </r>
    <r>
      <rPr>
        <sz val="9"/>
        <rFont val="Noto Sans CJK SC"/>
        <family val="2"/>
      </rPr>
      <t xml:space="preserve">分類——進場前必做法規確認。</t>
    </r>
  </si>
  <si>
    <t xml:space="preserve">OPP-73</t>
  </si>
  <si>
    <t xml:space="preserve">癌症中心合資經營</t>
  </si>
  <si>
    <t xml:space="preserve">Cancer Centre JV</t>
  </si>
  <si>
    <r>
      <rPr>
        <sz val="9"/>
        <color rgb="FF000000"/>
        <rFont val="Noto Sans CJK SC"/>
        <family val="2"/>
      </rPr>
      <t xml:space="preserve">在省級醫院旁邊建置並經營放療＋化療日間病房，用台灣臨床</t>
    </r>
    <r>
      <rPr>
        <sz val="9"/>
        <color rgb="FF000000"/>
        <rFont val="微軟正黑體"/>
        <family val="0"/>
        <charset val="1"/>
      </rPr>
      <t xml:space="preserve">protocol</t>
    </r>
    <r>
      <rPr>
        <sz val="9"/>
        <color rgb="FF000000"/>
        <rFont val="Noto Sans CJK SC"/>
        <family val="2"/>
      </rPr>
      <t xml:space="preserve">與物理師</t>
    </r>
  </si>
  <si>
    <t xml:space="preserve">★最大的臨床量能缺口，而且健保已經在給付放療——需求與付費方都在，缺的是能力與資金</t>
  </si>
  <si>
    <r>
      <rPr>
        <sz val="9"/>
        <color rgb="FF000000"/>
        <rFont val="微軟正黑體"/>
        <family val="0"/>
        <charset val="1"/>
      </rPr>
      <t xml:space="preserve">Vinmec/Tam Anh </t>
    </r>
    <r>
      <rPr>
        <sz val="9"/>
        <color rgb="FF000000"/>
        <rFont val="Noto Sans CJK SC"/>
        <family val="2"/>
      </rPr>
      <t xml:space="preserve">腫瘤科在都會擴張</t>
    </r>
  </si>
  <si>
    <r>
      <rPr>
        <sz val="9"/>
        <color rgb="FF000000"/>
        <rFont val="Noto Sans CJK SC"/>
        <family val="2"/>
      </rPr>
      <t xml:space="preserve">省級醫院共址合資＋台灣</t>
    </r>
    <r>
      <rPr>
        <sz val="9"/>
        <color rgb="FF000000"/>
        <rFont val="微軟正黑體"/>
        <family val="0"/>
        <charset val="1"/>
      </rPr>
      <t xml:space="preserve">protocol</t>
    </r>
    <r>
      <rPr>
        <sz val="9"/>
        <color rgb="FF000000"/>
        <rFont val="Noto Sans CJK SC"/>
        <family val="2"/>
      </rPr>
      <t xml:space="preserve">＋物理師，避開都會私院戰場</t>
    </r>
  </si>
  <si>
    <r>
      <rPr>
        <sz val="9"/>
        <rFont val="Noto Sans CJK SC"/>
        <family val="2"/>
      </rPr>
      <t xml:space="preserve">放療缺口數據確鑿（</t>
    </r>
    <r>
      <rPr>
        <sz val="9"/>
        <rFont val="Microsoft JhengHei"/>
        <family val="0"/>
        <charset val="1"/>
      </rPr>
      <t xml:space="preserve">84</t>
    </r>
    <r>
      <rPr>
        <sz val="9"/>
        <rFont val="Noto Sans CJK SC"/>
        <family val="2"/>
      </rPr>
      <t xml:space="preserve">台、滿足</t>
    </r>
    <r>
      <rPr>
        <sz val="9"/>
        <rFont val="Microsoft JhengHei"/>
        <family val="0"/>
        <charset val="1"/>
      </rPr>
      <t xml:space="preserve">60-70%</t>
    </r>
    <r>
      <rPr>
        <sz val="9"/>
        <rFont val="Noto Sans CJK SC"/>
        <family val="2"/>
      </rPr>
      <t xml:space="preserve">）；</t>
    </r>
    <r>
      <rPr>
        <sz val="9"/>
        <rFont val="Microsoft JhengHei"/>
        <family val="0"/>
        <charset val="1"/>
      </rPr>
      <t xml:space="preserve">K</t>
    </r>
    <r>
      <rPr>
        <sz val="9"/>
        <rFont val="Noto Sans CJK SC"/>
        <family val="2"/>
      </rPr>
      <t xml:space="preserve">醫院質子中心為公立自建；民間合資具名案例未查得。</t>
    </r>
    <r>
      <rPr>
        <sz val="9"/>
        <rFont val="Microsoft JhengHei"/>
        <family val="0"/>
        <charset val="1"/>
      </rPr>
      <t xml:space="preserve">GLOBOCAN 2022</t>
    </r>
    <r>
      <rPr>
        <sz val="9"/>
        <rFont val="Noto Sans CJK SC"/>
        <family val="2"/>
      </rPr>
      <t xml:space="preserve">：年新發</t>
    </r>
    <r>
      <rPr>
        <sz val="9"/>
        <rFont val="Microsoft JhengHei"/>
        <family val="0"/>
        <charset val="1"/>
      </rPr>
      <t xml:space="preserve">18.05</t>
    </r>
    <r>
      <rPr>
        <sz val="9"/>
        <rFont val="Noto Sans CJK SC"/>
        <family val="2"/>
      </rPr>
      <t xml:space="preserve">萬例、死亡</t>
    </r>
    <r>
      <rPr>
        <sz val="9"/>
        <rFont val="Microsoft JhengHei"/>
        <family val="0"/>
        <charset val="1"/>
      </rPr>
      <t xml:space="preserve">12.02</t>
    </r>
    <r>
      <rPr>
        <sz val="9"/>
        <rFont val="Noto Sans CJK SC"/>
        <family val="2"/>
      </rPr>
      <t xml:space="preserve">萬。</t>
    </r>
  </si>
  <si>
    <t xml:space="preserve">OPP-74</t>
  </si>
  <si>
    <r>
      <rPr>
        <b val="true"/>
        <sz val="9.5"/>
        <color rgb="FF203864"/>
        <rFont val="Noto Sans CJK SC"/>
        <family val="2"/>
      </rPr>
      <t xml:space="preserve">生殖醫學</t>
    </r>
    <r>
      <rPr>
        <b val="true"/>
        <sz val="9.5"/>
        <color rgb="FF203864"/>
        <rFont val="微軟正黑體"/>
        <family val="0"/>
        <charset val="1"/>
      </rPr>
      <t xml:space="preserve">(IVF)</t>
    </r>
    <r>
      <rPr>
        <b val="true"/>
        <sz val="9.5"/>
        <color rgb="FF203864"/>
        <rFont val="Noto Sans CJK SC"/>
        <family val="2"/>
      </rPr>
      <t xml:space="preserve">連鎖</t>
    </r>
  </si>
  <si>
    <t xml:space="preserve">IVF Clinic Chain</t>
  </si>
  <si>
    <r>
      <rPr>
        <sz val="9"/>
        <color rgb="FF000000"/>
        <rFont val="Noto Sans CJK SC"/>
        <family val="2"/>
      </rPr>
      <t xml:space="preserve">品牌化生殖中心，台灣實驗室主任掛牌；</t>
    </r>
    <r>
      <rPr>
        <sz val="9"/>
        <color rgb="FF000000"/>
        <rFont val="微軟正黑體"/>
        <family val="0"/>
        <charset val="1"/>
      </rPr>
      <t xml:space="preserve">100%</t>
    </r>
    <r>
      <rPr>
        <sz val="9"/>
        <color rgb="FF000000"/>
        <rFont val="Noto Sans CJK SC"/>
        <family val="2"/>
      </rPr>
      <t xml:space="preserve">病人自費、單價高</t>
    </r>
  </si>
  <si>
    <t xml:space="preserve">外資友善、不涉健保糾纏，是台灣醫療品牌最容易落地的業態之一</t>
  </si>
  <si>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5</t>
    </r>
    <r>
      <rPr>
        <sz val="9"/>
        <rFont val="Noto Sans CJK SC"/>
        <family val="2"/>
      </rPr>
      <t xml:space="preserve">萬</t>
    </r>
    <r>
      <rPr>
        <sz val="9"/>
        <rFont val="Microsoft JhengHei"/>
        <family val="0"/>
        <charset val="1"/>
      </rPr>
      <t xml:space="preserve">+</t>
    </r>
    <r>
      <rPr>
        <sz val="9"/>
        <rFont val="Noto Sans CJK SC"/>
        <family val="2"/>
      </rPr>
      <t xml:space="preserve">週期、</t>
    </r>
    <r>
      <rPr>
        <sz val="9"/>
        <rFont val="Microsoft JhengHei"/>
        <family val="0"/>
        <charset val="1"/>
      </rPr>
      <t xml:space="preserve">65</t>
    </r>
    <r>
      <rPr>
        <sz val="9"/>
        <rFont val="Noto Sans CJK SC"/>
        <family val="2"/>
      </rPr>
      <t xml:space="preserve">中心；龍頭</t>
    </r>
    <r>
      <rPr>
        <sz val="9"/>
        <rFont val="Microsoft JhengHei"/>
        <family val="0"/>
        <charset val="1"/>
      </rPr>
      <t xml:space="preserve">My Duc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IVFMD</t>
    </r>
    <r>
      <rPr>
        <sz val="9"/>
        <rFont val="Noto Sans CJK SC"/>
        <family val="2"/>
      </rPr>
      <t xml:space="preserve">）、</t>
    </r>
    <r>
      <rPr>
        <sz val="9"/>
        <rFont val="Microsoft JhengHei"/>
        <family val="0"/>
        <charset val="1"/>
      </rPr>
      <t xml:space="preserve">Tam Anh</t>
    </r>
    <r>
      <rPr>
        <sz val="9"/>
        <rFont val="Noto Sans CJK SC"/>
        <family val="2"/>
      </rPr>
      <t xml:space="preserve">；價格優勢（</t>
    </r>
    <r>
      <rPr>
        <sz val="9"/>
        <rFont val="Microsoft JhengHei"/>
        <family val="0"/>
        <charset val="1"/>
      </rPr>
      <t xml:space="preserve">1/5</t>
    </r>
    <r>
      <rPr>
        <sz val="9"/>
        <rFont val="Noto Sans CJK SC"/>
        <family val="2"/>
      </rPr>
      <t xml:space="preserve">）疊加醫療觀光題材。</t>
    </r>
  </si>
  <si>
    <t xml:space="preserve">OPP-75</t>
  </si>
  <si>
    <t xml:space="preserve">健檢連鎖與行動篩檢營運</t>
  </si>
  <si>
    <t xml:space="preserve">Health Screening Chain &amp; Mobile Screening</t>
  </si>
  <si>
    <t xml:space="preserve">承接省級的全民健檢量能，也做企業健檢；省預算、健保與雇主付錢</t>
  </si>
  <si>
    <r>
      <rPr>
        <sz val="9"/>
        <color rgb="FF000000"/>
        <rFont val="微軟正黑體"/>
        <family val="0"/>
        <charset val="1"/>
      </rPr>
      <t xml:space="preserve">★2026</t>
    </r>
    <r>
      <rPr>
        <sz val="9"/>
        <color rgb="FF000000"/>
        <rFont val="Noto Sans CJK SC"/>
        <family val="2"/>
      </rPr>
      <t xml:space="preserve">年起全民免費健檢：全國優先族群約</t>
    </r>
    <r>
      <rPr>
        <sz val="9"/>
        <color rgb="FF000000"/>
        <rFont val="微軟正黑體"/>
        <family val="0"/>
        <charset val="1"/>
      </rPr>
      <t xml:space="preserve">US$227m/</t>
    </r>
    <r>
      <rPr>
        <sz val="9"/>
        <color rgb="FF000000"/>
        <rFont val="Noto Sans CJK SC"/>
        <family val="2"/>
      </rPr>
      <t xml:space="preserve">年、胡志明市單城約</t>
    </r>
    <r>
      <rPr>
        <sz val="9"/>
        <color rgb="FF000000"/>
        <rFont val="微軟正黑體"/>
        <family val="0"/>
        <charset val="1"/>
      </rPr>
      <t xml:space="preserve">US$95m/</t>
    </r>
    <r>
      <rPr>
        <sz val="9"/>
        <color rgb="FF000000"/>
        <rFont val="Noto Sans CJK SC"/>
        <family val="2"/>
      </rPr>
      <t xml:space="preserve">年，是時程確定的需求衝擊</t>
    </r>
  </si>
  <si>
    <r>
      <rPr>
        <sz val="9"/>
        <color rgb="FF000000"/>
        <rFont val="微軟正黑體"/>
        <family val="0"/>
        <charset val="1"/>
      </rPr>
      <t xml:space="preserve">Medlatec/Diag </t>
    </r>
    <r>
      <rPr>
        <sz val="9"/>
        <color rgb="FF000000"/>
        <rFont val="Noto Sans CJK SC"/>
        <family val="2"/>
      </rPr>
      <t xml:space="preserve">行動採檢已在做</t>
    </r>
  </si>
  <si>
    <r>
      <rPr>
        <sz val="9"/>
        <color rgb="FF000000"/>
        <rFont val="Noto Sans CJK SC"/>
        <family val="2"/>
      </rPr>
      <t xml:space="preserve">整車隊＋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判讀＋省級整包承攬（政策量能缺口大）</t>
    </r>
  </si>
  <si>
    <r>
      <rPr>
        <sz val="9"/>
        <rFont val="Microsoft JhengHei"/>
        <family val="0"/>
        <charset val="1"/>
      </rPr>
      <t xml:space="preserve">Medlatec</t>
    </r>
    <r>
      <rPr>
        <sz val="9"/>
        <rFont val="Noto Sans CJK SC"/>
        <family val="2"/>
      </rPr>
      <t xml:space="preserve">以檢驗＋到府採檢建立全國網絡＝商模已驗證；獨立檢驗市場成形。</t>
    </r>
  </si>
  <si>
    <t xml:space="preserve">OPP-76</t>
  </si>
  <si>
    <t xml:space="preserve">委外檢驗與區域中心實驗室</t>
  </si>
  <si>
    <t xml:space="preserve">Reference Lab &amp; Outsourced Testing</t>
  </si>
  <si>
    <t xml:space="preserve">接醫院外送檢體與篩檢方案的量；按件計價向醫院、健保與雇主收費</t>
  </si>
  <si>
    <r>
      <rPr>
        <sz val="9"/>
        <color rgb="FF000000"/>
        <rFont val="微軟正黑體"/>
        <family val="0"/>
        <charset val="1"/>
      </rPr>
      <t xml:space="preserve">Diag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PATHLAB</t>
    </r>
    <r>
      <rPr>
        <sz val="9"/>
        <color rgb="FF000000"/>
        <rFont val="Noto Sans CJK SC"/>
        <family val="2"/>
      </rPr>
      <t xml:space="preserve">等已在整併；健檢政策是量能驅動力</t>
    </r>
  </si>
  <si>
    <r>
      <rPr>
        <sz val="9"/>
        <color rgb="FF000000"/>
        <rFont val="微軟正黑體"/>
        <family val="0"/>
        <charset val="1"/>
      </rPr>
      <t xml:space="preserve">Diag/PATHLAB/Himedic/Chemedic </t>
    </r>
    <r>
      <rPr>
        <sz val="9"/>
        <color rgb="FF000000"/>
        <rFont val="Noto Sans CJK SC"/>
        <family val="2"/>
      </rPr>
      <t xml:space="preserve">四強整併中</t>
    </r>
  </si>
  <si>
    <r>
      <rPr>
        <sz val="9"/>
        <color rgb="FF000000"/>
        <rFont val="Noto Sans CJK SC"/>
        <family val="2"/>
      </rPr>
      <t xml:space="preserve">不自建連鎖：賣 </t>
    </r>
    <r>
      <rPr>
        <sz val="9"/>
        <color rgb="FF000000"/>
        <rFont val="微軟正黑體"/>
        <family val="0"/>
        <charset val="1"/>
      </rPr>
      <t xml:space="preserve">hub lab </t>
    </r>
    <r>
      <rPr>
        <sz val="9"/>
        <color rgb="FF000000"/>
        <rFont val="Noto Sans CJK SC"/>
        <family val="2"/>
      </rPr>
      <t xml:space="preserve">自動化＋認證給整併者</t>
    </r>
  </si>
  <si>
    <t xml:space="preserve">OPP-77</t>
  </si>
  <si>
    <t xml:space="preserve">長照機構與失智照護</t>
  </si>
  <si>
    <t xml:space="preserve">Long-term Care &amp; Dementia Facility</t>
  </si>
  <si>
    <r>
      <rPr>
        <sz val="9"/>
        <color rgb="FF000000"/>
        <rFont val="Noto Sans CJK SC"/>
        <family val="2"/>
      </rPr>
      <t xml:space="preserve">住宿型照護與失智專區，加上營運</t>
    </r>
    <r>
      <rPr>
        <sz val="9"/>
        <color rgb="FF000000"/>
        <rFont val="微軟正黑體"/>
        <family val="0"/>
        <charset val="1"/>
      </rPr>
      <t xml:space="preserve">know-how</t>
    </r>
    <r>
      <rPr>
        <sz val="9"/>
        <color rgb="FF000000"/>
        <rFont val="Noto Sans CJK SC"/>
        <family val="2"/>
      </rPr>
      <t xml:space="preserve">；目前幾乎全是家屬自費</t>
    </r>
  </si>
  <si>
    <r>
      <rPr>
        <sz val="9"/>
        <color rgb="FF000000"/>
        <rFont val="Noto Sans CJK SC"/>
        <family val="2"/>
      </rPr>
      <t xml:space="preserve">★全國僅約</t>
    </r>
    <r>
      <rPr>
        <sz val="9"/>
        <color rgb="FF000000"/>
        <rFont val="微軟正黑體"/>
        <family val="0"/>
        <charset val="1"/>
      </rPr>
      <t xml:space="preserve">80</t>
    </r>
    <r>
      <rPr>
        <sz val="9"/>
        <color rgb="FF000000"/>
        <rFont val="Noto Sans CJK SC"/>
        <family val="2"/>
      </rPr>
      <t xml:space="preserve">家私立養護中心、</t>
    </r>
    <r>
      <rPr>
        <sz val="9"/>
        <color rgb="FF000000"/>
        <rFont val="微軟正黑體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家老年醫院；需日常照護人口將從</t>
    </r>
    <r>
      <rPr>
        <sz val="9"/>
        <color rgb="FF000000"/>
        <rFont val="微軟正黑體"/>
        <family val="0"/>
        <charset val="1"/>
      </rPr>
      <t xml:space="preserve">400</t>
    </r>
    <r>
      <rPr>
        <sz val="9"/>
        <color rgb="FF000000"/>
        <rFont val="Noto Sans CJK SC"/>
        <family val="2"/>
      </rPr>
      <t xml:space="preserve">萬</t>
    </r>
    <r>
      <rPr>
        <sz val="9"/>
        <color rgb="FF000000"/>
        <rFont val="微軟正黑體"/>
        <family val="0"/>
        <charset val="1"/>
      </rPr>
      <t xml:space="preserve">(2019)</t>
    </r>
    <r>
      <rPr>
        <sz val="9"/>
        <color rgb="FF000000"/>
        <rFont val="Noto Sans CJK SC"/>
        <family val="2"/>
      </rPr>
      <t xml:space="preserve">增至</t>
    </r>
    <r>
      <rPr>
        <sz val="9"/>
        <color rgb="FF000000"/>
        <rFont val="微軟正黑體"/>
        <family val="0"/>
        <charset val="1"/>
      </rPr>
      <t xml:space="preserve">1000</t>
    </r>
    <r>
      <rPr>
        <sz val="9"/>
        <color rgb="FF000000"/>
        <rFont val="Noto Sans CJK SC"/>
        <family val="2"/>
      </rPr>
      <t xml:space="preserve">萬</t>
    </r>
    <r>
      <rPr>
        <sz val="9"/>
        <color rgb="FF000000"/>
        <rFont val="微軟正黑體"/>
        <family val="0"/>
        <charset val="1"/>
      </rPr>
      <t xml:space="preserve">(2030)</t>
    </r>
  </si>
  <si>
    <r>
      <rPr>
        <sz val="9"/>
        <color rgb="FF000000"/>
        <rFont val="Noto Sans CJK SC"/>
        <family val="2"/>
      </rPr>
      <t xml:space="preserve">全國僅約</t>
    </r>
    <r>
      <rPr>
        <sz val="9"/>
        <color rgb="FF000000"/>
        <rFont val="微軟正黑體"/>
        <family val="0"/>
        <charset val="1"/>
      </rPr>
      <t xml:space="preserve">80</t>
    </r>
    <r>
      <rPr>
        <sz val="9"/>
        <color rgb="FF000000"/>
        <rFont val="Noto Sans CJK SC"/>
        <family val="2"/>
      </rPr>
      <t xml:space="preserve">家私立養護、無外資連鎖</t>
    </r>
  </si>
  <si>
    <t xml:space="preserve">台灣長照體系輸出＋失智照護，先做高端自費</t>
  </si>
  <si>
    <r>
      <rPr>
        <sz val="9"/>
        <rFont val="Microsoft JhengHei"/>
        <family val="0"/>
        <charset val="1"/>
      </rPr>
      <t xml:space="preserve">99%</t>
    </r>
    <r>
      <rPr>
        <sz val="9"/>
        <rFont val="Noto Sans CJK SC"/>
        <family val="2"/>
      </rPr>
      <t xml:space="preserve">長者依賴家庭照顧、</t>
    </r>
    <r>
      <rPr>
        <sz val="9"/>
        <rFont val="Microsoft JhengHei"/>
        <family val="0"/>
        <charset val="1"/>
      </rPr>
      <t xml:space="preserve">76%</t>
    </r>
    <r>
      <rPr>
        <sz val="9"/>
        <rFont val="Noto Sans CJK SC"/>
        <family val="2"/>
      </rPr>
      <t xml:space="preserve">無年金；約</t>
    </r>
    <r>
      <rPr>
        <sz val="9"/>
        <rFont val="Microsoft JhengHei"/>
        <family val="0"/>
        <charset val="1"/>
      </rPr>
      <t xml:space="preserve">2036</t>
    </r>
    <r>
      <rPr>
        <sz val="9"/>
        <rFont val="Noto Sans CJK SC"/>
        <family val="2"/>
      </rPr>
      <t xml:space="preserve">年進入高齡社會；長照保險僅學術討論——政策空窗＋自費市場先行。</t>
    </r>
  </si>
  <si>
    <t xml:space="preserve">OPP-78</t>
  </si>
  <si>
    <t xml:space="preserve">居家醫療、居家護理與安寧</t>
  </si>
  <si>
    <t xml:space="preserve">Home Care, Home Nursing &amp; Hospice</t>
  </si>
  <si>
    <t xml:space="preserve">訂閱制到宅護理、術後照護與安寧；自費與商業保險，未來健保可能給付</t>
  </si>
  <si>
    <r>
      <rPr>
        <sz val="9"/>
        <color rgb="FF000000"/>
        <rFont val="Noto Sans CJK SC"/>
        <family val="2"/>
      </rPr>
      <t xml:space="preserve">★約</t>
    </r>
    <r>
      <rPr>
        <sz val="9"/>
        <color rgb="FF000000"/>
        <rFont val="微軟正黑體"/>
        <family val="0"/>
        <charset val="1"/>
      </rPr>
      <t xml:space="preserve">90%</t>
    </r>
    <r>
      <rPr>
        <sz val="9"/>
        <color rgb="FF000000"/>
        <rFont val="Noto Sans CJK SC"/>
        <family val="2"/>
      </rPr>
      <t xml:space="preserve">越南長者希望在家受照顧，但沒有任何規模化業者；輕資產、適合當第一步落地</t>
    </r>
  </si>
  <si>
    <r>
      <rPr>
        <sz val="9"/>
        <color rgb="FF000000"/>
        <rFont val="Noto Sans CJK SC"/>
        <family val="2"/>
      </rPr>
      <t xml:space="preserve">無規模化業者（約</t>
    </r>
    <r>
      <rPr>
        <sz val="9"/>
        <color rgb="FF000000"/>
        <rFont val="微軟正黑體"/>
        <family val="0"/>
        <charset val="1"/>
      </rPr>
      <t xml:space="preserve">90%</t>
    </r>
    <r>
      <rPr>
        <sz val="9"/>
        <color rgb="FF000000"/>
        <rFont val="Noto Sans CJK SC"/>
        <family val="2"/>
      </rPr>
      <t xml:space="preserve">長者盼在宅照顧）</t>
    </r>
  </si>
  <si>
    <t xml:space="preserve">輕資產訂閱制，綁醫院出院轉銜</t>
  </si>
  <si>
    <t xml:space="preserve">OPP-79</t>
  </si>
  <si>
    <t xml:space="preserve">復健與亞急性照護中心</t>
  </si>
  <si>
    <t xml:space="preserve">Rehabilitation &amp; Sub-acute Care</t>
  </si>
  <si>
    <t xml:space="preserve">中風、骨科術後與長者失能的復健床；健保部分給付＋自費</t>
  </si>
  <si>
    <t xml:space="preserve">中央醫院沒有床位留給復健，是分級轉診改革會釋出的另一塊需求</t>
  </si>
  <si>
    <t xml:space="preserve">具名連鎖案例未查得＝空白。</t>
  </si>
  <si>
    <t xml:space="preserve">OPP-80</t>
  </si>
  <si>
    <t xml:space="preserve">遠距醫療與居家遠端監測</t>
  </si>
  <si>
    <t xml:space="preserve">Telehealth &amp; Remote Patient Monitoring</t>
  </si>
  <si>
    <r>
      <rPr>
        <sz val="9"/>
        <color rgb="FF000000"/>
        <rFont val="Noto Sans CJK SC"/>
        <family val="2"/>
      </rPr>
      <t xml:space="preserve">遠距會診平台與居家監測設備＋警示；目前醫院自付，健保給付草案預計</t>
    </r>
    <r>
      <rPr>
        <sz val="9"/>
        <color rgb="FF000000"/>
        <rFont val="微軟正黑體"/>
        <family val="0"/>
        <charset val="1"/>
      </rPr>
      <t xml:space="preserve">2027</t>
    </r>
    <r>
      <rPr>
        <sz val="9"/>
        <color rgb="FF000000"/>
        <rFont val="Noto Sans CJK SC"/>
        <family val="2"/>
      </rPr>
      <t xml:space="preserve">初生效</t>
    </r>
  </si>
  <si>
    <r>
      <rPr>
        <sz val="9"/>
        <color rgb="FF000000"/>
        <rFont val="Noto Sans CJK SC"/>
        <family val="2"/>
      </rPr>
      <t xml:space="preserve">★衛生部</t>
    </r>
    <r>
      <rPr>
        <sz val="9"/>
        <color rgb="FF000000"/>
        <rFont val="微軟正黑體"/>
        <family val="0"/>
        <charset val="1"/>
      </rPr>
      <t xml:space="preserve">2026/8</t>
    </r>
    <r>
      <rPr>
        <sz val="9"/>
        <color rgb="FF000000"/>
        <rFont val="Noto Sans CJK SC"/>
        <family val="2"/>
      </rPr>
      <t xml:space="preserve">草案擬讓健保給付遠距與居家醫療、基金負擔</t>
    </r>
    <r>
      <rPr>
        <sz val="9"/>
        <color rgb="FF000000"/>
        <rFont val="微軟正黑體"/>
        <family val="0"/>
        <charset val="1"/>
      </rPr>
      <t xml:space="preserve">50%</t>
    </r>
    <r>
      <rPr>
        <sz val="9"/>
        <color rgb="FF000000"/>
        <rFont val="Noto Sans CJK SC"/>
        <family val="2"/>
      </rPr>
      <t xml:space="preserve">價差——商機時程要押在</t>
    </r>
    <r>
      <rPr>
        <sz val="9"/>
        <color rgb="FF000000"/>
        <rFont val="微軟正黑體"/>
        <family val="0"/>
        <charset val="1"/>
      </rPr>
      <t xml:space="preserve">2027</t>
    </r>
  </si>
  <si>
    <r>
      <rPr>
        <sz val="9"/>
        <color rgb="FF000000"/>
        <rFont val="微軟正黑體"/>
        <family val="0"/>
        <charset val="1"/>
      </rPr>
      <t xml:space="preserve">Viettel/VNPT </t>
    </r>
    <r>
      <rPr>
        <sz val="9"/>
        <color rgb="FF000000"/>
        <rFont val="Noto Sans CJK SC"/>
        <family val="2"/>
      </rPr>
      <t xml:space="preserve">平台＋醫院自建</t>
    </r>
  </si>
  <si>
    <r>
      <rPr>
        <sz val="9"/>
        <color rgb="FF000000"/>
        <rFont val="Noto Sans CJK SC"/>
        <family val="2"/>
      </rPr>
      <t xml:space="preserve">押 </t>
    </r>
    <r>
      <rPr>
        <sz val="9"/>
        <color rgb="FF000000"/>
        <rFont val="微軟正黑體"/>
        <family val="0"/>
        <charset val="1"/>
      </rPr>
      <t xml:space="preserve">2027 </t>
    </r>
    <r>
      <rPr>
        <sz val="9"/>
        <color rgb="FF000000"/>
        <rFont val="Noto Sans CJK SC"/>
        <family val="2"/>
      </rPr>
      <t xml:space="preserve">健保給付遠距的時點；先做自費慢病管理</t>
    </r>
  </si>
  <si>
    <r>
      <rPr>
        <sz val="9"/>
        <rFont val="Noto Sans CJK SC"/>
        <family val="2"/>
      </rPr>
      <t xml:space="preserve">法源齊備：</t>
    </r>
    <r>
      <rPr>
        <sz val="9"/>
        <rFont val="Microsoft JhengHei"/>
        <family val="0"/>
        <charset val="1"/>
      </rPr>
      <t xml:space="preserve">Law 15/2023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2024-01</t>
    </r>
    <r>
      <rPr>
        <sz val="9"/>
        <rFont val="Noto Sans CJK SC"/>
        <family val="2"/>
      </rPr>
      <t xml:space="preserve">生效）正式承認遠距診療＋</t>
    </r>
    <r>
      <rPr>
        <sz val="9"/>
        <rFont val="Microsoft JhengHei"/>
        <family val="0"/>
        <charset val="1"/>
      </rPr>
      <t xml:space="preserve">Circular 30/2023</t>
    </r>
    <r>
      <rPr>
        <sz val="9"/>
        <rFont val="Noto Sans CJK SC"/>
        <family val="2"/>
      </rPr>
      <t xml:space="preserve">列約</t>
    </r>
    <r>
      <rPr>
        <sz val="9"/>
        <rFont val="Microsoft JhengHei"/>
        <family val="0"/>
        <charset val="1"/>
      </rPr>
      <t xml:space="preserve">20</t>
    </r>
    <r>
      <rPr>
        <sz val="9"/>
        <rFont val="Noto Sans CJK SC"/>
        <family val="2"/>
      </rPr>
      <t xml:space="preserve">專科</t>
    </r>
    <r>
      <rPr>
        <sz val="9"/>
        <rFont val="Microsoft JhengHei"/>
        <family val="0"/>
        <charset val="1"/>
      </rPr>
      <t xml:space="preserve">50</t>
    </r>
    <r>
      <rPr>
        <sz val="9"/>
        <rFont val="Noto Sans CJK SC"/>
        <family val="2"/>
      </rPr>
      <t xml:space="preserve">種疾病；衛生部建</t>
    </r>
    <r>
      <rPr>
        <sz val="9"/>
        <rFont val="Microsoft JhengHei"/>
        <family val="0"/>
        <charset val="1"/>
      </rPr>
      <t xml:space="preserve">VTelehealth</t>
    </r>
    <r>
      <rPr>
        <sz val="9"/>
        <rFont val="Noto Sans CJK SC"/>
        <family val="2"/>
      </rPr>
      <t xml:space="preserve">平台；</t>
    </r>
    <r>
      <rPr>
        <sz val="9"/>
        <rFont val="Microsoft JhengHei"/>
        <family val="0"/>
        <charset val="1"/>
      </rPr>
      <t xml:space="preserve">RPM</t>
    </r>
    <r>
      <rPr>
        <sz val="9"/>
        <rFont val="Noto Sans CJK SC"/>
        <family val="2"/>
      </rPr>
      <t xml:space="preserve">健保給付碼未查得。</t>
    </r>
  </si>
  <si>
    <t xml:space="preserve">OPP-81</t>
  </si>
  <si>
    <r>
      <rPr>
        <b val="true"/>
        <sz val="9.5"/>
        <color rgb="FF203864"/>
        <rFont val="Noto Sans CJK SC"/>
        <family val="2"/>
      </rPr>
      <t xml:space="preserve">病人</t>
    </r>
    <r>
      <rPr>
        <b val="true"/>
        <sz val="9.5"/>
        <color rgb="FF203864"/>
        <rFont val="微軟正黑體"/>
        <family val="0"/>
        <charset val="1"/>
      </rPr>
      <t xml:space="preserve">App</t>
    </r>
    <r>
      <rPr>
        <b val="true"/>
        <sz val="9.5"/>
        <color rgb="FF203864"/>
        <rFont val="Noto Sans CJK SC"/>
        <family val="2"/>
      </rPr>
      <t xml:space="preserve">、無現金支付與報到機</t>
    </r>
  </si>
  <si>
    <t xml:space="preserve">Patient App, Cashless Payment &amp; Kiosk</t>
  </si>
  <si>
    <r>
      <rPr>
        <sz val="9"/>
        <color rgb="FF000000"/>
        <rFont val="微軟正黑體"/>
        <family val="0"/>
        <charset val="1"/>
      </rPr>
      <t xml:space="preserve">J </t>
    </r>
    <r>
      <rPr>
        <sz val="9"/>
        <color rgb="FF000000"/>
        <rFont val="Noto Sans CJK SC"/>
        <family val="2"/>
      </rPr>
      <t xml:space="preserve">商模支付與病人生態</t>
    </r>
  </si>
  <si>
    <r>
      <rPr>
        <sz val="9"/>
        <color rgb="FF000000"/>
        <rFont val="Noto Sans CJK SC"/>
        <family val="2"/>
      </rPr>
      <t xml:space="preserve">預約、掛號、</t>
    </r>
    <r>
      <rPr>
        <sz val="9"/>
        <color rgb="FF000000"/>
        <rFont val="微軟正黑體"/>
        <family val="0"/>
        <charset val="1"/>
      </rPr>
      <t xml:space="preserve">QR</t>
    </r>
    <r>
      <rPr>
        <sz val="9"/>
        <color rgb="FF000000"/>
        <rFont val="Noto Sans CJK SC"/>
        <family val="2"/>
      </rPr>
      <t xml:space="preserve">／電子錢包支付、身分證晶片＋人臉報到；銀行與電子錢包願意共同出資</t>
    </r>
  </si>
  <si>
    <r>
      <rPr>
        <sz val="9"/>
        <color rgb="FF000000"/>
        <rFont val="Noto Sans CJK SC"/>
        <family val="2"/>
      </rPr>
      <t xml:space="preserve">紙本健保卡</t>
    </r>
    <r>
      <rPr>
        <sz val="9"/>
        <color rgb="FF000000"/>
        <rFont val="微軟正黑體"/>
        <family val="0"/>
        <charset val="1"/>
      </rPr>
      <t xml:space="preserve">2025/6/1</t>
    </r>
    <r>
      <rPr>
        <sz val="9"/>
        <color rgb="FF000000"/>
        <rFont val="Noto Sans CJK SC"/>
        <family val="2"/>
      </rPr>
      <t xml:space="preserve">起停用，改用</t>
    </r>
    <r>
      <rPr>
        <sz val="9"/>
        <color rgb="FF000000"/>
        <rFont val="微軟正黑體"/>
        <family val="0"/>
        <charset val="1"/>
      </rPr>
      <t xml:space="preserve">VNeID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VssID</t>
    </r>
    <r>
      <rPr>
        <sz val="9"/>
        <color rgb="FF000000"/>
        <rFont val="Noto Sans CJK SC"/>
        <family val="2"/>
      </rPr>
      <t xml:space="preserve">／晶片身分證——報到流程一定要改，就是切入時機</t>
    </r>
  </si>
  <si>
    <r>
      <rPr>
        <sz val="9"/>
        <rFont val="Noto Sans CJK SC"/>
        <family val="2"/>
      </rPr>
      <t xml:space="preserve">滲透已高（</t>
    </r>
    <r>
      <rPr>
        <sz val="9"/>
        <rFont val="Microsoft JhengHei"/>
        <family val="0"/>
        <charset val="1"/>
      </rPr>
      <t xml:space="preserve">95%</t>
    </r>
    <r>
      <rPr>
        <sz val="9"/>
        <rFont val="Noto Sans CJK SC"/>
        <family val="2"/>
      </rPr>
      <t xml:space="preserve">機構受理非現金、</t>
    </r>
    <r>
      <rPr>
        <sz val="9"/>
        <rFont val="Microsoft JhengHei"/>
        <family val="0"/>
        <charset val="1"/>
      </rPr>
      <t xml:space="preserve">89%</t>
    </r>
    <r>
      <rPr>
        <sz val="9"/>
        <rFont val="Noto Sans CJK SC"/>
        <family val="2"/>
      </rPr>
      <t xml:space="preserve">支援</t>
    </r>
    <r>
      <rPr>
        <sz val="9"/>
        <rFont val="Microsoft JhengHei"/>
        <family val="0"/>
        <charset val="1"/>
      </rPr>
      <t xml:space="preserve">QR</t>
    </r>
    <r>
      <rPr>
        <sz val="9"/>
        <rFont val="Noto Sans CJK SC"/>
        <family val="2"/>
      </rPr>
      <t xml:space="preserve">）——單純支付閘道已非藍海，競爭轉向全流程整合（掛號</t>
    </r>
    <r>
      <rPr>
        <sz val="9"/>
        <rFont val="Microsoft JhengHei"/>
        <family val="0"/>
        <charset val="1"/>
      </rPr>
      <t xml:space="preserve">-</t>
    </r>
    <r>
      <rPr>
        <sz val="9"/>
        <rFont val="Noto Sans CJK SC"/>
        <family val="2"/>
      </rPr>
      <t xml:space="preserve">繳費</t>
    </r>
    <r>
      <rPr>
        <sz val="9"/>
        <rFont val="Microsoft JhengHei"/>
        <family val="0"/>
        <charset val="1"/>
      </rPr>
      <t xml:space="preserve">-</t>
    </r>
    <r>
      <rPr>
        <sz val="9"/>
        <rFont val="Noto Sans CJK SC"/>
        <family val="2"/>
      </rPr>
      <t xml:space="preserve">病歷</t>
    </r>
    <r>
      <rPr>
        <sz val="9"/>
        <rFont val="Microsoft JhengHei"/>
        <family val="0"/>
        <charset val="1"/>
      </rPr>
      <t xml:space="preserve">-</t>
    </r>
    <r>
      <rPr>
        <sz val="9"/>
        <rFont val="Noto Sans CJK SC"/>
        <family val="2"/>
      </rPr>
      <t xml:space="preserve">理賠）與對帳效率。</t>
    </r>
  </si>
  <si>
    <r>
      <rPr>
        <sz val="9"/>
        <rFont val="Microsoft JhengHei"/>
        <family val="0"/>
        <charset val="1"/>
      </rPr>
      <t xml:space="preserve">BHYT</t>
    </r>
    <r>
      <rPr>
        <sz val="9"/>
        <rFont val="Noto Sans CJK SC"/>
        <family val="2"/>
      </rPr>
      <t xml:space="preserve">覆蓋率</t>
    </r>
    <r>
      <rPr>
        <sz val="9"/>
        <rFont val="Microsoft JhengHei"/>
        <family val="0"/>
        <charset val="1"/>
      </rPr>
      <t xml:space="preserve">2025</t>
    </r>
    <r>
      <rPr>
        <sz val="9"/>
        <rFont val="Noto Sans CJK SC"/>
        <family val="2"/>
      </rPr>
      <t xml:space="preserve">年底</t>
    </r>
    <r>
      <rPr>
        <sz val="9"/>
        <rFont val="Microsoft JhengHei"/>
        <family val="0"/>
        <charset val="1"/>
      </rPr>
      <t xml:space="preserve">95.2%</t>
    </r>
    <r>
      <rPr>
        <sz val="9"/>
        <rFont val="Noto Sans CJK SC"/>
        <family val="2"/>
      </rPr>
      <t xml:space="preserve">（提前</t>
    </r>
    <r>
      <rPr>
        <sz val="9"/>
        <rFont val="Microsoft JhengHei"/>
        <family val="0"/>
        <charset val="1"/>
      </rPr>
      <t xml:space="preserve">5</t>
    </r>
    <r>
      <rPr>
        <sz val="9"/>
        <rFont val="Noto Sans CJK SC"/>
        <family val="2"/>
      </rPr>
      <t xml:space="preserve">年達標）、年給付</t>
    </r>
    <r>
      <rPr>
        <sz val="9"/>
        <rFont val="Microsoft JhengHei"/>
        <family val="0"/>
        <charset val="1"/>
      </rPr>
      <t xml:space="preserve">1.955</t>
    </r>
    <r>
      <rPr>
        <sz val="9"/>
        <rFont val="Noto Sans CJK SC"/>
        <family val="2"/>
      </rPr>
      <t xml:space="preserve">億人次；修正健保法</t>
    </r>
    <r>
      <rPr>
        <sz val="9"/>
        <rFont val="Microsoft JhengHei"/>
        <family val="0"/>
        <charset val="1"/>
      </rPr>
      <t xml:space="preserve">2025-07-01</t>
    </r>
    <r>
      <rPr>
        <sz val="9"/>
        <rFont val="Noto Sans CJK SC"/>
        <family val="2"/>
      </rPr>
      <t xml:space="preserve">生效，取消行政界線轉診限制。無現金：</t>
    </r>
    <r>
      <rPr>
        <sz val="9"/>
        <rFont val="Microsoft JhengHei"/>
        <family val="0"/>
        <charset val="1"/>
      </rPr>
      <t xml:space="preserve">95%</t>
    </r>
    <r>
      <rPr>
        <sz val="9"/>
        <rFont val="Noto Sans CJK SC"/>
        <family val="2"/>
      </rPr>
      <t xml:space="preserve">機構受理、</t>
    </r>
    <r>
      <rPr>
        <sz val="9"/>
        <rFont val="Microsoft JhengHei"/>
        <family val="0"/>
        <charset val="1"/>
      </rPr>
      <t xml:space="preserve">89%</t>
    </r>
    <r>
      <rPr>
        <sz val="9"/>
        <rFont val="Noto Sans CJK SC"/>
        <family val="2"/>
      </rPr>
      <t xml:space="preserve">支援</t>
    </r>
    <r>
      <rPr>
        <sz val="9"/>
        <rFont val="Microsoft JhengHei"/>
        <family val="0"/>
        <charset val="1"/>
      </rPr>
      <t xml:space="preserve">QR</t>
    </r>
    <r>
      <rPr>
        <sz val="9"/>
        <rFont val="Noto Sans CJK SC"/>
        <family val="2"/>
      </rPr>
      <t xml:space="preserve">、大醫院電子收費</t>
    </r>
    <r>
      <rPr>
        <sz val="9"/>
        <rFont val="Microsoft JhengHei"/>
        <family val="0"/>
        <charset val="1"/>
      </rPr>
      <t xml:space="preserve">70-90%——</t>
    </r>
    <r>
      <rPr>
        <sz val="9"/>
        <rFont val="Noto Sans CJK SC"/>
        <family val="2"/>
      </rPr>
      <t xml:space="preserve">支付閘道已非藍海。出境就醫：衛生部</t>
    </r>
    <r>
      <rPr>
        <sz val="9"/>
        <rFont val="Microsoft JhengHei"/>
        <family val="0"/>
        <charset val="1"/>
      </rPr>
      <t xml:space="preserve">2026-08</t>
    </r>
    <r>
      <rPr>
        <sz val="9"/>
        <rFont val="Noto Sans CJK SC"/>
        <family val="2"/>
      </rPr>
      <t xml:space="preserve">草案估每年</t>
    </r>
    <r>
      <rPr>
        <sz val="9"/>
        <rFont val="Microsoft JhengHei"/>
        <family val="0"/>
        <charset val="1"/>
      </rPr>
      <t xml:space="preserve">20-30</t>
    </r>
    <r>
      <rPr>
        <sz val="9"/>
        <rFont val="Noto Sans CJK SC"/>
        <family val="2"/>
      </rPr>
      <t xml:space="preserve">億美元（人次數字未見</t>
    </r>
    <r>
      <rPr>
        <sz val="9"/>
        <rFont val="Microsoft JhengHei"/>
        <family val="0"/>
        <charset val="1"/>
      </rPr>
      <t xml:space="preserve">2026</t>
    </r>
    <r>
      <rPr>
        <sz val="9"/>
        <rFont val="Noto Sans CJK SC"/>
        <family val="2"/>
      </rPr>
      <t xml:space="preserve">年更新，原「</t>
    </r>
    <r>
      <rPr>
        <sz val="9"/>
        <rFont val="Microsoft JhengHei"/>
        <family val="0"/>
        <charset val="1"/>
      </rPr>
      <t xml:space="preserve">4</t>
    </r>
    <r>
      <rPr>
        <sz val="9"/>
        <rFont val="Noto Sans CJK SC"/>
        <family val="2"/>
      </rPr>
      <t xml:space="preserve">萬人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年」待覆核）；入境約</t>
    </r>
    <r>
      <rPr>
        <sz val="9"/>
        <rFont val="Microsoft JhengHei"/>
        <family val="0"/>
        <charset val="1"/>
      </rPr>
      <t xml:space="preserve">30</t>
    </r>
    <r>
      <rPr>
        <sz val="9"/>
        <rFont val="Noto Sans CJK SC"/>
        <family val="2"/>
      </rPr>
      <t xml:space="preserve">萬人次，</t>
    </r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年目標</t>
    </r>
    <r>
      <rPr>
        <sz val="9"/>
        <rFont val="Microsoft JhengHei"/>
        <family val="0"/>
        <charset val="1"/>
      </rPr>
      <t xml:space="preserve">75</t>
    </r>
    <r>
      <rPr>
        <sz val="9"/>
        <rFont val="Noto Sans CJK SC"/>
        <family val="2"/>
      </rPr>
      <t xml:space="preserve">萬人次、醫療直接收入</t>
    </r>
    <r>
      <rPr>
        <sz val="9"/>
        <rFont val="Microsoft JhengHei"/>
        <family val="0"/>
        <charset val="1"/>
      </rPr>
      <t xml:space="preserve">10</t>
    </r>
    <r>
      <rPr>
        <sz val="9"/>
        <rFont val="Noto Sans CJK SC"/>
        <family val="2"/>
      </rPr>
      <t xml:space="preserve">億美元。健康險市場</t>
    </r>
    <r>
      <rPr>
        <sz val="9"/>
        <rFont val="Microsoft JhengHei"/>
        <family val="0"/>
        <charset val="1"/>
      </rPr>
      <t xml:space="preserve">2025</t>
    </r>
    <r>
      <rPr>
        <sz val="9"/>
        <rFont val="Noto Sans CJK SC"/>
        <family val="2"/>
      </rPr>
      <t xml:space="preserve">年約</t>
    </r>
    <r>
      <rPr>
        <sz val="9"/>
        <rFont val="Microsoft JhengHei"/>
        <family val="0"/>
        <charset val="1"/>
      </rPr>
      <t xml:space="preserve">83</t>
    </r>
    <r>
      <rPr>
        <sz val="9"/>
        <rFont val="Noto Sans CJK SC"/>
        <family val="2"/>
      </rPr>
      <t xml:space="preserve">億美元→</t>
    </r>
    <r>
      <rPr>
        <sz val="9"/>
        <rFont val="Microsoft JhengHei"/>
        <family val="0"/>
        <charset val="1"/>
      </rPr>
      <t xml:space="preserve">2034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142</t>
    </r>
    <r>
      <rPr>
        <sz val="9"/>
        <rFont val="Noto Sans CJK SC"/>
        <family val="2"/>
      </rPr>
      <t xml:space="preserve">億。</t>
    </r>
    <r>
      <rPr>
        <sz val="9"/>
        <rFont val="Microsoft JhengHei"/>
        <family val="0"/>
        <charset val="1"/>
      </rPr>
      <t xml:space="preserve">DRG</t>
    </r>
    <r>
      <rPr>
        <sz val="9"/>
        <rFont val="Noto Sans CJK SC"/>
        <family val="2"/>
      </rPr>
      <t xml:space="preserve">：資料庫與分組軟體準備中、無正式時程。</t>
    </r>
  </si>
  <si>
    <t xml:space="preserve">OPP-82</t>
  </si>
  <si>
    <t xml:space="preserve">健保申報介接與收入循環管理</t>
  </si>
  <si>
    <t xml:space="preserve">BHYT Claims Integration &amp; Revenue Cycle</t>
  </si>
  <si>
    <r>
      <rPr>
        <sz val="9"/>
        <color rgb="FF000000"/>
        <rFont val="Noto Sans CJK SC"/>
        <family val="2"/>
      </rPr>
      <t xml:space="preserve">申報</t>
    </r>
    <r>
      <rPr>
        <sz val="9"/>
        <color rgb="FF000000"/>
        <rFont val="微軟正黑體"/>
        <family val="0"/>
        <charset val="1"/>
      </rPr>
      <t xml:space="preserve">XML</t>
    </r>
    <r>
      <rPr>
        <sz val="9"/>
        <color rgb="FF000000"/>
        <rFont val="Noto Sans CJK SC"/>
        <family val="2"/>
      </rPr>
      <t xml:space="preserve">產生與驗證、拒付分析、自費收款；醫院付錢且與收入直接相關</t>
    </r>
  </si>
  <si>
    <t xml:space="preserve">越南社保正在修訂申報資料閘道規則，介接規格會變，是重新洗牌的時機</t>
  </si>
  <si>
    <r>
      <rPr>
        <sz val="9"/>
        <rFont val="Microsoft JhengHei"/>
        <family val="0"/>
        <charset val="1"/>
      </rPr>
      <t xml:space="preserve">BHYT</t>
    </r>
    <r>
      <rPr>
        <sz val="9"/>
        <rFont val="Noto Sans CJK SC"/>
        <family val="2"/>
      </rPr>
      <t xml:space="preserve">覆蓋</t>
    </r>
    <r>
      <rPr>
        <sz val="9"/>
        <rFont val="Microsoft JhengHei"/>
        <family val="0"/>
        <charset val="1"/>
      </rPr>
      <t xml:space="preserve">95.2%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2025</t>
    </r>
    <r>
      <rPr>
        <sz val="9"/>
        <rFont val="Noto Sans CJK SC"/>
        <family val="2"/>
      </rPr>
      <t xml:space="preserve">年底）、年</t>
    </r>
    <r>
      <rPr>
        <sz val="9"/>
        <rFont val="Microsoft JhengHei"/>
        <family val="0"/>
        <charset val="1"/>
      </rPr>
      <t xml:space="preserve">1.955</t>
    </r>
    <r>
      <rPr>
        <sz val="9"/>
        <rFont val="Noto Sans CJK SC"/>
        <family val="2"/>
      </rPr>
      <t xml:space="preserve">億人次、給付</t>
    </r>
    <r>
      <rPr>
        <sz val="9"/>
        <rFont val="Microsoft JhengHei"/>
        <family val="0"/>
        <charset val="1"/>
      </rPr>
      <t xml:space="preserve">161.6</t>
    </r>
    <r>
      <rPr>
        <sz val="9"/>
        <rFont val="Noto Sans CJK SC"/>
        <family val="2"/>
      </rPr>
      <t xml:space="preserve">兆越盾；</t>
    </r>
    <r>
      <rPr>
        <sz val="9"/>
        <rFont val="Microsoft JhengHei"/>
        <family val="0"/>
        <charset val="1"/>
      </rPr>
      <t xml:space="preserve">FFS</t>
    </r>
    <r>
      <rPr>
        <sz val="9"/>
        <rFont val="Noto Sans CJK SC"/>
        <family val="2"/>
      </rPr>
      <t xml:space="preserve">仍主導、</t>
    </r>
    <r>
      <rPr>
        <sz val="9"/>
        <rFont val="Microsoft JhengHei"/>
        <family val="0"/>
        <charset val="1"/>
      </rPr>
      <t xml:space="preserve">DRG</t>
    </r>
    <r>
      <rPr>
        <sz val="9"/>
        <rFont val="Noto Sans CJK SC"/>
        <family val="2"/>
      </rPr>
      <t xml:space="preserve">無正式時程——拒付管理與編碼是醫院現在的痛點、</t>
    </r>
    <r>
      <rPr>
        <sz val="9"/>
        <rFont val="Microsoft JhengHei"/>
        <family val="0"/>
        <charset val="1"/>
      </rPr>
      <t xml:space="preserve">DRG</t>
    </r>
    <r>
      <rPr>
        <sz val="9"/>
        <rFont val="Noto Sans CJK SC"/>
        <family val="2"/>
      </rPr>
      <t xml:space="preserve">前置期是</t>
    </r>
    <r>
      <rPr>
        <sz val="9"/>
        <rFont val="Microsoft JhengHei"/>
        <family val="0"/>
        <charset val="1"/>
      </rPr>
      <t xml:space="preserve">RCM</t>
    </r>
    <r>
      <rPr>
        <sz val="9"/>
        <rFont val="Noto Sans CJK SC"/>
        <family val="2"/>
      </rPr>
      <t xml:space="preserve">顧問進場窗口。</t>
    </r>
  </si>
  <si>
    <t xml:space="preserve">OPP-83</t>
  </si>
  <si>
    <t xml:space="preserve">國際醫療與病患回流方案</t>
  </si>
  <si>
    <t xml:space="preserve">Medical Tourism &amp; Patient Repatriation</t>
  </si>
  <si>
    <t xml:space="preserve">國際病人中心、台灣標準套餐，把外流的病人接回越南境內的台資機構</t>
  </si>
  <si>
    <t xml:space="preserve">商業保險／國際保險</t>
  </si>
  <si>
    <r>
      <rPr>
        <sz val="9"/>
        <color rgb="FF000000"/>
        <rFont val="Noto Sans CJK SC"/>
        <family val="2"/>
      </rPr>
      <t xml:space="preserve">每年約</t>
    </r>
    <r>
      <rPr>
        <sz val="9"/>
        <color rgb="FF000000"/>
        <rFont val="微軟正黑體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萬名越南人赴海外就醫、花費約</t>
    </r>
    <r>
      <rPr>
        <sz val="9"/>
        <color rgb="FF000000"/>
        <rFont val="微軟正黑體"/>
        <family val="0"/>
        <charset val="1"/>
      </rPr>
      <t xml:space="preserve">US$20</t>
    </r>
    <r>
      <rPr>
        <sz val="9"/>
        <color rgb="FF000000"/>
        <rFont val="Noto Sans CJK SC"/>
        <family val="2"/>
      </rPr>
      <t xml:space="preserve">億；入境醫療觀光</t>
    </r>
    <r>
      <rPr>
        <sz val="9"/>
        <color rgb="FF000000"/>
        <rFont val="微軟正黑體"/>
        <family val="0"/>
        <charset val="1"/>
      </rPr>
      <t xml:space="preserve">2025</t>
    </r>
    <r>
      <rPr>
        <sz val="9"/>
        <color rgb="FF000000"/>
        <rFont val="Noto Sans CJK SC"/>
        <family val="2"/>
      </rPr>
      <t xml:space="preserve">年約</t>
    </r>
    <r>
      <rPr>
        <sz val="9"/>
        <color rgb="FF000000"/>
        <rFont val="微軟正黑體"/>
        <family val="0"/>
        <charset val="1"/>
      </rPr>
      <t xml:space="preserve">US$8.5</t>
    </r>
    <r>
      <rPr>
        <sz val="9"/>
        <color rgb="FF000000"/>
        <rFont val="Noto Sans CJK SC"/>
        <family val="2"/>
      </rPr>
      <t xml:space="preserve">億、年增</t>
    </r>
    <r>
      <rPr>
        <sz val="9"/>
        <color rgb="FF000000"/>
        <rFont val="微軟正黑體"/>
        <family val="0"/>
        <charset val="1"/>
      </rPr>
      <t xml:space="preserve">18%</t>
    </r>
  </si>
  <si>
    <r>
      <rPr>
        <sz val="9"/>
        <color rgb="FF000000"/>
        <rFont val="Noto Sans CJK SC"/>
        <family val="2"/>
      </rPr>
      <t xml:space="preserve">泰國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新加坡搶客；越南院所各自為政</t>
    </r>
  </si>
  <si>
    <r>
      <rPr>
        <sz val="9"/>
        <color rgb="FF000000"/>
        <rFont val="Noto Sans CJK SC"/>
        <family val="2"/>
      </rPr>
      <t xml:space="preserve">把每年約</t>
    </r>
    <r>
      <rPr>
        <sz val="9"/>
        <color rgb="FF000000"/>
        <rFont val="微軟正黑體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萬外流病人（約</t>
    </r>
    <r>
      <rPr>
        <sz val="9"/>
        <color rgb="FF000000"/>
        <rFont val="微軟正黑體"/>
        <family val="0"/>
        <charset val="1"/>
      </rPr>
      <t xml:space="preserve">US$20</t>
    </r>
    <r>
      <rPr>
        <sz val="9"/>
        <color rgb="FF000000"/>
        <rFont val="Noto Sans CJK SC"/>
        <family val="2"/>
      </rPr>
      <t xml:space="preserve">億）接回台資機構＋保險直付通路</t>
    </r>
  </si>
  <si>
    <r>
      <rPr>
        <sz val="9"/>
        <rFont val="Noto Sans CJK SC"/>
        <family val="2"/>
      </rPr>
      <t xml:space="preserve">「</t>
    </r>
    <r>
      <rPr>
        <sz val="9"/>
        <rFont val="Microsoft JhengHei"/>
        <family val="0"/>
        <charset val="1"/>
      </rPr>
      <t xml:space="preserve">20</t>
    </r>
    <r>
      <rPr>
        <sz val="9"/>
        <rFont val="Noto Sans CJK SC"/>
        <family val="2"/>
      </rPr>
      <t xml:space="preserve">億美元」查證結果：衛生部估計值（</t>
    </r>
    <r>
      <rPr>
        <sz val="9"/>
        <rFont val="Microsoft JhengHei"/>
        <family val="0"/>
        <charset val="1"/>
      </rPr>
      <t xml:space="preserve">2025</t>
    </r>
    <r>
      <rPr>
        <sz val="9"/>
        <rFont val="Noto Sans CJK SC"/>
        <family val="2"/>
      </rPr>
      <t xml:space="preserve">年口徑</t>
    </r>
    <r>
      <rPr>
        <sz val="9"/>
        <rFont val="Microsoft JhengHei"/>
        <family val="0"/>
        <charset val="1"/>
      </rPr>
      <t xml:space="preserve">4</t>
    </r>
    <r>
      <rPr>
        <sz val="9"/>
        <rFont val="Noto Sans CJK SC"/>
        <family val="2"/>
      </rPr>
      <t xml:space="preserve">萬人</t>
    </r>
    <r>
      <rPr>
        <sz val="9"/>
        <rFont val="Microsoft JhengHei"/>
        <family val="0"/>
        <charset val="1"/>
      </rPr>
      <t xml:space="preserve">/20</t>
    </r>
    <r>
      <rPr>
        <sz val="9"/>
        <rFont val="Noto Sans CJK SC"/>
        <family val="2"/>
      </rPr>
      <t xml:space="preserve">億、上看</t>
    </r>
    <r>
      <rPr>
        <sz val="9"/>
        <rFont val="Microsoft JhengHei"/>
        <family val="0"/>
        <charset val="1"/>
      </rPr>
      <t xml:space="preserve">30-40</t>
    </r>
    <r>
      <rPr>
        <sz val="9"/>
        <rFont val="Noto Sans CJK SC"/>
        <family val="2"/>
      </rPr>
      <t xml:space="preserve">億；</t>
    </r>
    <r>
      <rPr>
        <sz val="9"/>
        <rFont val="Microsoft JhengHei"/>
        <family val="0"/>
        <charset val="1"/>
      </rPr>
      <t xml:space="preserve">2018</t>
    </r>
    <r>
      <rPr>
        <sz val="9"/>
        <rFont val="Noto Sans CJK SC"/>
        <family val="2"/>
      </rPr>
      <t xml:space="preserve">年同源估</t>
    </r>
    <r>
      <rPr>
        <sz val="9"/>
        <rFont val="Microsoft JhengHei"/>
        <family val="0"/>
        <charset val="1"/>
      </rPr>
      <t xml:space="preserve">10</t>
    </r>
    <r>
      <rPr>
        <sz val="9"/>
        <rFont val="Noto Sans CJK SC"/>
        <family val="2"/>
      </rPr>
      <t xml:space="preserve">億且稱無法精確統計）——引用時應標註為</t>
    </r>
    <r>
      <rPr>
        <sz val="9"/>
        <rFont val="Microsoft JhengHei"/>
        <family val="0"/>
        <charset val="1"/>
      </rPr>
      <t xml:space="preserve">MOH</t>
    </r>
    <r>
      <rPr>
        <sz val="9"/>
        <rFont val="Noto Sans CJK SC"/>
        <family val="2"/>
      </rPr>
      <t xml:space="preserve">估計。入境約</t>
    </r>
    <r>
      <rPr>
        <sz val="9"/>
        <rFont val="Microsoft JhengHei"/>
        <family val="0"/>
        <charset val="1"/>
      </rPr>
      <t xml:space="preserve">30</t>
    </r>
    <r>
      <rPr>
        <sz val="9"/>
        <rFont val="Noto Sans CJK SC"/>
        <family val="2"/>
      </rPr>
      <t xml:space="preserve">萬人次；</t>
    </r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目標</t>
    </r>
    <r>
      <rPr>
        <sz val="9"/>
        <rFont val="Microsoft JhengHei"/>
        <family val="0"/>
        <charset val="1"/>
      </rPr>
      <t xml:space="preserve">75</t>
    </r>
    <r>
      <rPr>
        <sz val="9"/>
        <rFont val="Noto Sans CJK SC"/>
        <family val="2"/>
      </rPr>
      <t xml:space="preserve">萬人次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直接收入</t>
    </r>
    <r>
      <rPr>
        <sz val="9"/>
        <rFont val="Microsoft JhengHei"/>
        <family val="0"/>
        <charset val="1"/>
      </rPr>
      <t xml:space="preserve">10</t>
    </r>
    <r>
      <rPr>
        <sz val="9"/>
        <rFont val="Noto Sans CJK SC"/>
        <family val="2"/>
      </rPr>
      <t xml:space="preserve">億美元（</t>
    </r>
    <r>
      <rPr>
        <sz val="9"/>
        <rFont val="Microsoft JhengHei"/>
        <family val="0"/>
        <charset val="1"/>
      </rPr>
      <t xml:space="preserve">2026-28</t>
    </r>
    <r>
      <rPr>
        <sz val="9"/>
        <rFont val="Noto Sans CJK SC"/>
        <family val="2"/>
      </rPr>
      <t xml:space="preserve">五城市試點：河內、胡志明、峴港、廣寧、慶和）。</t>
    </r>
  </si>
  <si>
    <t xml:space="preserve">OPP-84</t>
  </si>
  <si>
    <t xml:space="preserve">商業健康保險合作與給付方案設計</t>
  </si>
  <si>
    <t xml:space="preserve">Private Health Insurance Partnership</t>
  </si>
  <si>
    <t xml:space="preserve">與保險公司共同設計給付方案與直付網絡；保險公司付錢</t>
  </si>
  <si>
    <r>
      <rPr>
        <sz val="9"/>
        <color rgb="FF000000"/>
        <rFont val="Noto Sans CJK SC"/>
        <family val="2"/>
      </rPr>
      <t xml:space="preserve">私立醫療已占醫療支出約一半但只有</t>
    </r>
    <r>
      <rPr>
        <sz val="9"/>
        <color rgb="FF000000"/>
        <rFont val="微軟正黑體"/>
        <family val="0"/>
        <charset val="1"/>
      </rPr>
      <t xml:space="preserve">6%</t>
    </r>
    <r>
      <rPr>
        <sz val="9"/>
        <color rgb="FF000000"/>
        <rFont val="Noto Sans CJK SC"/>
        <family val="2"/>
      </rPr>
      <t xml:space="preserve">床數，保險端的直付網絡是尚未整合的一塊</t>
    </r>
  </si>
  <si>
    <r>
      <rPr>
        <sz val="9"/>
        <rFont val="Noto Sans CJK SC"/>
        <family val="2"/>
      </rPr>
      <t xml:space="preserve">健康險市場</t>
    </r>
    <r>
      <rPr>
        <sz val="9"/>
        <rFont val="Microsoft JhengHei"/>
        <family val="0"/>
        <charset val="1"/>
      </rPr>
      <t xml:space="preserve">2025</t>
    </r>
    <r>
      <rPr>
        <sz val="9"/>
        <rFont val="Noto Sans CJK SC"/>
        <family val="2"/>
      </rPr>
      <t xml:space="preserve">年約</t>
    </r>
    <r>
      <rPr>
        <sz val="9"/>
        <rFont val="Microsoft JhengHei"/>
        <family val="0"/>
        <charset val="1"/>
      </rPr>
      <t xml:space="preserve">83</t>
    </r>
    <r>
      <rPr>
        <sz val="9"/>
        <rFont val="Noto Sans CJK SC"/>
        <family val="2"/>
      </rPr>
      <t xml:space="preserve">億美元→</t>
    </r>
    <r>
      <rPr>
        <sz val="9"/>
        <rFont val="Microsoft JhengHei"/>
        <family val="0"/>
        <charset val="1"/>
      </rPr>
      <t xml:space="preserve">2034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142</t>
    </r>
    <r>
      <rPr>
        <sz val="9"/>
        <rFont val="Noto Sans CJK SC"/>
        <family val="2"/>
      </rPr>
      <t xml:space="preserve">億（</t>
    </r>
    <r>
      <rPr>
        <sz val="9"/>
        <rFont val="Microsoft JhengHei"/>
        <family val="0"/>
        <charset val="1"/>
      </rPr>
      <t xml:space="preserve">CAGR 6.17%</t>
    </r>
    <r>
      <rPr>
        <sz val="9"/>
        <rFont val="Noto Sans CJK SC"/>
        <family val="2"/>
      </rPr>
      <t xml:space="preserve">）；注意</t>
    </r>
    <r>
      <rPr>
        <sz val="9"/>
        <rFont val="Microsoft JhengHei"/>
        <family val="0"/>
        <charset val="1"/>
      </rPr>
      <t xml:space="preserve">IMARC</t>
    </r>
    <r>
      <rPr>
        <sz val="9"/>
        <rFont val="Noto Sans CJK SC"/>
        <family val="2"/>
      </rPr>
      <t xml:space="preserve">口徑疑含社保；純商保滲透率未查得。</t>
    </r>
  </si>
  <si>
    <t xml:space="preserve">OPP-85</t>
  </si>
  <si>
    <t xml:space="preserve">效益實現與第二院區複製藍圖</t>
  </si>
  <si>
    <t xml:space="preserve">Benefits Realisation &amp; Replication Blueprint</t>
  </si>
  <si>
    <t xml:space="preserve">把第一家做成的模式標準化成可複製的第二、第三院區；業主或投資方付錢</t>
  </si>
  <si>
    <t xml:space="preserve">PI Office</t>
  </si>
  <si>
    <t xml:space="preserve">單案賺一次，複製藍圖賺很多次——這是聯盟從專案商轉成平台商的關鍵一步</t>
  </si>
  <si>
    <r>
      <rPr>
        <sz val="9"/>
        <rFont val="Microsoft JhengHei"/>
        <family val="0"/>
        <charset val="1"/>
      </rPr>
      <t xml:space="preserve">EN</t>
    </r>
    <r>
      <rPr>
        <sz val="9"/>
        <rFont val="Noto Sans CJK SC"/>
        <family val="2"/>
      </rPr>
      <t xml:space="preserve">拼字統一：</t>
    </r>
    <r>
      <rPr>
        <sz val="9"/>
        <rFont val="Microsoft JhengHei"/>
        <family val="0"/>
        <charset val="1"/>
      </rPr>
      <t xml:space="preserve">Benefits Realisation</t>
    </r>
    <r>
      <rPr>
        <sz val="9"/>
        <rFont val="Noto Sans CJK SC"/>
        <family val="2"/>
      </rPr>
      <t xml:space="preserve">（與</t>
    </r>
    <r>
      <rPr>
        <sz val="9"/>
        <rFont val="Microsoft JhengHei"/>
        <family val="0"/>
        <charset val="1"/>
      </rPr>
      <t xml:space="preserve">CAP-060</t>
    </r>
    <r>
      <rPr>
        <sz val="9"/>
        <rFont val="Noto Sans CJK SC"/>
        <family val="2"/>
      </rPr>
      <t xml:space="preserve">的</t>
    </r>
    <r>
      <rPr>
        <sz val="9"/>
        <rFont val="Microsoft JhengHei"/>
        <family val="0"/>
        <charset val="1"/>
      </rPr>
      <t xml:space="preserve">realization</t>
    </r>
    <r>
      <rPr>
        <sz val="9"/>
        <rFont val="Noto Sans CJK SC"/>
        <family val="2"/>
      </rPr>
      <t xml:space="preserve">不一致）。</t>
    </r>
    <r>
      <rPr>
        <sz val="9"/>
        <rFont val="Microsoft JhengHei"/>
        <family val="0"/>
        <charset val="1"/>
      </rPr>
      <t xml:space="preserve">Vinmec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JCI</t>
    </r>
    <r>
      <rPr>
        <sz val="9"/>
        <rFont val="Noto Sans CJK SC"/>
        <family val="2"/>
      </rPr>
      <t xml:space="preserve">多院區＋</t>
    </r>
    <r>
      <rPr>
        <sz val="9"/>
        <rFont val="Microsoft JhengHei"/>
        <family val="0"/>
        <charset val="1"/>
      </rPr>
      <t xml:space="preserve">Cleveland Clinic Connected</t>
    </r>
    <r>
      <rPr>
        <sz val="9"/>
        <rFont val="Noto Sans CJK SC"/>
        <family val="2"/>
      </rPr>
      <t xml:space="preserve">）與</t>
    </r>
    <r>
      <rPr>
        <sz val="9"/>
        <rFont val="Microsoft JhengHei"/>
        <family val="0"/>
        <charset val="1"/>
      </rPr>
      <t xml:space="preserve">Hoan My</t>
    </r>
    <r>
      <rPr>
        <sz val="9"/>
        <rFont val="Noto Sans CJK SC"/>
        <family val="2"/>
      </rPr>
      <t xml:space="preserve">是跨院複製的在地範本。</t>
    </r>
  </si>
  <si>
    <r>
      <rPr>
        <sz val="9"/>
        <color rgb="FF404050"/>
        <rFont val="Noto Sans CJK SC"/>
        <family val="2"/>
      </rPr>
      <t xml:space="preserve">怎麼用：① 先讀 </t>
    </r>
    <r>
      <rPr>
        <sz val="9"/>
        <color rgb="FF404050"/>
        <rFont val="微軟正黑體"/>
        <family val="0"/>
        <charset val="1"/>
      </rPr>
      <t xml:space="preserve">E </t>
    </r>
    <r>
      <rPr>
        <sz val="9"/>
        <color rgb="FF404050"/>
        <rFont val="Noto Sans CJK SC"/>
        <family val="2"/>
      </rPr>
      <t xml:space="preserve">欄「這門生意在賣什麼／誰付錢」，挑出你們公司做得到的那幾列；再看 </t>
    </r>
    <r>
      <rPr>
        <sz val="9"/>
        <color rgb="FF404050"/>
        <rFont val="微軟正黑體"/>
        <family val="0"/>
        <charset val="1"/>
      </rPr>
      <t xml:space="preserve">F </t>
    </r>
    <r>
      <rPr>
        <sz val="9"/>
        <color rgb="FF404050"/>
        <rFont val="Noto Sans CJK SC"/>
        <family val="2"/>
      </rPr>
      <t xml:space="preserve">欄「越南現況」——標③的表示越南幾乎沒人在做，先進去的人定規則。② </t>
    </r>
    <r>
      <rPr>
        <sz val="9"/>
        <color rgb="FF404050"/>
        <rFont val="微軟正黑體"/>
        <family val="0"/>
        <charset val="1"/>
      </rPr>
      <t xml:space="preserve">L </t>
    </r>
    <r>
      <rPr>
        <sz val="9"/>
        <color rgb="FF404050"/>
        <rFont val="Noto Sans CJK SC"/>
        <family val="2"/>
      </rPr>
      <t xml:space="preserve">欄「聯盟能力對應狀態」是主動出擊的訊號：標「★白地商機」代表越南有這個生意、但 </t>
    </r>
    <r>
      <rPr>
        <sz val="9"/>
        <color rgb="FF404050"/>
        <rFont val="微軟正黑體"/>
        <family val="0"/>
        <charset val="1"/>
      </rPr>
      <t xml:space="preserve">03 </t>
    </r>
    <r>
      <rPr>
        <sz val="9"/>
        <color rgb="FF404050"/>
        <rFont val="Noto Sans CJK SC"/>
        <family val="2"/>
      </rPr>
      <t xml:space="preserve">能力總表裡目前沒有任何一項能力對得上它，要嘛去 </t>
    </r>
    <r>
      <rPr>
        <sz val="9"/>
        <color rgb="FF404050"/>
        <rFont val="微軟正黑體"/>
        <family val="0"/>
        <charset val="1"/>
      </rPr>
      <t xml:space="preserve">03 </t>
    </r>
    <r>
      <rPr>
        <sz val="9"/>
        <color rgb="FF404050"/>
        <rFont val="Noto Sans CJK SC"/>
        <family val="2"/>
      </rPr>
      <t xml:space="preserve">新增能力、要嘛去 </t>
    </r>
    <r>
      <rPr>
        <sz val="9"/>
        <color rgb="FF404050"/>
        <rFont val="微軟正黑體"/>
        <family val="0"/>
        <charset val="1"/>
      </rPr>
      <t xml:space="preserve">04 </t>
    </r>
    <r>
      <rPr>
        <sz val="9"/>
        <color rgb="FF404050"/>
        <rFont val="Noto Sans CJK SC"/>
        <family val="2"/>
      </rPr>
      <t xml:space="preserve">找新夥伴；標「有缺口」代表能力有列出來但還沒人承接，可以直接拿 </t>
    </r>
    <r>
      <rPr>
        <sz val="9"/>
        <color rgb="FF404050"/>
        <rFont val="微軟正黑體"/>
        <family val="0"/>
        <charset val="1"/>
      </rPr>
      <t xml:space="preserve">11 </t>
    </r>
    <r>
      <rPr>
        <sz val="9"/>
        <color rgb="FF404050"/>
        <rFont val="Noto Sans CJK SC"/>
        <family val="2"/>
      </rPr>
      <t xml:space="preserve">缺口招募去談。③ 要把某個商機變成正在談的案子 → 到 </t>
    </r>
    <r>
      <rPr>
        <sz val="9"/>
        <color rgb="FF404050"/>
        <rFont val="微軟正黑體"/>
        <family val="0"/>
        <charset val="1"/>
      </rPr>
      <t xml:space="preserve">14 </t>
    </r>
    <r>
      <rPr>
        <sz val="9"/>
        <color rgb="FF404050"/>
        <rFont val="Noto Sans CJK SC"/>
        <family val="2"/>
      </rPr>
      <t xml:space="preserve">商機清單新增一列，商機用下拉直接選，其他欄位會自動帶入。④ 要新增一種商機 → 直接在本頁最下方空白列填 </t>
    </r>
    <r>
      <rPr>
        <sz val="9"/>
        <color rgb="FF404050"/>
        <rFont val="微軟正黑體"/>
        <family val="0"/>
        <charset val="1"/>
      </rPr>
      <t xml:space="preserve">B </t>
    </r>
    <r>
      <rPr>
        <sz val="9"/>
        <color rgb="FF404050"/>
        <rFont val="Noto Sans CJK SC"/>
        <family val="2"/>
      </rPr>
      <t xml:space="preserve">欄商機名稱（代號會自動編），再到 </t>
    </r>
    <r>
      <rPr>
        <sz val="9"/>
        <color rgb="FF404050"/>
        <rFont val="微軟正黑體"/>
        <family val="0"/>
        <charset val="1"/>
      </rPr>
      <t xml:space="preserve">16 </t>
    </r>
    <r>
      <rPr>
        <sz val="9"/>
        <color rgb="FF404050"/>
        <rFont val="Noto Sans CJK SC"/>
        <family val="2"/>
      </rPr>
      <t xml:space="preserve">能力商機矩陣把相關能力打「✓」。★ </t>
    </r>
    <r>
      <rPr>
        <sz val="9"/>
        <color rgb="FF404050"/>
        <rFont val="微軟正黑體"/>
        <family val="0"/>
        <charset val="1"/>
      </rPr>
      <t xml:space="preserve">Y</t>
    </r>
    <r>
      <rPr>
        <sz val="9"/>
        <color rgb="FF404050"/>
        <rFont val="Noto Sans CJK SC"/>
        <family val="2"/>
      </rPr>
      <t xml:space="preserve">欄「攻擊優先分」＝</t>
    </r>
    <r>
      <rPr>
        <sz val="9"/>
        <color rgb="FF404050"/>
        <rFont val="微軟正黑體"/>
        <family val="0"/>
        <charset val="1"/>
      </rPr>
      <t xml:space="preserve">0.45×</t>
    </r>
    <r>
      <rPr>
        <sz val="9"/>
        <color rgb="FF404050"/>
        <rFont val="Noto Sans CJK SC"/>
        <family val="2"/>
      </rPr>
      <t xml:space="preserve">平均價值分＋</t>
    </r>
    <r>
      <rPr>
        <sz val="9"/>
        <color rgb="FF404050"/>
        <rFont val="微軟正黑體"/>
        <family val="0"/>
        <charset val="1"/>
      </rPr>
      <t xml:space="preserve">0.35×</t>
    </r>
    <r>
      <rPr>
        <sz val="9"/>
        <color rgb="FF404050"/>
        <rFont val="Noto Sans CJK SC"/>
        <family val="2"/>
      </rPr>
      <t xml:space="preserve">平均準備分＋</t>
    </r>
    <r>
      <rPr>
        <sz val="9"/>
        <color rgb="FF404050"/>
        <rFont val="微軟正黑體"/>
        <family val="0"/>
        <charset val="1"/>
      </rPr>
      <t xml:space="preserve">0.2×</t>
    </r>
    <r>
      <rPr>
        <sz val="9"/>
        <color rgb="FF404050"/>
        <rFont val="Noto Sans CJK SC"/>
        <family val="2"/>
      </rPr>
      <t xml:space="preserve">現況分</t>
    </r>
    <r>
      <rPr>
        <sz val="9"/>
        <color rgb="FF404050"/>
        <rFont val="微軟正黑體"/>
        <family val="0"/>
        <charset val="1"/>
      </rPr>
      <t xml:space="preserve">(③=5/②=3/①=1)</t>
    </r>
    <r>
      <rPr>
        <sz val="9"/>
        <color rgb="FF404050"/>
        <rFont val="Noto Sans CJK SC"/>
        <family val="2"/>
      </rPr>
      <t xml:space="preserve">－</t>
    </r>
    <r>
      <rPr>
        <sz val="9"/>
        <color rgb="FF404050"/>
        <rFont val="微軟正黑體"/>
        <family val="0"/>
        <charset val="1"/>
      </rPr>
      <t xml:space="preserve">0.3(</t>
    </r>
    <r>
      <rPr>
        <sz val="9"/>
        <color rgb="FF404050"/>
        <rFont val="Noto Sans CJK SC"/>
        <family val="2"/>
      </rPr>
      <t xml:space="preserve">仍有缺口</t>
    </r>
    <r>
      <rPr>
        <sz val="9"/>
        <color rgb="FF404050"/>
        <rFont val="微軟正黑體"/>
        <family val="0"/>
        <charset val="1"/>
      </rPr>
      <t xml:space="preserve">)</t>
    </r>
    <r>
      <rPr>
        <sz val="9"/>
        <color rgb="FF404050"/>
        <rFont val="Noto Sans CJK SC"/>
        <family val="2"/>
      </rPr>
      <t xml:space="preserve">，</t>
    </r>
    <r>
      <rPr>
        <sz val="9"/>
        <color rgb="FF404050"/>
        <rFont val="微軟正黑體"/>
        <family val="0"/>
        <charset val="1"/>
      </rPr>
      <t xml:space="preserve">Z</t>
    </r>
    <r>
      <rPr>
        <sz val="9"/>
        <color rgb="FF404050"/>
        <rFont val="Noto Sans CJK SC"/>
        <family val="2"/>
      </rPr>
      <t xml:space="preserve">欄順位前</t>
    </r>
    <r>
      <rPr>
        <sz val="9"/>
        <color rgb="FF404050"/>
        <rFont val="微軟正黑體"/>
        <family val="0"/>
        <charset val="1"/>
      </rPr>
      <t xml:space="preserve">10</t>
    </r>
    <r>
      <rPr>
        <sz val="9"/>
        <color rgb="FF404050"/>
        <rFont val="Noto Sans CJK SC"/>
        <family val="2"/>
      </rPr>
      <t xml:space="preserve">名綠底＝建議優先攻擊清單（儀表板有同步的</t>
    </r>
    <r>
      <rPr>
        <sz val="9"/>
        <color rgb="FF404050"/>
        <rFont val="微軟正黑體"/>
        <family val="0"/>
        <charset val="1"/>
      </rPr>
      <t xml:space="preserve">Top 10</t>
    </r>
    <r>
      <rPr>
        <sz val="9"/>
        <color rgb="FF404050"/>
        <rFont val="Noto Sans CJK SC"/>
        <family val="2"/>
      </rPr>
      <t xml:space="preserve">表）；白地商機</t>
    </r>
    <r>
      <rPr>
        <sz val="9"/>
        <color rgb="FF404050"/>
        <rFont val="微軟正黑體"/>
        <family val="0"/>
        <charset val="1"/>
      </rPr>
      <t xml:space="preserve">(CAP</t>
    </r>
    <r>
      <rPr>
        <sz val="9"/>
        <color rgb="FF404050"/>
        <rFont val="Noto Sans CJK SC"/>
        <family val="2"/>
      </rPr>
      <t xml:space="preserve">數</t>
    </r>
    <r>
      <rPr>
        <sz val="9"/>
        <color rgb="FF404050"/>
        <rFont val="微軟正黑體"/>
        <family val="0"/>
        <charset val="1"/>
      </rPr>
      <t xml:space="preserve">=0)</t>
    </r>
    <r>
      <rPr>
        <sz val="9"/>
        <color rgb="FF404050"/>
        <rFont val="Noto Sans CJK SC"/>
        <family val="2"/>
      </rPr>
      <t xml:space="preserve">不列入排序，走</t>
    </r>
    <r>
      <rPr>
        <sz val="9"/>
        <color rgb="FF404050"/>
        <rFont val="微軟正黑體"/>
        <family val="0"/>
        <charset val="1"/>
      </rPr>
      <t xml:space="preserve">13④</t>
    </r>
    <r>
      <rPr>
        <sz val="9"/>
        <color rgb="FF404050"/>
        <rFont val="Noto Sans CJK SC"/>
        <family val="2"/>
      </rPr>
      <t xml:space="preserve">商機行動另案評估。★ 金額級距與付費方是「典型值」，用來讓不熟醫療產業的人有概念，實際談案請在 </t>
    </r>
    <r>
      <rPr>
        <sz val="9"/>
        <color rgb="FF404050"/>
        <rFont val="微軟正黑體"/>
        <family val="0"/>
        <charset val="1"/>
      </rPr>
      <t xml:space="preserve">14 </t>
    </r>
    <r>
      <rPr>
        <sz val="9"/>
        <color rgb="FF404050"/>
        <rFont val="Noto Sans CJK SC"/>
        <family val="2"/>
      </rPr>
      <t xml:space="preserve">商機清單那列覆寫成本案的數字。★ 越南現況與在地重點取自 </t>
    </r>
    <r>
      <rPr>
        <sz val="9"/>
        <color rgb="FF404050"/>
        <rFont val="微軟正黑體"/>
        <family val="0"/>
        <charset val="1"/>
      </rPr>
      <t xml:space="preserve">2025-2026 </t>
    </r>
    <r>
      <rPr>
        <sz val="9"/>
        <color rgb="FF404050"/>
        <rFont val="Noto Sans CJK SC"/>
        <family val="2"/>
      </rPr>
      <t xml:space="preserve">年公開法規與市場研究（電子病歷 </t>
    </r>
    <r>
      <rPr>
        <sz val="9"/>
        <color rgb="FF404050"/>
        <rFont val="微軟正黑體"/>
        <family val="0"/>
        <charset val="1"/>
      </rPr>
      <t xml:space="preserve">Circular 13/2025</t>
    </r>
    <r>
      <rPr>
        <sz val="9"/>
        <color rgb="FF404050"/>
        <rFont val="Noto Sans CJK SC"/>
        <family val="2"/>
      </rPr>
      <t xml:space="preserve">、電子處方 </t>
    </r>
    <r>
      <rPr>
        <sz val="9"/>
        <color rgb="FF404050"/>
        <rFont val="微軟正黑體"/>
        <family val="0"/>
        <charset val="1"/>
      </rPr>
      <t xml:space="preserve">Circular 26/2025</t>
    </r>
    <r>
      <rPr>
        <sz val="9"/>
        <color rgb="FF404050"/>
        <rFont val="Noto Sans CJK SC"/>
        <family val="2"/>
      </rPr>
      <t xml:space="preserve">、</t>
    </r>
    <r>
      <rPr>
        <sz val="9"/>
        <color rgb="FF404050"/>
        <rFont val="微軟正黑體"/>
        <family val="0"/>
        <charset val="1"/>
      </rPr>
      <t xml:space="preserve">FHIR Decision 2146</t>
    </r>
    <r>
      <rPr>
        <sz val="9"/>
        <color rgb="FF404050"/>
        <rFont val="Noto Sans CJK SC"/>
        <family val="2"/>
      </rPr>
      <t xml:space="preserve">、醫材 </t>
    </r>
    <r>
      <rPr>
        <sz val="9"/>
        <color rgb="FF404050"/>
        <rFont val="微軟正黑體"/>
        <family val="0"/>
        <charset val="1"/>
      </rPr>
      <t xml:space="preserve">Decree 98/2021+04/2025</t>
    </r>
    <r>
      <rPr>
        <sz val="9"/>
        <color rgb="FF404050"/>
        <rFont val="Noto Sans CJK SC"/>
        <family val="2"/>
      </rPr>
      <t xml:space="preserve">、</t>
    </r>
    <r>
      <rPr>
        <sz val="9"/>
        <color rgb="FF404050"/>
        <rFont val="微軟正黑體"/>
        <family val="0"/>
        <charset val="1"/>
      </rPr>
      <t xml:space="preserve">PPP Nghị định 243/2025</t>
    </r>
    <r>
      <rPr>
        <sz val="9"/>
        <color rgb="FF404050"/>
        <rFont val="Noto Sans CJK SC"/>
        <family val="2"/>
      </rPr>
      <t xml:space="preserve">（廢止 </t>
    </r>
    <r>
      <rPr>
        <sz val="9"/>
        <color rgb="FF404050"/>
        <rFont val="微軟正黑體"/>
        <family val="0"/>
        <charset val="1"/>
      </rPr>
      <t xml:space="preserve">Decree 71/2025</t>
    </r>
    <r>
      <rPr>
        <sz val="9"/>
        <color rgb="FF404050"/>
        <rFont val="Noto Sans CJK SC"/>
        <family val="2"/>
      </rPr>
      <t xml:space="preserve">）、個資 </t>
    </r>
    <r>
      <rPr>
        <sz val="9"/>
        <color rgb="FF404050"/>
        <rFont val="微軟正黑體"/>
        <family val="0"/>
        <charset val="1"/>
      </rPr>
      <t xml:space="preserve">PDPL 91/2025+Decree 356</t>
    </r>
    <r>
      <rPr>
        <sz val="9"/>
        <color rgb="FF404050"/>
        <rFont val="Noto Sans CJK SC"/>
        <family val="2"/>
      </rPr>
      <t xml:space="preserve">、</t>
    </r>
    <r>
      <rPr>
        <sz val="9"/>
        <color rgb="FF404050"/>
        <rFont val="微軟正黑體"/>
        <family val="0"/>
        <charset val="1"/>
      </rPr>
      <t xml:space="preserve">AI</t>
    </r>
    <r>
      <rPr>
        <sz val="9"/>
        <color rgb="FF404050"/>
        <rFont val="Noto Sans CJK SC"/>
        <family val="2"/>
      </rPr>
      <t xml:space="preserve">法 </t>
    </r>
    <r>
      <rPr>
        <sz val="9"/>
        <color rgb="FF404050"/>
        <rFont val="微軟正黑體"/>
        <family val="0"/>
        <charset val="1"/>
      </rPr>
      <t xml:space="preserve">134/2025</t>
    </r>
    <r>
      <rPr>
        <sz val="9"/>
        <color rgb="FF404050"/>
        <rFont val="Noto Sans CJK SC"/>
        <family val="2"/>
      </rPr>
      <t xml:space="preserve">、</t>
    </r>
    <r>
      <rPr>
        <sz val="9"/>
        <color rgb="FF404050"/>
        <rFont val="微軟正黑體"/>
        <family val="0"/>
        <charset val="1"/>
      </rPr>
      <t xml:space="preserve">Resolution 72-NQ/TW </t>
    </r>
    <r>
      <rPr>
        <sz val="9"/>
        <color rgb="FF404050"/>
        <rFont val="Noto Sans CJK SC"/>
        <family val="2"/>
      </rPr>
      <t xml:space="preserve">全民健檢），屬規劃參考值，正式報價與承諾前請再向在地夥伴查證。</t>
    </r>
  </si>
  <si>
    <r>
      <rPr>
        <b val="true"/>
        <sz val="15"/>
        <color rgb="FFFFFFFF"/>
        <rFont val="微軟正黑體"/>
        <family val="0"/>
        <charset val="1"/>
      </rPr>
      <t xml:space="preserve">17 </t>
    </r>
    <r>
      <rPr>
        <b val="true"/>
        <sz val="15"/>
        <color rgb="FFFFFFFF"/>
        <rFont val="Noto Sans CJK SC"/>
        <family val="2"/>
      </rPr>
      <t xml:space="preserve">商機作戰卡｜</t>
    </r>
    <r>
      <rPr>
        <b val="true"/>
        <sz val="15"/>
        <color rgb="FFFFFFFF"/>
        <rFont val="微軟正黑體"/>
        <family val="0"/>
        <charset val="1"/>
      </rPr>
      <t xml:space="preserve">Opportunity Battle Card</t>
    </r>
    <r>
      <rPr>
        <b val="true"/>
        <sz val="15"/>
        <color rgb="FFFFFFFF"/>
        <rFont val="Noto Sans CJK SC"/>
        <family val="2"/>
      </rPr>
      <t xml:space="preserve">（推進單一商機的作戰會議，投影這一頁）</t>
    </r>
  </si>
  <si>
    <r>
      <rPr>
        <i val="true"/>
        <sz val="9.5"/>
        <color rgb="FF404040"/>
        <rFont val="Noto Sans CJK SC"/>
        <family val="2"/>
      </rPr>
      <t xml:space="preserve">❓ 這頁在回答：這個商機怎麼打？需要誰？贏在哪？　　▸ 在下方黃色儲存格選一個商機，本頁自動組出作戰卡：這門生意需要哪些能力、每項誰在做／誰還缺、對手是誰、我們憑什麼贏、卡在哪些法規門檻。跟 </t>
    </r>
    <r>
      <rPr>
        <i val="true"/>
        <sz val="9.5"/>
        <color rgb="FF404040"/>
        <rFont val="微軟正黑體"/>
        <family val="0"/>
        <charset val="1"/>
      </rPr>
      <t xml:space="preserve">12 </t>
    </r>
    <r>
      <rPr>
        <i val="true"/>
        <sz val="9.5"/>
        <color rgb="FF404040"/>
        <rFont val="Noto Sans CJK SC"/>
        <family val="2"/>
      </rPr>
      <t xml:space="preserve">夥伴視角是一對：</t>
    </r>
    <r>
      <rPr>
        <i val="true"/>
        <sz val="9.5"/>
        <color rgb="FF404040"/>
        <rFont val="微軟正黑體"/>
        <family val="0"/>
        <charset val="1"/>
      </rPr>
      <t xml:space="preserve">12 </t>
    </r>
    <r>
      <rPr>
        <i val="true"/>
        <sz val="9.5"/>
        <color rgb="FF404040"/>
        <rFont val="Noto Sans CJK SC"/>
        <family val="2"/>
      </rPr>
      <t xml:space="preserve">回答「這個夥伴做什麼」，本頁回答「這個商機怎麼打」。</t>
    </r>
  </si>
  <si>
    <t xml:space="preserve">選擇商機 →</t>
  </si>
  <si>
    <r>
      <rPr>
        <b val="true"/>
        <sz val="12"/>
        <color rgb="FF7F6000"/>
        <rFont val="微軟正黑體"/>
        <family val="0"/>
        <charset val="1"/>
      </rPr>
      <t xml:space="preserve">OPP-24 </t>
    </r>
    <r>
      <rPr>
        <b val="true"/>
        <sz val="12"/>
        <color rgb="FF7F6000"/>
        <rFont val="Noto Sans CJK SC"/>
        <family val="2"/>
      </rPr>
      <t xml:space="preserve">醫院</t>
    </r>
    <r>
      <rPr>
        <b val="true"/>
        <sz val="12"/>
        <color rgb="FF7F6000"/>
        <rFont val="微軟正黑體"/>
        <family val="0"/>
        <charset val="1"/>
      </rPr>
      <t xml:space="preserve">IDC</t>
    </r>
    <r>
      <rPr>
        <b val="true"/>
        <sz val="12"/>
        <color rgb="FF7F6000"/>
        <rFont val="Noto Sans CJK SC"/>
        <family val="2"/>
      </rPr>
      <t xml:space="preserve">機房與院區網路建置</t>
    </r>
  </si>
  <si>
    <r>
      <rPr>
        <b val="true"/>
        <sz val="9"/>
        <color rgb="FF808080"/>
        <rFont val="Noto Sans CJK SC"/>
        <family val="2"/>
      </rPr>
      <t xml:space="preserve">對應</t>
    </r>
    <r>
      <rPr>
        <b val="true"/>
        <sz val="9"/>
        <color rgb="FF808080"/>
        <rFont val="微軟正黑體"/>
        <family val="0"/>
        <charset val="1"/>
      </rPr>
      <t xml:space="preserve">CAP</t>
    </r>
    <r>
      <rPr>
        <b val="true"/>
        <sz val="9"/>
        <color rgb="FF808080"/>
        <rFont val="Noto Sans CJK SC"/>
        <family val="2"/>
      </rPr>
      <t xml:space="preserve">數</t>
    </r>
  </si>
  <si>
    <t xml:space="preserve">群晶主導</t>
  </si>
  <si>
    <t xml:space="preserve">平均準備分</t>
  </si>
  <si>
    <t xml:space="preserve">金額級距</t>
  </si>
  <si>
    <t xml:space="preserve">#</t>
  </si>
  <si>
    <t xml:space="preserve">CAP ID</t>
  </si>
  <si>
    <t xml:space="preserve">需要的能力</t>
  </si>
  <si>
    <t xml:space="preserve">拼圖狀態</t>
  </si>
  <si>
    <t xml:space="preserve">主責</t>
  </si>
  <si>
    <t xml:space="preserve">候選夥伴</t>
  </si>
  <si>
    <t xml:space="preserve">準備分</t>
  </si>
  <si>
    <r>
      <rPr>
        <b val="true"/>
        <sz val="10"/>
        <color rgb="FFFFFFFF"/>
        <rFont val="Noto Sans CJK SC"/>
        <family val="2"/>
      </rPr>
      <t xml:space="preserve">缺什麼</t>
    </r>
    <r>
      <rPr>
        <b val="true"/>
        <sz val="10"/>
        <color rgb="FFFFFFFF"/>
        <rFont val="微軟正黑體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下一步</t>
    </r>
  </si>
  <si>
    <t xml:space="preserve">關鍵門檻</t>
  </si>
  <si>
    <t xml:space="preserve">商業判斷</t>
  </si>
  <si>
    <r>
      <rPr>
        <b val="true"/>
        <sz val="10"/>
        <color rgb="FFFFFFFF"/>
        <rFont val="Noto Sans CJK SC"/>
        <family val="2"/>
      </rPr>
      <t xml:space="preserve">所屬商機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全部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</si>
  <si>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r>
      <rPr>
        <sz val="9"/>
        <color rgb="FF404050"/>
        <rFont val="Noto Sans CJK SC"/>
        <family val="2"/>
      </rPr>
      <t xml:space="preserve">怎麼開作戰會議：① 看六個數字卡——缺口</t>
    </r>
    <r>
      <rPr>
        <sz val="9"/>
        <color rgb="FF404050"/>
        <rFont val="微軟正黑體"/>
        <family val="0"/>
        <charset val="1"/>
      </rPr>
      <t xml:space="preserve">&gt;0 </t>
    </r>
    <r>
      <rPr>
        <sz val="9"/>
        <color rgb="FF404050"/>
        <rFont val="Noto Sans CJK SC"/>
        <family val="2"/>
      </rPr>
      <t xml:space="preserve">就先講「要補誰」（對照 </t>
    </r>
    <r>
      <rPr>
        <sz val="9"/>
        <color rgb="FF404050"/>
        <rFont val="微軟正黑體"/>
        <family val="0"/>
        <charset val="1"/>
      </rPr>
      <t xml:space="preserve">11 </t>
    </r>
    <r>
      <rPr>
        <sz val="9"/>
        <color rgb="FF404050"/>
        <rFont val="Noto Sans CJK SC"/>
        <family val="2"/>
      </rPr>
      <t xml:space="preserve">缺口招募發 </t>
    </r>
    <r>
      <rPr>
        <sz val="9"/>
        <color rgb="FF404050"/>
        <rFont val="微軟正黑體"/>
        <family val="0"/>
        <charset val="1"/>
      </rPr>
      <t xml:space="preserve">RFI</t>
    </r>
    <r>
      <rPr>
        <sz val="9"/>
        <color rgb="FF404050"/>
        <rFont val="Noto Sans CJK SC"/>
        <family val="2"/>
      </rPr>
      <t xml:space="preserve">）。② 逐列看能力表：狀態紅色的列＝這門生意的斷點；「候選夥伴」欄空白的列，回 </t>
    </r>
    <r>
      <rPr>
        <sz val="9"/>
        <color rgb="FF404050"/>
        <rFont val="微軟正黑體"/>
        <family val="0"/>
        <charset val="1"/>
      </rPr>
      <t xml:space="preserve">04 </t>
    </r>
    <r>
      <rPr>
        <sz val="9"/>
        <color rgb="FF404050"/>
        <rFont val="Noto Sans CJK SC"/>
        <family val="2"/>
      </rPr>
      <t xml:space="preserve">夥伴拼圖找人或建缺口列。③「關鍵門檻」欄的代號到 </t>
    </r>
    <r>
      <rPr>
        <sz val="9"/>
        <color rgb="FF404050"/>
        <rFont val="微軟正黑體"/>
        <family val="0"/>
        <charset val="1"/>
      </rPr>
      <t xml:space="preserve">05 </t>
    </r>
    <r>
      <rPr>
        <sz val="9"/>
        <color rgb="FF404050"/>
        <rFont val="Noto Sans CJK SC"/>
        <family val="2"/>
      </rPr>
      <t xml:space="preserve">法規門檻查狀態，強制門檻沒過之前不要對外承諾時程。④ 會議結論寫回 </t>
    </r>
    <r>
      <rPr>
        <sz val="9"/>
        <color rgb="FF404050"/>
        <rFont val="微軟正黑體"/>
        <family val="0"/>
        <charset val="1"/>
      </rPr>
      <t xml:space="preserve">14 </t>
    </r>
    <r>
      <rPr>
        <sz val="9"/>
        <color rgb="FF404050"/>
        <rFont val="Noto Sans CJK SC"/>
        <family val="2"/>
      </rPr>
      <t xml:space="preserve">商機清單該列的「下一步」，重大決策記入 </t>
    </r>
    <r>
      <rPr>
        <sz val="9"/>
        <color rgb="FF404050"/>
        <rFont val="微軟正黑體"/>
        <family val="0"/>
        <charset val="1"/>
      </rPr>
      <t xml:space="preserve">10 </t>
    </r>
    <r>
      <rPr>
        <sz val="9"/>
        <color rgb="FF404050"/>
        <rFont val="Noto Sans CJK SC"/>
        <family val="2"/>
      </rPr>
      <t xml:space="preserve">決策紀錄。★ 本頁全部是公式；換一個商機只要改 </t>
    </r>
    <r>
      <rPr>
        <sz val="9"/>
        <color rgb="FF404050"/>
        <rFont val="微軟正黑體"/>
        <family val="0"/>
        <charset val="1"/>
      </rPr>
      <t xml:space="preserve">C4 </t>
    </r>
    <r>
      <rPr>
        <sz val="9"/>
        <color rgb="FF404050"/>
        <rFont val="Noto Sans CJK SC"/>
        <family val="2"/>
      </rPr>
      <t xml:space="preserve">一格。</t>
    </r>
  </si>
  <si>
    <r>
      <rPr>
        <b val="true"/>
        <sz val="15"/>
        <color rgb="FFFFFFFF"/>
        <rFont val="微軟正黑體"/>
        <family val="0"/>
        <charset val="1"/>
      </rPr>
      <t xml:space="preserve">12 </t>
    </r>
    <r>
      <rPr>
        <b val="true"/>
        <sz val="15"/>
        <color rgb="FFFFFFFF"/>
        <rFont val="Noto Sans CJK SC"/>
        <family val="2"/>
      </rPr>
      <t xml:space="preserve">夥伴視角｜</t>
    </r>
    <r>
      <rPr>
        <b val="true"/>
        <sz val="15"/>
        <color rgb="FFFFFFFF"/>
        <rFont val="微軟正黑體"/>
        <family val="0"/>
        <charset val="1"/>
      </rPr>
      <t xml:space="preserve">Partner View</t>
    </r>
    <r>
      <rPr>
        <b val="true"/>
        <sz val="15"/>
        <color rgb="FFFFFFFF"/>
        <rFont val="Noto Sans CJK SC"/>
        <family val="2"/>
      </rPr>
      <t xml:space="preserve">（一對一洽談時投影這一頁）</t>
    </r>
  </si>
  <si>
    <t xml:space="preserve">❓ 這頁在回答：這個夥伴被指名做什麼？（洽談時投影這頁）　　▸ 在下方黃色儲存格用下拉選一個夥伴（顯示「代號＋名稱」），本頁自動列出他在整個計畫中被指名的所有能力項、階段、門檻與這些能力所屬的商機——一對一洽談時，直接告訴對方「你可以卡進哪幾門生意」。</t>
  </si>
  <si>
    <t xml:space="preserve">選擇夥伴 →</t>
  </si>
  <si>
    <r>
      <rPr>
        <b val="true"/>
        <sz val="14"/>
        <color rgb="FF7F6000"/>
        <rFont val="微軟正黑體"/>
        <family val="0"/>
        <charset val="1"/>
      </rPr>
      <t xml:space="preserve">P-001 </t>
    </r>
    <r>
      <rPr>
        <b val="true"/>
        <sz val="14"/>
        <color rgb="FF7F6000"/>
        <rFont val="Noto Sans CJK SC"/>
        <family val="2"/>
      </rPr>
      <t xml:space="preserve">群晶科技</t>
    </r>
  </si>
  <si>
    <t xml:space="preserve">被指名能力項數</t>
  </si>
  <si>
    <t xml:space="preserve">其中缺口</t>
  </si>
  <si>
    <t xml:space="preserve">其中可立即推進</t>
  </si>
  <si>
    <t xml:space="preserve">領域</t>
  </si>
  <si>
    <t xml:space="preserve">階段</t>
  </si>
  <si>
    <t xml:space="preserve">能力項目</t>
  </si>
  <si>
    <t xml:space="preserve">預期成果</t>
  </si>
  <si>
    <t xml:space="preserve">適用標準／法規</t>
  </si>
  <si>
    <t xml:space="preserve">價值分</t>
  </si>
  <si>
    <r>
      <rPr>
        <b val="true"/>
        <sz val="10"/>
        <color rgb="FFFFFFFF"/>
        <rFont val="Noto Sans CJK SC"/>
        <family val="2"/>
      </rPr>
      <t xml:space="preserve">所屬商機 </t>
    </r>
    <r>
      <rPr>
        <b val="true"/>
        <sz val="10"/>
        <color rgb="FFFFFFFF"/>
        <rFont val="微軟正黑體"/>
        <family val="0"/>
        <charset val="1"/>
      </rPr>
      <t xml:space="preserve">Opportunities</t>
    </r>
  </si>
  <si>
    <r>
      <rPr>
        <b val="true"/>
        <sz val="15"/>
        <color rgb="FFFFFFFF"/>
        <rFont val="微軟正黑體"/>
        <family val="0"/>
        <charset val="1"/>
      </rPr>
      <t xml:space="preserve">11 </t>
    </r>
    <r>
      <rPr>
        <b val="true"/>
        <sz val="15"/>
        <color rgb="FFFFFFFF"/>
        <rFont val="Noto Sans CJK SC"/>
        <family val="2"/>
      </rPr>
      <t xml:space="preserve">缺口招募｜</t>
    </r>
    <r>
      <rPr>
        <b val="true"/>
        <sz val="15"/>
        <color rgb="FFFFFFFF"/>
        <rFont val="微軟正黑體"/>
        <family val="0"/>
        <charset val="1"/>
      </rPr>
      <t xml:space="preserve">Gap Recruitment List</t>
    </r>
    <r>
      <rPr>
        <b val="true"/>
        <sz val="15"/>
        <color rgb="FFFFFFFF"/>
        <rFont val="Noto Sans CJK SC"/>
        <family val="2"/>
      </rPr>
      <t xml:space="preserve">（自動清單：這些位置目前沒有人）</t>
    </r>
  </si>
  <si>
    <r>
      <rPr>
        <i val="true"/>
        <sz val="9.5"/>
        <color rgb="FF404040"/>
        <rFont val="Noto Sans CJK SC"/>
        <family val="2"/>
      </rPr>
      <t xml:space="preserve">❓ 這頁在回答：缺什麼？先招募哪一項？　　▸ 本頁全部為公式，自動列出 </t>
    </r>
    <r>
      <rPr>
        <i val="true"/>
        <sz val="9.5"/>
        <color rgb="FF404040"/>
        <rFont val="微軟正黑體"/>
        <family val="0"/>
        <charset val="1"/>
      </rPr>
      <t xml:space="preserve">03 </t>
    </r>
    <r>
      <rPr>
        <i val="true"/>
        <sz val="9.5"/>
        <color rgb="FF404040"/>
        <rFont val="Noto Sans CJK SC"/>
        <family val="2"/>
      </rPr>
      <t xml:space="preserve">能力總表中所有「缺口</t>
    </r>
    <r>
      <rPr>
        <i val="true"/>
        <sz val="9.5"/>
        <color rgb="FF404040"/>
        <rFont val="微軟正黑體"/>
        <family val="0"/>
        <charset val="1"/>
      </rPr>
      <t xml:space="preserve">-</t>
    </r>
    <r>
      <rPr>
        <i val="true"/>
        <sz val="9.5"/>
        <color rgb="FF404040"/>
        <rFont val="Noto Sans CJK SC"/>
        <family val="2"/>
      </rPr>
      <t xml:space="preserve">待尋找」的項目。可直接複製給候選夥伴當作 </t>
    </r>
    <r>
      <rPr>
        <i val="true"/>
        <sz val="9.5"/>
        <color rgb="FF404040"/>
        <rFont val="微軟正黑體"/>
        <family val="0"/>
        <charset val="1"/>
      </rPr>
      <t xml:space="preserve">RFI </t>
    </r>
    <r>
      <rPr>
        <i val="true"/>
        <sz val="9.5"/>
        <color rgb="FF404040"/>
        <rFont val="Noto Sans CJK SC"/>
        <family val="2"/>
      </rPr>
      <t xml:space="preserve">需求說明。要新增或移除，請到 </t>
    </r>
    <r>
      <rPr>
        <i val="true"/>
        <sz val="9.5"/>
        <color rgb="FF404040"/>
        <rFont val="微軟正黑體"/>
        <family val="0"/>
        <charset val="1"/>
      </rPr>
      <t xml:space="preserve">03 </t>
    </r>
    <r>
      <rPr>
        <i val="true"/>
        <sz val="9.5"/>
        <color rgb="FF404040"/>
        <rFont val="Noto Sans CJK SC"/>
        <family val="2"/>
      </rPr>
      <t xml:space="preserve">能力總表把「拼圖狀態」改成／改離「缺口</t>
    </r>
    <r>
      <rPr>
        <i val="true"/>
        <sz val="9.5"/>
        <color rgb="FF404040"/>
        <rFont val="微軟正黑體"/>
        <family val="0"/>
        <charset val="1"/>
      </rPr>
      <t xml:space="preserve">-</t>
    </r>
    <r>
      <rPr>
        <i val="true"/>
        <sz val="9.5"/>
        <color rgb="FF404040"/>
        <rFont val="Noto Sans CJK SC"/>
        <family val="2"/>
      </rPr>
      <t xml:space="preserve">待尋找」。</t>
    </r>
  </si>
  <si>
    <t xml:space="preserve">要找的能力</t>
  </si>
  <si>
    <t xml:space="preserve">我們缺什麼</t>
  </si>
  <si>
    <t xml:space="preserve">必須符合的標準／法規</t>
  </si>
  <si>
    <t xml:space="preserve">建議對口夥伴</t>
  </si>
  <si>
    <t xml:space="preserve">牽動
商機數</t>
  </si>
  <si>
    <r>
      <rPr>
        <sz val="9.5"/>
        <color rgb="FF404050"/>
        <rFont val="Noto Sans CJK SC"/>
        <family val="2"/>
      </rPr>
      <t xml:space="preserve">★ 招募順序看最右欄「牽動商機數」：數字越大代表這個缺口卡住越多生意（≥</t>
    </r>
    <r>
      <rPr>
        <sz val="9.5"/>
        <color rgb="FF404050"/>
        <rFont val="微軟正黑體"/>
        <family val="0"/>
        <charset val="1"/>
      </rPr>
      <t xml:space="preserve">3 </t>
    </r>
    <r>
      <rPr>
        <sz val="9.5"/>
        <color rgb="FF404050"/>
        <rFont val="Noto Sans CJK SC"/>
        <family val="2"/>
      </rPr>
      <t xml:space="preserve">紅底）——先補牽動最多的。發出 </t>
    </r>
    <r>
      <rPr>
        <sz val="9.5"/>
        <color rgb="FF404050"/>
        <rFont val="微軟正黑體"/>
        <family val="0"/>
        <charset val="1"/>
      </rPr>
      <t xml:space="preserve">RFI </t>
    </r>
    <r>
      <rPr>
        <sz val="9.5"/>
        <color rgb="FF404050"/>
        <rFont val="Noto Sans CJK SC"/>
        <family val="2"/>
      </rPr>
      <t xml:space="preserve">的建議做法：① 把本頁對應列複製給候選夥伴；② 請對方填「</t>
    </r>
    <r>
      <rPr>
        <sz val="9.5"/>
        <color rgb="FF404050"/>
        <rFont val="微軟正黑體"/>
        <family val="0"/>
        <charset val="1"/>
      </rPr>
      <t xml:space="preserve">VMH-EcoMap-3_</t>
    </r>
    <r>
      <rPr>
        <sz val="9.5"/>
        <color rgb="FF404050"/>
        <rFont val="Noto Sans CJK SC"/>
        <family val="2"/>
      </rPr>
      <t xml:space="preserve">夥伴提案回覆表</t>
    </r>
    <r>
      <rPr>
        <sz val="9.5"/>
        <color rgb="FF404050"/>
        <rFont val="微軟正黑體"/>
        <family val="0"/>
        <charset val="1"/>
      </rPr>
      <t xml:space="preserve">_v1.0.xlsx</t>
    </r>
    <r>
      <rPr>
        <sz val="9.5"/>
        <color rgb="FF404050"/>
        <rFont val="Noto Sans CJK SC"/>
        <family val="2"/>
      </rPr>
      <t xml:space="preserve">」；③ 回收後把夥伴填入 </t>
    </r>
    <r>
      <rPr>
        <sz val="9.5"/>
        <color rgb="FF404050"/>
        <rFont val="微軟正黑體"/>
        <family val="0"/>
        <charset val="1"/>
      </rPr>
      <t xml:space="preserve">04 </t>
    </r>
    <r>
      <rPr>
        <sz val="9.5"/>
        <color rgb="FF404050"/>
        <rFont val="Noto Sans CJK SC"/>
        <family val="2"/>
      </rPr>
      <t xml:space="preserve">夥伴拼圖，並把 </t>
    </r>
    <r>
      <rPr>
        <sz val="9.5"/>
        <color rgb="FF404050"/>
        <rFont val="微軟正黑體"/>
        <family val="0"/>
        <charset val="1"/>
      </rPr>
      <t xml:space="preserve">03 </t>
    </r>
    <r>
      <rPr>
        <sz val="9.5"/>
        <color rgb="FF404050"/>
        <rFont val="Noto Sans CJK SC"/>
        <family val="2"/>
      </rPr>
      <t xml:space="preserve">該列的拼圖狀態由「缺口</t>
    </r>
    <r>
      <rPr>
        <sz val="9.5"/>
        <color rgb="FF404050"/>
        <rFont val="微軟正黑體"/>
        <family val="0"/>
        <charset val="1"/>
      </rPr>
      <t xml:space="preserve">-</t>
    </r>
    <r>
      <rPr>
        <sz val="9.5"/>
        <color rgb="FF404050"/>
        <rFont val="Noto Sans CJK SC"/>
        <family val="2"/>
      </rPr>
      <t xml:space="preserve">待尋找」改為「夥伴洽談中」；④ 本頁該列會自動消失，</t>
    </r>
    <r>
      <rPr>
        <sz val="9.5"/>
        <color rgb="FF404050"/>
        <rFont val="微軟正黑體"/>
        <family val="0"/>
        <charset val="1"/>
      </rPr>
      <t xml:space="preserve">01 </t>
    </r>
    <r>
      <rPr>
        <sz val="9.5"/>
        <color rgb="FF404050"/>
        <rFont val="Noto Sans CJK SC"/>
        <family val="2"/>
      </rPr>
      <t xml:space="preserve">總藍圖的紅色格子同步變色。</t>
    </r>
  </si>
  <si>
    <r>
      <rPr>
        <b val="true"/>
        <sz val="15"/>
        <color rgb="FFFFFFFF"/>
        <rFont val="微軟正黑體"/>
        <family val="0"/>
        <charset val="1"/>
      </rPr>
      <t xml:space="preserve">00B </t>
    </r>
    <r>
      <rPr>
        <b val="true"/>
        <sz val="15"/>
        <color rgb="FFFFFFFF"/>
        <rFont val="Noto Sans CJK SC"/>
        <family val="2"/>
      </rPr>
      <t xml:space="preserve">決策導引｜</t>
    </r>
    <r>
      <rPr>
        <b val="true"/>
        <sz val="15"/>
        <color rgb="FFFFFFFF"/>
        <rFont val="微軟正黑體"/>
        <family val="0"/>
        <charset val="1"/>
      </rPr>
      <t xml:space="preserve">Decision Guide</t>
    </r>
    <r>
      <rPr>
        <b val="true"/>
        <sz val="15"/>
        <color rgb="FFFFFFFF"/>
        <rFont val="Noto Sans CJK SC"/>
        <family val="2"/>
      </rPr>
      <t xml:space="preserve">（選一個決策，照著三步走到結論）</t>
    </r>
  </si>
  <si>
    <t xml:space="preserve">這一頁把工具變成顧問：選出你現在要決定的事，它會告訴你去哪一頁、看哪個數字、什麼情況算通過、哪裡最容易判錯、結論要記到哪裡。★ 六個決策涵蓋這個工具實際會被用到的全部情境。</t>
  </si>
  <si>
    <r>
      <rPr>
        <sz val="11"/>
        <color theme="1"/>
        <rFont val="Noto Sans CJK SC"/>
        <family val="2"/>
      </rPr>
      <t xml:space="preserve">① 這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個商機，先打哪一個？</t>
    </r>
  </si>
  <si>
    <t xml:space="preserve">資源有限，要決定先把人力和時間投在哪一門生意上。</t>
  </si>
  <si>
    <r>
      <rPr>
        <sz val="11"/>
        <color theme="1"/>
        <rFont val="Noto Sans CJK SC"/>
        <family val="2"/>
      </rPr>
      <t xml:space="preserve">開 儀表板 → 看 </t>
    </r>
    <r>
      <rPr>
        <sz val="11"/>
        <color theme="1"/>
        <rFont val="Calibri"/>
        <family val="2"/>
        <charset val="1"/>
      </rPr>
      <t xml:space="preserve">Top 10 </t>
    </r>
    <r>
      <rPr>
        <sz val="11"/>
        <color theme="1"/>
        <rFont val="Noto Sans CJK SC"/>
        <family val="2"/>
      </rPr>
      <t xml:space="preserve">攻擊順位表。分數已經自動算好，不用自己排。</t>
    </r>
  </si>
  <si>
    <r>
      <rPr>
        <sz val="11"/>
        <color theme="1"/>
        <rFont val="Noto Sans CJK SC"/>
        <family val="2"/>
      </rPr>
      <t xml:space="preserve">開 </t>
    </r>
    <r>
      <rPr>
        <sz val="11"/>
        <color theme="1"/>
        <rFont val="Calibri"/>
        <family val="2"/>
        <charset val="1"/>
      </rPr>
      <t xml:space="preserve">15_</t>
    </r>
    <r>
      <rPr>
        <sz val="11"/>
        <color theme="1"/>
        <rFont val="Noto Sans CJK SC"/>
        <family val="2"/>
      </rPr>
      <t xml:space="preserve">商機字典 → 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欄「攻擊優先分」與 </t>
    </r>
    <r>
      <rPr>
        <sz val="11"/>
        <color theme="1"/>
        <rFont val="Calibri"/>
        <family val="2"/>
        <charset val="1"/>
      </rPr>
      <t xml:space="preserve">Z </t>
    </r>
    <r>
      <rPr>
        <sz val="11"/>
        <color theme="1"/>
        <rFont val="Noto Sans CJK SC"/>
        <family val="2"/>
      </rPr>
      <t xml:space="preserve">欄「順位」，那是完整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名的排序。</t>
    </r>
  </si>
  <si>
    <r>
      <rPr>
        <sz val="11"/>
        <color theme="1"/>
        <rFont val="Noto Sans CJK SC"/>
        <family val="2"/>
      </rPr>
      <t xml:space="preserve">對前五名逐一開 </t>
    </r>
    <r>
      <rPr>
        <sz val="11"/>
        <color theme="1"/>
        <rFont val="Calibri"/>
        <family val="2"/>
        <charset val="1"/>
      </rPr>
      <t xml:space="preserve">17_</t>
    </r>
    <r>
      <rPr>
        <sz val="11"/>
        <color theme="1"/>
        <rFont val="Noto Sans CJK SC"/>
        <family val="2"/>
      </rPr>
      <t xml:space="preserve">商機作戰卡，確認能力齊不齊——分數高不等於打得動。</t>
    </r>
  </si>
  <si>
    <t xml:space="preserve">攻擊優先分高 ＋ 缺口數少 ＋ 越南現況是③（幾乎沒人做）＝ 優先打。三者衝突時以「缺口數少」優先，因為打得動比分數漂亮重要。</t>
  </si>
  <si>
    <r>
      <rPr>
        <sz val="11"/>
        <color theme="1"/>
        <rFont val="Noto Sans CJK SC"/>
        <family val="2"/>
      </rPr>
      <t xml:space="preserve">只看分數高就衝。分數高但缺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項核心能力，那是「該去找夥伴」，不是「該打」。</t>
    </r>
  </si>
  <si>
    <r>
      <rPr>
        <sz val="11"/>
        <color theme="1"/>
        <rFont val="Noto Sans CJK SC"/>
        <family val="2"/>
      </rPr>
      <t xml:space="preserve">選定後記到 </t>
    </r>
    <r>
      <rPr>
        <sz val="11"/>
        <color theme="1"/>
        <rFont val="Calibri"/>
        <family val="2"/>
        <charset val="1"/>
      </rPr>
      <t xml:space="preserve">14_</t>
    </r>
    <r>
      <rPr>
        <sz val="11"/>
        <color theme="1"/>
        <rFont val="Noto Sans CJK SC"/>
        <family val="2"/>
      </rPr>
      <t xml:space="preserve">商機清單，並在 </t>
    </r>
    <r>
      <rPr>
        <sz val="11"/>
        <color theme="1"/>
        <rFont val="Calibri"/>
        <family val="2"/>
        <charset val="1"/>
      </rPr>
      <t xml:space="preserve">10_</t>
    </r>
    <r>
      <rPr>
        <sz val="11"/>
        <color theme="1"/>
        <rFont val="Noto Sans CJK SC"/>
        <family val="2"/>
      </rPr>
      <t xml:space="preserve">決策紀錄 留一筆（含為什麼選它、為什麼不選第二名）。</t>
    </r>
  </si>
  <si>
    <t xml:space="preserve">⌂ 回使用說明</t>
  </si>
  <si>
    <t xml:space="preserve">② 這個商機，我們打得動嗎？</t>
  </si>
  <si>
    <t xml:space="preserve">判斷聯盟目前的能力組合，夠不夠接下這門生意。</t>
  </si>
  <si>
    <r>
      <rPr>
        <sz val="11"/>
        <color theme="1"/>
        <rFont val="Noto Sans CJK SC"/>
        <family val="2"/>
      </rPr>
      <t xml:space="preserve">開 </t>
    </r>
    <r>
      <rPr>
        <sz val="11"/>
        <color theme="1"/>
        <rFont val="Calibri"/>
        <family val="2"/>
        <charset val="1"/>
      </rPr>
      <t xml:space="preserve">17_</t>
    </r>
    <r>
      <rPr>
        <sz val="11"/>
        <color theme="1"/>
        <rFont val="Noto Sans CJK SC"/>
        <family val="2"/>
      </rPr>
      <t xml:space="preserve">商機作戰卡 → 最上面的下拉選這個商機。</t>
    </r>
  </si>
  <si>
    <t xml:space="preserve">看「需要哪些能力／誰在做」：● 群晶主導、◆ 夥伴已確認、◐ 洽談中、○ 缺口。</t>
  </si>
  <si>
    <t xml:space="preserve">看卡片下半部：對手是誰、我們憑什麼贏、卡在哪些法規門檻。</t>
  </si>
  <si>
    <r>
      <rPr>
        <sz val="11"/>
        <color theme="1"/>
        <rFont val="Noto Sans CJK SC"/>
        <family val="2"/>
      </rPr>
      <t xml:space="preserve">○ 缺口 </t>
    </r>
    <r>
      <rPr>
        <sz val="11"/>
        <color theme="1"/>
        <rFont val="Calibri"/>
        <family val="2"/>
        <charset val="1"/>
      </rPr>
      <t xml:space="preserve">= 0 → </t>
    </r>
    <r>
      <rPr>
        <sz val="11"/>
        <color theme="1"/>
        <rFont val="Noto Sans CJK SC"/>
        <family val="2"/>
      </rPr>
      <t xml:space="preserve">現在就能打；缺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項且非核心 → 邊打邊補；缺 ≥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項、或缺的是核心能力 → 先招募再打。</t>
    </r>
  </si>
  <si>
    <t xml:space="preserve">把「◐ 洽談中」當成「◆ 已確認」。洽談中不算數——合約沒簽，那一格就是缺口。</t>
  </si>
  <si>
    <r>
      <rPr>
        <sz val="11"/>
        <color theme="1"/>
        <rFont val="Noto Sans CJK SC"/>
        <family val="2"/>
      </rPr>
      <t xml:space="preserve">把缺口帶到 </t>
    </r>
    <r>
      <rPr>
        <sz val="11"/>
        <color theme="1"/>
        <rFont val="Calibri"/>
        <family val="2"/>
        <charset val="1"/>
      </rPr>
      <t xml:space="preserve">11_</t>
    </r>
    <r>
      <rPr>
        <sz val="11"/>
        <color theme="1"/>
        <rFont val="Noto Sans CJK SC"/>
        <family val="2"/>
      </rPr>
      <t xml:space="preserve">缺口招募，用 </t>
    </r>
    <r>
      <rPr>
        <sz val="11"/>
        <color theme="1"/>
        <rFont val="Calibri"/>
        <family val="2"/>
        <charset val="1"/>
      </rPr>
      <t xml:space="preserve">VMH-EcoMap-3 </t>
    </r>
    <r>
      <rPr>
        <sz val="11"/>
        <color theme="1"/>
        <rFont val="Noto Sans CJK SC"/>
        <family val="2"/>
      </rPr>
      <t xml:space="preserve">夥伴提案回覆表發 </t>
    </r>
    <r>
      <rPr>
        <sz val="11"/>
        <color theme="1"/>
        <rFont val="Calibri"/>
        <family val="2"/>
        <charset val="1"/>
      </rPr>
      <t xml:space="preserve">RFI </t>
    </r>
    <r>
      <rPr>
        <sz val="11"/>
        <color theme="1"/>
        <rFont val="Noto Sans CJK SC"/>
        <family val="2"/>
      </rPr>
      <t xml:space="preserve">出去。</t>
    </r>
  </si>
  <si>
    <t xml:space="preserve">我要決定的是</t>
  </si>
  <si>
    <r>
      <rPr>
        <b val="true"/>
        <sz val="11"/>
        <color rgb="FF833C00"/>
        <rFont val="Noto Sans CJK SC"/>
        <family val="2"/>
      </rPr>
      <t xml:space="preserve">① 這 </t>
    </r>
    <r>
      <rPr>
        <b val="true"/>
        <sz val="11"/>
        <color rgb="FF833C00"/>
        <rFont val="微軟正黑體"/>
        <family val="0"/>
        <charset val="1"/>
      </rPr>
      <t xml:space="preserve">85 </t>
    </r>
    <r>
      <rPr>
        <b val="true"/>
        <sz val="11"/>
        <color rgb="FF833C00"/>
        <rFont val="Noto Sans CJK SC"/>
        <family val="2"/>
      </rPr>
      <t xml:space="preserve">個商機，先打哪一個？</t>
    </r>
  </si>
  <si>
    <t xml:space="preserve">③ 缺口一堆，先找哪一個夥伴補？</t>
  </si>
  <si>
    <t xml:space="preserve">缺口清單很長，要決定招募的先後順序。</t>
  </si>
  <si>
    <r>
      <rPr>
        <sz val="11"/>
        <color theme="1"/>
        <rFont val="Noto Sans CJK SC"/>
        <family val="2"/>
      </rPr>
      <t xml:space="preserve">開 </t>
    </r>
    <r>
      <rPr>
        <sz val="11"/>
        <color theme="1"/>
        <rFont val="Calibri"/>
        <family val="2"/>
        <charset val="1"/>
      </rPr>
      <t xml:space="preserve">11_</t>
    </r>
    <r>
      <rPr>
        <sz val="11"/>
        <color theme="1"/>
        <rFont val="Noto Sans CJK SC"/>
        <family val="2"/>
      </rPr>
      <t xml:space="preserve">缺口招募 → 所有「缺口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待尋找」已自動列出，不用自己整理。</t>
    </r>
  </si>
  <si>
    <r>
      <rPr>
        <sz val="11"/>
        <color theme="1"/>
        <rFont val="Noto Sans CJK SC"/>
        <family val="2"/>
      </rPr>
      <t xml:space="preserve">看「牽動商機數」那一欄，數字 ≥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的會自動變紅底。</t>
    </r>
  </si>
  <si>
    <t xml:space="preserve">紅底的優先——補一項能力可以同時解鎖好幾門生意，投報率最高。</t>
  </si>
  <si>
    <r>
      <rPr>
        <sz val="11"/>
        <color theme="1"/>
        <rFont val="Noto Sans CJK SC"/>
        <family val="2"/>
      </rPr>
      <t xml:space="preserve">牽動商機數 ≥</t>
    </r>
    <r>
      <rPr>
        <sz val="11"/>
        <color theme="1"/>
        <rFont val="Calibri"/>
        <family val="2"/>
        <charset val="1"/>
      </rPr>
      <t xml:space="preserve">3 = </t>
    </r>
    <r>
      <rPr>
        <sz val="11"/>
        <color theme="1"/>
        <rFont val="Noto Sans CJK SC"/>
        <family val="2"/>
      </rPr>
      <t xml:space="preserve">第一優先；</t>
    </r>
    <r>
      <rPr>
        <sz val="11"/>
        <color theme="1"/>
        <rFont val="Calibri"/>
        <family val="2"/>
        <charset val="1"/>
      </rPr>
      <t xml:space="preserve">= 2 = </t>
    </r>
    <r>
      <rPr>
        <sz val="11"/>
        <color theme="1"/>
        <rFont val="Noto Sans CJK SC"/>
        <family val="2"/>
      </rPr>
      <t xml:space="preserve">第二優先；</t>
    </r>
    <r>
      <rPr>
        <sz val="11"/>
        <color theme="1"/>
        <rFont val="Calibri"/>
        <family val="2"/>
        <charset val="1"/>
      </rPr>
      <t xml:space="preserve">= 1 </t>
    </r>
    <r>
      <rPr>
        <sz val="11"/>
        <color theme="1"/>
        <rFont val="Noto Sans CJK SC"/>
        <family val="2"/>
      </rPr>
      <t xml:space="preserve">但該商機攻擊順位在前十名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第三優先；其餘先擱著，不是不做，是還沒輪到。</t>
    </r>
  </si>
  <si>
    <r>
      <rPr>
        <sz val="11"/>
        <color theme="1"/>
        <rFont val="Noto Sans CJK SC"/>
        <family val="2"/>
      </rPr>
      <t xml:space="preserve">照 </t>
    </r>
    <r>
      <rPr>
        <sz val="11"/>
        <color theme="1"/>
        <rFont val="Calibri"/>
        <family val="2"/>
        <charset val="1"/>
      </rPr>
      <t xml:space="preserve">D01 → D10 </t>
    </r>
    <r>
      <rPr>
        <sz val="11"/>
        <color theme="1"/>
        <rFont val="Noto Sans CJK SC"/>
        <family val="2"/>
      </rPr>
      <t xml:space="preserve">的領域編號順序去找。那是編號順序，不是重要性順序，兩者完全無關。</t>
    </r>
  </si>
  <si>
    <r>
      <rPr>
        <sz val="11"/>
        <color theme="1"/>
        <rFont val="Noto Sans CJK SC"/>
        <family val="2"/>
      </rPr>
      <t xml:space="preserve">名單帶進 </t>
    </r>
    <r>
      <rPr>
        <sz val="11"/>
        <color theme="1"/>
        <rFont val="Calibri"/>
        <family val="2"/>
        <charset val="1"/>
      </rPr>
      <t xml:space="preserve">VMH-EcoMap-3 </t>
    </r>
    <r>
      <rPr>
        <sz val="11"/>
        <color theme="1"/>
        <rFont val="Noto Sans CJK SC"/>
        <family val="2"/>
      </rPr>
      <t xml:space="preserve">夥伴提案回覆表發出去；有回覆再登錄到 </t>
    </r>
    <r>
      <rPr>
        <sz val="11"/>
        <color theme="1"/>
        <rFont val="Calibri"/>
        <family val="2"/>
        <charset val="1"/>
      </rPr>
      <t xml:space="preserve">04_</t>
    </r>
    <r>
      <rPr>
        <sz val="11"/>
        <color theme="1"/>
        <rFont val="Noto Sans CJK SC"/>
        <family val="2"/>
      </rPr>
      <t xml:space="preserve">夥伴拼圖。</t>
    </r>
  </si>
  <si>
    <t xml:space="preserve">④ 這個夥伴能做什麼？值得談嗎？</t>
  </si>
  <si>
    <t xml:space="preserve">一對一洽談之前，先確認這家公司在整張藍圖裡的位置。</t>
  </si>
  <si>
    <r>
      <rPr>
        <sz val="11"/>
        <color theme="1"/>
        <rFont val="Noto Sans CJK SC"/>
        <family val="2"/>
      </rPr>
      <t xml:space="preserve">開 </t>
    </r>
    <r>
      <rPr>
        <sz val="11"/>
        <color theme="1"/>
        <rFont val="Calibri"/>
        <family val="2"/>
        <charset val="1"/>
      </rPr>
      <t xml:space="preserve">12_</t>
    </r>
    <r>
      <rPr>
        <sz val="11"/>
        <color theme="1"/>
        <rFont val="Noto Sans CJK SC"/>
        <family val="2"/>
      </rPr>
      <t xml:space="preserve">夥伴視角 → 下拉選這個夥伴（選單顯示代號＋名稱，不會選錯同類角色）。</t>
    </r>
  </si>
  <si>
    <t xml:space="preserve">這一頁自動列出他被指名的所有能力項，以及這些能力屬於哪些商機。</t>
  </si>
  <si>
    <r>
      <rPr>
        <sz val="11"/>
        <color theme="1"/>
        <rFont val="Noto Sans CJK SC"/>
        <family val="2"/>
      </rPr>
      <t xml:space="preserve">交叉看 </t>
    </r>
    <r>
      <rPr>
        <sz val="11"/>
        <color theme="1"/>
        <rFont val="Calibri"/>
        <family val="2"/>
        <charset val="1"/>
      </rPr>
      <t xml:space="preserve">04_</t>
    </r>
    <r>
      <rPr>
        <sz val="11"/>
        <color theme="1"/>
        <rFont val="Noto Sans CJK SC"/>
        <family val="2"/>
      </rPr>
      <t xml:space="preserve">夥伴拼圖 的覆蓋矩陣，確認他實際涵蓋哪幾個領域。</t>
    </r>
  </si>
  <si>
    <r>
      <rPr>
        <sz val="11"/>
        <color theme="1"/>
        <rFont val="Noto Sans CJK SC"/>
        <family val="2"/>
      </rPr>
      <t xml:space="preserve">被指名能力數多 ＋ 涵蓋領域集中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核心夥伴，優先綁定；能力數少但補的正好是紅底缺口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戰術夥伴，值得談；兩者皆非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先放候選名單。</t>
    </r>
  </si>
  <si>
    <t xml:space="preserve">用公司規模來判斷。大公司不一定補得到你缺的那一塊，小公司補到關鍵缺口反而更值錢。</t>
  </si>
  <si>
    <r>
      <rPr>
        <sz val="11"/>
        <color theme="1"/>
        <rFont val="Noto Sans CJK SC"/>
        <family val="2"/>
      </rPr>
      <t xml:space="preserve">洽談當天直接投影 </t>
    </r>
    <r>
      <rPr>
        <sz val="11"/>
        <color theme="1"/>
        <rFont val="Calibri"/>
        <family val="2"/>
        <charset val="1"/>
      </rPr>
      <t xml:space="preserve">12_</t>
    </r>
    <r>
      <rPr>
        <sz val="11"/>
        <color theme="1"/>
        <rFont val="Noto Sans CJK SC"/>
        <family val="2"/>
      </rPr>
      <t xml:space="preserve">夥伴視角 這一頁，對方會很清楚自己被期待做什麼。</t>
    </r>
  </si>
  <si>
    <t xml:space="preserve">白話是什麼</t>
  </si>
  <si>
    <t xml:space="preserve">⑤ 這一案，到底投不投？</t>
  </si>
  <si>
    <t xml:space="preserve">商機確定要做了，要決定投多少錢、以及到底投不投。</t>
  </si>
  <si>
    <r>
      <rPr>
        <sz val="11"/>
        <color theme="1"/>
        <rFont val="Noto Sans CJK SC"/>
        <family val="2"/>
      </rPr>
      <t xml:space="preserve">這個主檔不做財務判斷。請開另一個檔：</t>
    </r>
    <r>
      <rPr>
        <sz val="11"/>
        <color theme="1"/>
        <rFont val="Calibri"/>
        <family val="2"/>
        <charset val="1"/>
      </rPr>
      <t xml:space="preserve">VMH-EcoMap-2 </t>
    </r>
    <r>
      <rPr>
        <sz val="11"/>
        <color theme="1"/>
        <rFont val="Noto Sans CJK SC"/>
        <family val="2"/>
      </rPr>
      <t xml:space="preserve">專案商模試算器。</t>
    </r>
  </si>
  <si>
    <r>
      <rPr>
        <sz val="11"/>
        <color theme="1"/>
        <rFont val="Noto Sans CJK SC"/>
        <family val="2"/>
      </rPr>
      <t xml:space="preserve">在試算器 </t>
    </r>
    <r>
      <rPr>
        <sz val="11"/>
        <color theme="1"/>
        <rFont val="Calibri"/>
        <family val="2"/>
        <charset val="1"/>
      </rPr>
      <t xml:space="preserve">01 </t>
    </r>
    <r>
      <rPr>
        <sz val="11"/>
        <color theme="1"/>
        <rFont val="Noto Sans CJK SC"/>
        <family val="2"/>
      </rPr>
      <t xml:space="preserve">分頁先選「投資類別」——不確定選哪一類就用 </t>
    </r>
    <r>
      <rPr>
        <sz val="11"/>
        <color theme="1"/>
        <rFont val="Calibri"/>
        <family val="2"/>
        <charset val="1"/>
      </rPr>
      <t xml:space="preserve">01B </t>
    </r>
    <r>
      <rPr>
        <sz val="11"/>
        <color theme="1"/>
        <rFont val="Noto Sans CJK SC"/>
        <family val="2"/>
      </rPr>
      <t xml:space="preserve">判斷精靈，四題問答會幫你判定。</t>
    </r>
  </si>
  <si>
    <r>
      <rPr>
        <sz val="11"/>
        <color theme="1"/>
        <rFont val="Noto Sans CJK SC"/>
        <family val="2"/>
      </rPr>
      <t xml:space="preserve">看試算器 </t>
    </r>
    <r>
      <rPr>
        <sz val="11"/>
        <color theme="1"/>
        <rFont val="Calibri"/>
        <family val="2"/>
        <charset val="1"/>
      </rPr>
      <t xml:space="preserve">10_</t>
    </r>
    <r>
      <rPr>
        <sz val="11"/>
        <color theme="1"/>
        <rFont val="Noto Sans CJK SC"/>
        <family val="2"/>
      </rPr>
      <t xml:space="preserve">決策摘要，它會依你選的類別，自動套用該類別該用的判讀規則。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</si>
  <si>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營收型看 </t>
    </r>
    <r>
      <rPr>
        <sz val="11"/>
        <color theme="1"/>
        <rFont val="Calibri"/>
        <family val="2"/>
        <charset val="1"/>
      </rPr>
      <t xml:space="preserve">NPV</t>
    </r>
    <r>
      <rPr>
        <sz val="11"/>
        <color theme="1"/>
        <rFont val="Noto Sans CJK SC"/>
        <family val="2"/>
      </rPr>
      <t xml:space="preserve">＞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且 </t>
    </r>
    <r>
      <rPr>
        <sz val="11"/>
        <color theme="1"/>
        <rFont val="Calibri"/>
        <family val="2"/>
        <charset val="1"/>
      </rPr>
      <t xml:space="preserve">MIRR ≥ WACC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使能型看 </t>
    </r>
    <r>
      <rPr>
        <sz val="11"/>
        <color theme="1"/>
        <rFont val="Calibri"/>
        <family val="2"/>
        <charset val="1"/>
      </rPr>
      <t xml:space="preserve">ΔTCO</t>
    </r>
    <r>
      <rPr>
        <sz val="11"/>
        <color theme="1"/>
        <rFont val="Noto Sans CJK SC"/>
        <family val="2"/>
      </rPr>
      <t xml:space="preserve">＞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且承載專案數 ≥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策略布局型不看財務數字，看關卡設計夠不夠嚴。</t>
    </r>
  </si>
  <si>
    <r>
      <rPr>
        <sz val="11"/>
        <color theme="1"/>
        <rFont val="Noto Sans CJK SC"/>
        <family val="2"/>
      </rPr>
      <t xml:space="preserve">對機房、網路這種不對外收費的基礎建設用 </t>
    </r>
    <r>
      <rPr>
        <sz val="11"/>
        <color theme="1"/>
        <rFont val="Calibri"/>
        <family val="2"/>
        <charset val="1"/>
      </rPr>
      <t xml:space="preserve">NPV </t>
    </r>
    <r>
      <rPr>
        <sz val="11"/>
        <color theme="1"/>
        <rFont val="Noto Sans CJK SC"/>
        <family val="2"/>
      </rPr>
      <t xml:space="preserve">判生死。尺用錯了，結論必然是負的——那不是案子不好。</t>
    </r>
  </si>
  <si>
    <r>
      <rPr>
        <sz val="11"/>
        <color theme="1"/>
        <rFont val="Noto Sans CJK SC"/>
        <family val="2"/>
      </rPr>
      <t xml:space="preserve">財務結論記回本檔 </t>
    </r>
    <r>
      <rPr>
        <sz val="11"/>
        <color theme="1"/>
        <rFont val="Calibri"/>
        <family val="2"/>
        <charset val="1"/>
      </rPr>
      <t xml:space="preserve">10_</t>
    </r>
    <r>
      <rPr>
        <sz val="11"/>
        <color theme="1"/>
        <rFont val="Noto Sans CJK SC"/>
        <family val="2"/>
      </rPr>
      <t xml:space="preserve">決策紀錄，讓商機判斷與財務判斷留在同一條軌跡上。</t>
    </r>
  </si>
  <si>
    <t xml:space="preserve">↓ 照這三步走</t>
  </si>
  <si>
    <t xml:space="preserve">⑥ 這一季，先做哪些事？</t>
  </si>
  <si>
    <t xml:space="preserve">把整張藍圖轉成接下來三個月真正要動手的工作清單。</t>
  </si>
  <si>
    <r>
      <rPr>
        <sz val="11"/>
        <color theme="1"/>
        <rFont val="Noto Sans CJK SC"/>
        <family val="2"/>
      </rPr>
      <t xml:space="preserve">開 </t>
    </r>
    <r>
      <rPr>
        <sz val="11"/>
        <color theme="1"/>
        <rFont val="Calibri"/>
        <family val="2"/>
        <charset val="1"/>
      </rPr>
      <t xml:space="preserve">13_</t>
    </r>
    <r>
      <rPr>
        <sz val="11"/>
        <color theme="1"/>
        <rFont val="Noto Sans CJK SC"/>
        <family val="2"/>
      </rPr>
      <t xml:space="preserve">待辦看板 → 未確認強制法規、高風險、缺口三張清單已經合一。</t>
    </r>
  </si>
  <si>
    <r>
      <rPr>
        <sz val="11"/>
        <color theme="1"/>
        <rFont val="Noto Sans CJK SC"/>
        <family val="2"/>
      </rPr>
      <t xml:space="preserve">開 </t>
    </r>
    <r>
      <rPr>
        <sz val="11"/>
        <color theme="1"/>
        <rFont val="Calibri"/>
        <family val="2"/>
        <charset val="1"/>
      </rPr>
      <t xml:space="preserve">05_</t>
    </r>
    <r>
      <rPr>
        <sz val="11"/>
        <color theme="1"/>
        <rFont val="Noto Sans CJK SC"/>
        <family val="2"/>
      </rPr>
      <t xml:space="preserve">法規門檻 → 本階段還沒確認的法規一律排最前面。</t>
    </r>
  </si>
  <si>
    <r>
      <rPr>
        <sz val="11"/>
        <color theme="1"/>
        <rFont val="Noto Sans CJK SC"/>
        <family val="2"/>
      </rPr>
      <t xml:space="preserve">開 </t>
    </r>
    <r>
      <rPr>
        <sz val="11"/>
        <color theme="1"/>
        <rFont val="Calibri"/>
        <family val="2"/>
        <charset val="1"/>
      </rPr>
      <t xml:space="preserve">06_</t>
    </r>
    <r>
      <rPr>
        <sz val="11"/>
        <color theme="1"/>
        <rFont val="Noto Sans CJK SC"/>
        <family val="2"/>
      </rPr>
      <t xml:space="preserve">行動路線 → 對照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個工作包與甘特圖，決定這一季推哪幾包。</t>
    </r>
  </si>
  <si>
    <r>
      <rPr>
        <sz val="11"/>
        <color theme="1"/>
        <rFont val="Noto Sans CJK SC"/>
        <family val="2"/>
      </rPr>
      <t xml:space="preserve">排序固定是：未確認的強制法規 ＞ 極高風險 ＞ 牽動 ≥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商機的缺口 ＞ 其他工作包。法規沒過，後面做再多都不能過關。</t>
    </r>
  </si>
  <si>
    <r>
      <rPr>
        <sz val="11"/>
        <color theme="1"/>
        <rFont val="Noto Sans CJK SC"/>
        <family val="2"/>
      </rPr>
      <t xml:space="preserve">先做「看得見成果」的事，把法規確認往後排。法規是 </t>
    </r>
    <r>
      <rPr>
        <sz val="11"/>
        <color theme="1"/>
        <rFont val="Calibri"/>
        <family val="2"/>
        <charset val="1"/>
      </rPr>
      <t xml:space="preserve">Gate </t>
    </r>
    <r>
      <rPr>
        <sz val="11"/>
        <color theme="1"/>
        <rFont val="Noto Sans CJK SC"/>
        <family val="2"/>
      </rPr>
      <t xml:space="preserve">不是 </t>
    </r>
    <r>
      <rPr>
        <sz val="11"/>
        <color theme="1"/>
        <rFont val="Calibri"/>
        <family val="2"/>
        <charset val="1"/>
      </rPr>
      <t xml:space="preserve">Task——</t>
    </r>
    <r>
      <rPr>
        <sz val="11"/>
        <color theme="1"/>
        <rFont val="Noto Sans CJK SC"/>
        <family val="2"/>
      </rPr>
      <t xml:space="preserve">它不會因為你晚點做就變簡單。</t>
    </r>
  </si>
  <si>
    <r>
      <rPr>
        <sz val="11"/>
        <color theme="1"/>
        <rFont val="Noto Sans CJK SC"/>
        <family val="2"/>
      </rPr>
      <t xml:space="preserve">排定後記 </t>
    </r>
    <r>
      <rPr>
        <sz val="11"/>
        <color theme="1"/>
        <rFont val="Calibri"/>
        <family val="2"/>
        <charset val="1"/>
      </rPr>
      <t xml:space="preserve">10_</t>
    </r>
    <r>
      <rPr>
        <sz val="11"/>
        <color theme="1"/>
        <rFont val="Noto Sans CJK SC"/>
        <family val="2"/>
      </rPr>
      <t xml:space="preserve">決策紀錄，並指派到 </t>
    </r>
    <r>
      <rPr>
        <sz val="11"/>
        <color theme="1"/>
        <rFont val="Calibri"/>
        <family val="2"/>
        <charset val="1"/>
      </rPr>
      <t xml:space="preserve">06_</t>
    </r>
    <r>
      <rPr>
        <sz val="11"/>
        <color theme="1"/>
        <rFont val="Noto Sans CJK SC"/>
        <family val="2"/>
      </rPr>
      <t xml:space="preserve">行動路線 的工作包負責人。</t>
    </r>
  </si>
  <si>
    <t xml:space="preserve">第一步</t>
  </si>
  <si>
    <t xml:space="preserve">第二步</t>
  </si>
  <si>
    <t xml:space="preserve">第三步</t>
  </si>
  <si>
    <t xml:space="preserve">↓ 什麼情況算通過</t>
  </si>
  <si>
    <t xml:space="preserve">判斷規則</t>
  </si>
  <si>
    <t xml:space="preserve">最常見的誤判</t>
  </si>
  <si>
    <t xml:space="preserve">結論記到哪</t>
  </si>
  <si>
    <t xml:space="preserve">六個決策一覽（投影時用這塊）</t>
  </si>
  <si>
    <r>
      <rPr>
        <b val="true"/>
        <sz val="10"/>
        <color rgb="FFFFFFFF"/>
        <rFont val="Noto Sans CJK SC"/>
        <family val="2"/>
      </rPr>
      <t xml:space="preserve">① 這 </t>
    </r>
    <r>
      <rPr>
        <b val="true"/>
        <sz val="10"/>
        <color rgb="FFFFFFFF"/>
        <rFont val="微軟正黑體"/>
        <family val="0"/>
        <charset val="1"/>
      </rPr>
      <t xml:space="preserve">85 </t>
    </r>
    <r>
      <rPr>
        <b val="true"/>
        <sz val="10"/>
        <color rgb="FFFFFFFF"/>
        <rFont val="Noto Sans CJK SC"/>
        <family val="2"/>
      </rPr>
      <t xml:space="preserve">個商機，先打哪一個？</t>
    </r>
  </si>
  <si>
    <r>
      <rPr>
        <b val="true"/>
        <sz val="10"/>
        <color rgb="FF833C00"/>
        <rFont val="Noto Sans CJK SC"/>
        <family val="2"/>
      </rPr>
      <t xml:space="preserve">★ 這六個決策全部只用到「已經算好的數字」，沒有一個需要你另外計算。如果某一步你找不到那個欄位，多半是還沒有人填 </t>
    </r>
    <r>
      <rPr>
        <b val="true"/>
        <sz val="10"/>
        <color rgb="FF833C00"/>
        <rFont val="微軟正黑體"/>
        <family val="0"/>
        <charset val="1"/>
      </rPr>
      <t xml:space="preserve">03 </t>
    </r>
    <r>
      <rPr>
        <b val="true"/>
        <sz val="10"/>
        <color rgb="FF833C00"/>
        <rFont val="Noto Sans CJK SC"/>
        <family val="2"/>
      </rPr>
      <t xml:space="preserve">能力總表或 </t>
    </r>
    <r>
      <rPr>
        <b val="true"/>
        <sz val="10"/>
        <color rgb="FF833C00"/>
        <rFont val="微軟正黑體"/>
        <family val="0"/>
        <charset val="1"/>
      </rPr>
      <t xml:space="preserve">16 </t>
    </r>
    <r>
      <rPr>
        <b val="true"/>
        <sz val="10"/>
        <color rgb="FF833C00"/>
        <rFont val="Noto Sans CJK SC"/>
        <family val="2"/>
      </rPr>
      <t xml:space="preserve">矩陣——先補資料，不要用猜的。</t>
    </r>
  </si>
  <si>
    <r>
      <rPr>
        <b val="true"/>
        <sz val="16"/>
        <color rgb="FF1F3864"/>
        <rFont val="Microsoft JhengHei"/>
        <family val="0"/>
        <charset val="1"/>
      </rPr>
      <t xml:space="preserve">00C </t>
    </r>
    <r>
      <rPr>
        <b val="true"/>
        <sz val="16"/>
        <color rgb="FF1F3864"/>
        <rFont val="Noto Sans CJK SC"/>
        <family val="2"/>
      </rPr>
      <t xml:space="preserve">分頁地圖｜這個檔怎麼分區、每頁在回答什麼</t>
    </r>
  </si>
  <si>
    <t xml:space="preserve">分頁標籤的顏色不是裝飾——同色＝同一區。下表每一列都可以點，會直接跳到那一頁。</t>
  </si>
  <si>
    <t xml:space="preserve">六個區塊</t>
  </si>
  <si>
    <t xml:space="preserve">入口區</t>
  </si>
  <si>
    <t xml:space="preserve">第一次打開、或不知道從哪開始，先來這裡</t>
  </si>
  <si>
    <t xml:space="preserve">使用者：所有人</t>
  </si>
  <si>
    <t xml:space="preserve">決策簡報區</t>
  </si>
  <si>
    <t xml:space="preserve">開會直接投影這幾頁，數字全部自動更新</t>
  </si>
  <si>
    <t xml:space="preserve">使用者：業主、投資方、董事會</t>
  </si>
  <si>
    <t xml:space="preserve">瀏覽對照區</t>
  </si>
  <si>
    <t xml:space="preserve">查某一門生意、某一項能力、某一個夥伴的細節</t>
  </si>
  <si>
    <t xml:space="preserve">使用者：夥伴、顧問</t>
  </si>
  <si>
    <t xml:space="preserve">顧問工作區</t>
  </si>
  <si>
    <t xml:space="preserve">要動手填資料的地方——盤點、評分、記錄</t>
  </si>
  <si>
    <r>
      <rPr>
        <sz val="9"/>
        <color rgb="FF4A525E"/>
        <rFont val="Noto Sans CJK SC"/>
        <family val="2"/>
      </rPr>
      <t xml:space="preserve">使用者：顧問、</t>
    </r>
    <r>
      <rPr>
        <sz val="9"/>
        <color rgb="FF4A525E"/>
        <rFont val="Microsoft JhengHei"/>
        <family val="0"/>
        <charset val="1"/>
      </rPr>
      <t xml:space="preserve">PI </t>
    </r>
    <r>
      <rPr>
        <sz val="9"/>
        <color rgb="FF4A525E"/>
        <rFont val="Noto Sans CJK SC"/>
        <family val="2"/>
      </rPr>
      <t xml:space="preserve">辦公室</t>
    </r>
  </si>
  <si>
    <t xml:space="preserve">情報區</t>
  </si>
  <si>
    <t xml:space="preserve">越南市場的趨勢、層級、查證來源</t>
  </si>
  <si>
    <t xml:space="preserve">使用者：所有人（做判斷前先看）</t>
  </si>
  <si>
    <t xml:space="preserve">維護區</t>
  </si>
  <si>
    <t xml:space="preserve">下拉選單與代碼表，改結構才需要進來</t>
  </si>
  <si>
    <t xml:space="preserve">使用者：維護這個檔的人</t>
  </si>
  <si>
    <t xml:space="preserve">　入口區　—　第一次打開、或不知道從哪開始，先來這裡</t>
  </si>
  <si>
    <t xml:space="preserve">分頁（點這裡跳過去）</t>
  </si>
  <si>
    <t xml:space="preserve">這頁在回答什麼</t>
  </si>
  <si>
    <t xml:space="preserve">你要不要動它</t>
  </si>
  <si>
    <t xml:space="preserve">00A_從這裡開始_Start</t>
  </si>
  <si>
    <r>
      <rPr>
        <sz val="9"/>
        <color rgb="FF4A525E"/>
        <rFont val="Noto Sans CJK SC"/>
        <family val="2"/>
      </rPr>
      <t xml:space="preserve">這是 </t>
    </r>
    <r>
      <rPr>
        <sz val="9"/>
        <color rgb="FF4A525E"/>
        <rFont val="Microsoft JhengHei"/>
        <family val="0"/>
        <charset val="1"/>
      </rPr>
      <t xml:space="preserve">VMH-EcoMap </t>
    </r>
    <r>
      <rPr>
        <sz val="9"/>
        <color rgb="FF4A525E"/>
        <rFont val="Noto Sans CJK SC"/>
        <family val="2"/>
      </rPr>
      <t xml:space="preserve">主工具的夥伴版：只留下 </t>
    </r>
    <r>
      <rPr>
        <sz val="9"/>
        <color rgb="FF4A525E"/>
        <rFont val="Microsoft JhengHei"/>
        <family val="0"/>
        <charset val="1"/>
      </rPr>
      <t xml:space="preserve">7 </t>
    </r>
    <r>
      <rPr>
        <sz val="9"/>
        <color rgb="FF4A525E"/>
        <rFont val="Noto Sans CJK SC"/>
        <family val="2"/>
      </rPr>
      <t xml:space="preserve">個分頁，把顧問在用的盤點工作區收起來了（資料與公式完整保留，沒有刪任何東西）。</t>
    </r>
  </si>
  <si>
    <t xml:space="preserve">唯讀（自動計算）</t>
  </si>
  <si>
    <t xml:space="preserve">　決策簡報區　—　開會直接投影這幾頁，數字全部自動更新</t>
  </si>
  <si>
    <t xml:space="preserve">儀表板_Dashboard</t>
  </si>
  <si>
    <t xml:space="preserve">整體盤勢如何？該打的前十名是哪些？</t>
  </si>
  <si>
    <t xml:space="preserve">00C_分頁地圖_Map</t>
  </si>
  <si>
    <t xml:space="preserve">這個檔分成六區、每一頁在回答什麼、哪幾頁要你動手填</t>
  </si>
  <si>
    <t xml:space="preserve">　瀏覽對照區　—　查某一門生意、某一項能力、某一個夥伴的細節</t>
  </si>
  <si>
    <t xml:space="preserve">15_商機字典_OppLibrary</t>
  </si>
  <si>
    <r>
      <rPr>
        <sz val="9"/>
        <color rgb="FF4A525E"/>
        <rFont val="Noto Sans CJK SC"/>
        <family val="2"/>
      </rPr>
      <t xml:space="preserve">越南醫院市場有哪 </t>
    </r>
    <r>
      <rPr>
        <sz val="9"/>
        <color rgb="FF4A525E"/>
        <rFont val="Microsoft JhengHei"/>
        <family val="0"/>
        <charset val="1"/>
      </rPr>
      <t xml:space="preserve">85 </t>
    </r>
    <r>
      <rPr>
        <sz val="9"/>
        <color rgb="FF4A525E"/>
        <rFont val="Noto Sans CJK SC"/>
        <family val="2"/>
      </rPr>
      <t xml:space="preserve">門生意可以做？</t>
    </r>
  </si>
  <si>
    <t xml:space="preserve">★ 要填（商機描述）</t>
  </si>
  <si>
    <t xml:space="preserve">17_商機作戰卡_OppView</t>
  </si>
  <si>
    <t xml:space="preserve">這個商機怎麼打？需要誰？贏在哪？</t>
  </si>
  <si>
    <t xml:space="preserve">12_夥伴視角_PartnerView</t>
  </si>
  <si>
    <t xml:space="preserve">這個夥伴被指名做什麼？（洽談時投影這頁）</t>
  </si>
  <si>
    <t xml:space="preserve">11_缺口招募_GapRFI</t>
  </si>
  <si>
    <t xml:space="preserve">缺什麼？先招募哪一項？</t>
  </si>
  <si>
    <t xml:space="preserve">　情報區　—　越南市場的趨勢、層級、查證來源</t>
  </si>
  <si>
    <t xml:space="preserve">18_層級地圖_Layers</t>
  </si>
  <si>
    <t xml:space="preserve">我的專長落在哪一層？那一層有哪些生意、上下層要靠誰？　概念仿網際網路分層，下層是上層的地基。</t>
  </si>
  <si>
    <t xml:space="preserve">19_商機趨勢_OppTrend</t>
  </si>
  <si>
    <t xml:space="preserve">這門生意在越南現在是什麼狀況、政策往哪走？</t>
  </si>
  <si>
    <t xml:space="preserve">20_能力趨勢_CapTrend</t>
  </si>
  <si>
    <t xml:space="preserve">這項能力在越南有沒有法規要求、有沒有人在做、我們該補什麼？</t>
  </si>
  <si>
    <t xml:space="preserve">21_情報來源_Sources</t>
  </si>
  <si>
    <r>
      <rPr>
        <sz val="9"/>
        <color rgb="FF4A525E"/>
        <rFont val="Noto Sans CJK SC"/>
        <family val="2"/>
      </rPr>
      <t xml:space="preserve">被追問「你憑什麼這樣說」的時候，證據在哪裡？　全部於 </t>
    </r>
    <r>
      <rPr>
        <sz val="9"/>
        <color rgb="FF4A525E"/>
        <rFont val="Microsoft JhengHei"/>
        <family val="0"/>
        <charset val="1"/>
      </rPr>
      <t xml:space="preserve">2026-08-18 </t>
    </r>
    <r>
      <rPr>
        <sz val="9"/>
        <color rgb="FF4A525E"/>
        <rFont val="Noto Sans CJK SC"/>
        <family val="2"/>
      </rPr>
      <t xml:space="preserve">重新實際查證（第 </t>
    </r>
    <r>
      <rPr>
        <sz val="9"/>
        <color rgb="FF4A525E"/>
        <rFont val="Microsoft JhengHei"/>
        <family val="0"/>
        <charset val="1"/>
      </rPr>
      <t xml:space="preserve">46 </t>
    </r>
    <r>
      <rPr>
        <sz val="9"/>
        <color rgb="FF4A525E"/>
        <rFont val="Noto Sans CJK SC"/>
        <family val="2"/>
      </rPr>
      <t xml:space="preserve">號以後為本次新增／更正）。</t>
    </r>
  </si>
  <si>
    <t xml:space="preserve">　維護區　—　下拉選單與代碼表，改結構才需要進來</t>
  </si>
  <si>
    <t xml:space="preserve">99_代碼表_Codebook</t>
  </si>
  <si>
    <t xml:space="preserve">這些代號、術語是什麼意思？</t>
  </si>
  <si>
    <t xml:space="preserve">改結構才動</t>
  </si>
  <si>
    <t xml:space="preserve">建議動線</t>
  </si>
  <si>
    <r>
      <rPr>
        <sz val="10"/>
        <rFont val="Noto Sans CJK SC"/>
        <family val="2"/>
      </rPr>
      <t xml:space="preserve">　・第一次打開 → </t>
    </r>
    <r>
      <rPr>
        <sz val="10"/>
        <rFont val="Microsoft JhengHei"/>
        <family val="0"/>
        <charset val="1"/>
      </rPr>
      <t xml:space="preserve">00A </t>
    </r>
    <r>
      <rPr>
        <sz val="10"/>
        <rFont val="Noto Sans CJK SC"/>
        <family val="2"/>
      </rPr>
      <t xml:space="preserve">從這裡開始（選身分，給你五步路徑）</t>
    </r>
  </si>
  <si>
    <r>
      <rPr>
        <sz val="10"/>
        <rFont val="Noto Sans CJK SC"/>
        <family val="2"/>
      </rPr>
      <t xml:space="preserve">　・要做某個決策 → </t>
    </r>
    <r>
      <rPr>
        <sz val="10"/>
        <rFont val="Microsoft JhengHei"/>
        <family val="0"/>
        <charset val="1"/>
      </rPr>
      <t xml:space="preserve">00B </t>
    </r>
    <r>
      <rPr>
        <sz val="10"/>
        <rFont val="Noto Sans CJK SC"/>
        <family val="2"/>
      </rPr>
      <t xml:space="preserve">決策導引（選決策，給你三步驟與判斷規則）</t>
    </r>
  </si>
  <si>
    <r>
      <rPr>
        <sz val="10"/>
        <rFont val="Noto Sans CJK SC"/>
        <family val="2"/>
      </rPr>
      <t xml:space="preserve">　・開會投影 → 儀表板 → </t>
    </r>
    <r>
      <rPr>
        <sz val="10"/>
        <rFont val="Microsoft JhengHei"/>
        <family val="0"/>
        <charset val="1"/>
      </rPr>
      <t xml:space="preserve">01 </t>
    </r>
    <r>
      <rPr>
        <sz val="10"/>
        <rFont val="Noto Sans CJK SC"/>
        <family val="2"/>
      </rPr>
      <t xml:space="preserve">總藍圖 → </t>
    </r>
    <r>
      <rPr>
        <sz val="10"/>
        <rFont val="Microsoft JhengHei"/>
        <family val="0"/>
        <charset val="1"/>
      </rPr>
      <t xml:space="preserve">17 </t>
    </r>
    <r>
      <rPr>
        <sz val="10"/>
        <rFont val="Noto Sans CJK SC"/>
        <family val="2"/>
      </rPr>
      <t xml:space="preserve">商機作戰卡</t>
    </r>
  </si>
  <si>
    <r>
      <rPr>
        <sz val="10"/>
        <rFont val="Noto Sans CJK SC"/>
        <family val="2"/>
      </rPr>
      <t xml:space="preserve">　・做判斷前 → </t>
    </r>
    <r>
      <rPr>
        <sz val="10"/>
        <rFont val="Microsoft JhengHei"/>
        <family val="0"/>
        <charset val="1"/>
      </rPr>
      <t xml:space="preserve">18 </t>
    </r>
    <r>
      <rPr>
        <sz val="10"/>
        <rFont val="Noto Sans CJK SC"/>
        <family val="2"/>
      </rPr>
      <t xml:space="preserve">層級地圖 看定位、</t>
    </r>
    <r>
      <rPr>
        <sz val="10"/>
        <rFont val="Microsoft JhengHei"/>
        <family val="0"/>
        <charset val="1"/>
      </rPr>
      <t xml:space="preserve">19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20 </t>
    </r>
    <r>
      <rPr>
        <sz val="10"/>
        <rFont val="Noto Sans CJK SC"/>
        <family val="2"/>
      </rPr>
      <t xml:space="preserve">趨勢 看越南現況、</t>
    </r>
    <r>
      <rPr>
        <sz val="10"/>
        <rFont val="Microsoft JhengHei"/>
        <family val="0"/>
        <charset val="1"/>
      </rPr>
      <t xml:space="preserve">21 </t>
    </r>
    <r>
      <rPr>
        <sz val="10"/>
        <rFont val="Noto Sans CJK SC"/>
        <family val="2"/>
      </rPr>
      <t xml:space="preserve">來源 看憑據</t>
    </r>
  </si>
  <si>
    <r>
      <rPr>
        <sz val="10"/>
        <rFont val="Noto Sans CJK SC"/>
        <family val="2"/>
      </rPr>
      <t xml:space="preserve">　・日常盤點 → </t>
    </r>
    <r>
      <rPr>
        <sz val="10"/>
        <rFont val="Microsoft JhengHei"/>
        <family val="0"/>
        <charset val="1"/>
      </rPr>
      <t xml:space="preserve">03 </t>
    </r>
    <r>
      <rPr>
        <sz val="10"/>
        <rFont val="Noto Sans CJK SC"/>
        <family val="2"/>
      </rPr>
      <t xml:space="preserve">能力總表（填能力）→ </t>
    </r>
    <r>
      <rPr>
        <sz val="10"/>
        <rFont val="Microsoft JhengHei"/>
        <family val="0"/>
        <charset val="1"/>
      </rPr>
      <t xml:space="preserve">16 </t>
    </r>
    <r>
      <rPr>
        <sz val="10"/>
        <rFont val="Noto Sans CJK SC"/>
        <family val="2"/>
      </rPr>
      <t xml:space="preserve">矩陣（打 ✓）→ </t>
    </r>
    <r>
      <rPr>
        <sz val="10"/>
        <rFont val="Microsoft JhengHei"/>
        <family val="0"/>
        <charset val="1"/>
      </rPr>
      <t xml:space="preserve">15 </t>
    </r>
    <r>
      <rPr>
        <sz val="10"/>
        <rFont val="Noto Sans CJK SC"/>
        <family val="2"/>
      </rPr>
      <t xml:space="preserve">商機字典（寫描述），其餘自動算</t>
    </r>
  </si>
  <si>
    <r>
      <rPr>
        <b val="true"/>
        <sz val="10"/>
        <color rgb="FF6B4E00"/>
        <rFont val="Noto Sans CJK SC"/>
        <family val="2"/>
      </rPr>
      <t xml:space="preserve">　★ </t>
    </r>
    <r>
      <rPr>
        <b val="true"/>
        <sz val="10"/>
        <color rgb="FF6B4E00"/>
        <rFont val="Microsoft JhengHei"/>
        <family val="0"/>
        <charset val="1"/>
      </rPr>
      <t xml:space="preserve">03 </t>
    </r>
    <r>
      <rPr>
        <b val="true"/>
        <sz val="10"/>
        <color rgb="FF6B4E00"/>
        <rFont val="Noto Sans CJK SC"/>
        <family val="2"/>
      </rPr>
      <t xml:space="preserve">能力總表、</t>
    </r>
    <r>
      <rPr>
        <b val="true"/>
        <sz val="10"/>
        <color rgb="FF6B4E00"/>
        <rFont val="Microsoft JhengHei"/>
        <family val="0"/>
        <charset val="1"/>
      </rPr>
      <t xml:space="preserve">16 </t>
    </r>
    <r>
      <rPr>
        <b val="true"/>
        <sz val="10"/>
        <color rgb="FF6B4E00"/>
        <rFont val="Noto Sans CJK SC"/>
        <family val="2"/>
      </rPr>
      <t xml:space="preserve">矩陣、</t>
    </r>
    <r>
      <rPr>
        <b val="true"/>
        <sz val="10"/>
        <color rgb="FF6B4E00"/>
        <rFont val="Microsoft JhengHei"/>
        <family val="0"/>
        <charset val="1"/>
      </rPr>
      <t xml:space="preserve">15 </t>
    </r>
    <r>
      <rPr>
        <b val="true"/>
        <sz val="10"/>
        <color rgb="FF6B4E00"/>
        <rFont val="Noto Sans CJK SC"/>
        <family val="2"/>
      </rPr>
      <t xml:space="preserve">商機字典 是全檔唯三需要手動輸入的地方，其他分頁都是公式自動算出來的。</t>
    </r>
  </si>
  <si>
    <r>
      <rPr>
        <b val="true"/>
        <sz val="15"/>
        <color rgb="FFFFFFFF"/>
        <rFont val="微軟正黑體"/>
        <family val="0"/>
        <charset val="1"/>
      </rPr>
      <t xml:space="preserve">VMH-EcoMap v1.0</t>
    </r>
    <r>
      <rPr>
        <b val="true"/>
        <sz val="15"/>
        <color rgb="FFFFFFFF"/>
        <rFont val="Noto Sans CJK SC"/>
        <family val="2"/>
      </rPr>
      <t xml:space="preserve">｜越南現代醫院生態導入盤點器（三軸式顧問工具）</t>
    </r>
  </si>
  <si>
    <r>
      <rPr>
        <i val="true"/>
        <sz val="9.5"/>
        <color rgb="FF404040"/>
        <rFont val="Noto Sans CJK SC"/>
        <family val="2"/>
      </rPr>
      <t xml:space="preserve">顧問</t>
    </r>
    <r>
      <rPr>
        <i val="true"/>
        <sz val="9.5"/>
        <color rgb="FF404040"/>
        <rFont val="微軟正黑體"/>
        <family val="0"/>
        <charset val="1"/>
      </rPr>
      <t xml:space="preserve">/PI</t>
    </r>
    <r>
      <rPr>
        <i val="true"/>
        <sz val="9.5"/>
        <color rgb="FF404040"/>
        <rFont val="Noto Sans CJK SC"/>
        <family val="2"/>
      </rPr>
      <t xml:space="preserve">版 </t>
    </r>
    <r>
      <rPr>
        <i val="true"/>
        <sz val="9.5"/>
        <color rgb="FF404040"/>
        <rFont val="微軟正黑體"/>
        <family val="0"/>
        <charset val="1"/>
      </rPr>
      <t xml:space="preserve">· </t>
    </r>
    <r>
      <rPr>
        <i val="true"/>
        <sz val="9.5"/>
        <color rgb="FF404040"/>
        <rFont val="Noto Sans CJK SC"/>
        <family val="2"/>
      </rPr>
      <t xml:space="preserve">中英雙語 </t>
    </r>
    <r>
      <rPr>
        <i val="true"/>
        <sz val="9.5"/>
        <color rgb="FF404040"/>
        <rFont val="微軟正黑體"/>
        <family val="0"/>
        <charset val="1"/>
      </rPr>
      <t xml:space="preserve">· 2026-08-12 · </t>
    </r>
    <r>
      <rPr>
        <i val="true"/>
        <sz val="9.5"/>
        <color rgb="FF404040"/>
        <rFont val="Noto Sans CJK SC"/>
        <family val="2"/>
      </rPr>
      <t xml:space="preserve">主導：群晶科技（聯盟召集人）＋合作夥伴。定位：大家一起去越南做醫院生意（機房、</t>
    </r>
    <r>
      <rPr>
        <i val="true"/>
        <sz val="9.5"/>
        <color rgb="FF404040"/>
        <rFont val="微軟正黑體"/>
        <family val="0"/>
        <charset val="1"/>
      </rPr>
      <t xml:space="preserve">IDC</t>
    </r>
    <r>
      <rPr>
        <i val="true"/>
        <sz val="9.5"/>
        <color rgb="FF404040"/>
        <rFont val="Noto Sans CJK SC"/>
        <family val="2"/>
      </rPr>
      <t xml:space="preserve">、</t>
    </r>
    <r>
      <rPr>
        <i val="true"/>
        <sz val="9.5"/>
        <color rgb="FF404040"/>
        <rFont val="微軟正黑體"/>
        <family val="0"/>
        <charset val="1"/>
      </rPr>
      <t xml:space="preserve">AIOT</t>
    </r>
    <r>
      <rPr>
        <i val="true"/>
        <sz val="9.5"/>
        <color rgb="FF404040"/>
        <rFont val="Noto Sans CJK SC"/>
        <family val="2"/>
      </rPr>
      <t xml:space="preserve">、醫材、醫療資訊軟體、工程、物流、顧問…）的整體藍圖與盤點工具。</t>
    </r>
  </si>
  <si>
    <r>
      <rPr>
        <b val="true"/>
        <sz val="11"/>
        <color rgb="FF833C00"/>
        <rFont val="Noto Sans CJK SC"/>
        <family val="2"/>
      </rPr>
      <t xml:space="preserve">★ 第一次打開？不用讀這一頁。請先到 </t>
    </r>
    <r>
      <rPr>
        <b val="true"/>
        <sz val="11"/>
        <color rgb="FF833C00"/>
        <rFont val="微軟正黑體"/>
        <family val="0"/>
        <charset val="1"/>
      </rPr>
      <t xml:space="preserve">00A </t>
    </r>
    <r>
      <rPr>
        <b val="true"/>
        <sz val="11"/>
        <color rgb="FF833C00"/>
        <rFont val="Noto Sans CJK SC"/>
        <family val="2"/>
      </rPr>
      <t xml:space="preserve">從這裡開始（綠色標籤），選一個身分，它會告訴你該做什麼。要做決策請到 </t>
    </r>
    <r>
      <rPr>
        <b val="true"/>
        <sz val="11"/>
        <color rgb="FF833C00"/>
        <rFont val="微軟正黑體"/>
        <family val="0"/>
        <charset val="1"/>
      </rPr>
      <t xml:space="preserve">00B </t>
    </r>
    <r>
      <rPr>
        <b val="true"/>
        <sz val="11"/>
        <color rgb="FF833C00"/>
        <rFont val="Noto Sans CJK SC"/>
        <family val="2"/>
      </rPr>
      <t xml:space="preserve">決策導引。</t>
    </r>
  </si>
  <si>
    <t xml:space="preserve">一、三軸如何組成一張藍圖（本工具的核心邏輯）</t>
  </si>
  <si>
    <r>
      <rPr>
        <b val="true"/>
        <sz val="9.5"/>
        <color rgb="FFFFFFFF"/>
        <rFont val="微軟正黑體"/>
        <family val="0"/>
        <charset val="1"/>
      </rPr>
      <t xml:space="preserve">C </t>
    </r>
    <r>
      <rPr>
        <b val="true"/>
        <sz val="9.5"/>
        <color rgb="FFFFFFFF"/>
        <rFont val="Noto Sans CJK SC"/>
        <family val="2"/>
      </rPr>
      <t xml:space="preserve">軸（</t>
    </r>
    <r>
      <rPr>
        <b val="true"/>
        <sz val="9.5"/>
        <color rgb="FFFFFFFF"/>
        <rFont val="微軟正黑體"/>
        <family val="0"/>
        <charset val="1"/>
      </rPr>
      <t xml:space="preserve">Y</t>
    </r>
    <r>
      <rPr>
        <b val="true"/>
        <sz val="9.5"/>
        <color rgb="FFFFFFFF"/>
        <rFont val="Noto Sans CJK SC"/>
        <family val="2"/>
      </rPr>
      <t xml:space="preserve">軸</t>
    </r>
    <r>
      <rPr>
        <b val="true"/>
        <sz val="9.5"/>
        <color rgb="FFFFFFFF"/>
        <rFont val="微軟正黑體"/>
        <family val="0"/>
        <charset val="1"/>
      </rPr>
      <t xml:space="preserve">/</t>
    </r>
    <r>
      <rPr>
        <b val="true"/>
        <sz val="9.5"/>
        <color rgb="FFFFFFFF"/>
        <rFont val="Noto Sans CJK SC"/>
        <family val="2"/>
      </rPr>
      <t xml:space="preserve">列）</t>
    </r>
  </si>
  <si>
    <r>
      <rPr>
        <b val="true"/>
        <sz val="9.5"/>
        <color rgb="FF1F3864"/>
        <rFont val="Noto Sans CJK SC"/>
        <family val="2"/>
      </rPr>
      <t xml:space="preserve">醫院生態</t>
    </r>
    <r>
      <rPr>
        <b val="true"/>
        <sz val="9.5"/>
        <color rgb="FF1F3864"/>
        <rFont val="微軟正黑體"/>
        <family val="0"/>
        <charset val="1"/>
      </rPr>
      <t xml:space="preserve">10</t>
    </r>
    <r>
      <rPr>
        <b val="true"/>
        <sz val="9.5"/>
        <color rgb="FF1F3864"/>
        <rFont val="Noto Sans CJK SC"/>
        <family val="2"/>
      </rPr>
      <t xml:space="preserve">大能力模組 </t>
    </r>
    <r>
      <rPr>
        <b val="true"/>
        <sz val="9.5"/>
        <color rgb="FF1F3864"/>
        <rFont val="微軟正黑體"/>
        <family val="0"/>
        <charset val="1"/>
      </rPr>
      <t xml:space="preserve">D01-D10</t>
    </r>
  </si>
  <si>
    <t xml:space="preserve">回答：能做什麼、缺什麼、誰能做</t>
  </si>
  <si>
    <r>
      <rPr>
        <b val="true"/>
        <sz val="9.5"/>
        <color rgb="FFFFFFFF"/>
        <rFont val="微軟正黑體"/>
        <family val="0"/>
        <charset val="1"/>
      </rPr>
      <t xml:space="preserve">A </t>
    </r>
    <r>
      <rPr>
        <b val="true"/>
        <sz val="9.5"/>
        <color rgb="FFFFFFFF"/>
        <rFont val="Noto Sans CJK SC"/>
        <family val="2"/>
      </rPr>
      <t xml:space="preserve">軸（</t>
    </r>
    <r>
      <rPr>
        <b val="true"/>
        <sz val="9.5"/>
        <color rgb="FFFFFFFF"/>
        <rFont val="微軟正黑體"/>
        <family val="0"/>
        <charset val="1"/>
      </rPr>
      <t xml:space="preserve">X</t>
    </r>
    <r>
      <rPr>
        <b val="true"/>
        <sz val="9.5"/>
        <color rgb="FFFFFFFF"/>
        <rFont val="Noto Sans CJK SC"/>
        <family val="2"/>
      </rPr>
      <t xml:space="preserve">軸</t>
    </r>
    <r>
      <rPr>
        <b val="true"/>
        <sz val="9.5"/>
        <color rgb="FFFFFFFF"/>
        <rFont val="微軟正黑體"/>
        <family val="0"/>
        <charset val="1"/>
      </rPr>
      <t xml:space="preserve">/</t>
    </r>
    <r>
      <rPr>
        <b val="true"/>
        <sz val="9.5"/>
        <color rgb="FFFFFFFF"/>
        <rFont val="Noto Sans CJK SC"/>
        <family val="2"/>
      </rPr>
      <t xml:space="preserve">欄）</t>
    </r>
  </si>
  <si>
    <r>
      <rPr>
        <b val="true"/>
        <sz val="9.5"/>
        <color rgb="FF1F3864"/>
        <rFont val="Noto Sans CJK SC"/>
        <family val="2"/>
      </rPr>
      <t xml:space="preserve">階段</t>
    </r>
    <r>
      <rPr>
        <b val="true"/>
        <sz val="9.5"/>
        <color rgb="FF1F3864"/>
        <rFont val="微軟正黑體"/>
        <family val="0"/>
        <charset val="1"/>
      </rPr>
      <t xml:space="preserve">/</t>
    </r>
    <r>
      <rPr>
        <b val="true"/>
        <sz val="9.5"/>
        <color rgb="FF1F3864"/>
        <rFont val="Noto Sans CJK SC"/>
        <family val="2"/>
      </rPr>
      <t xml:space="preserve">依賴路徑 </t>
    </r>
    <r>
      <rPr>
        <b val="true"/>
        <sz val="9.5"/>
        <color rgb="FF1F3864"/>
        <rFont val="微軟正黑體"/>
        <family val="0"/>
        <charset val="1"/>
      </rPr>
      <t xml:space="preserve">G0-G6</t>
    </r>
    <r>
      <rPr>
        <b val="true"/>
        <sz val="9.5"/>
        <color rgb="FF1F3864"/>
        <rFont val="Noto Sans CJK SC"/>
        <family val="2"/>
      </rPr>
      <t xml:space="preserve">（</t>
    </r>
    <r>
      <rPr>
        <b val="true"/>
        <sz val="9.5"/>
        <color rgb="FF1F3864"/>
        <rFont val="微軟正黑體"/>
        <family val="0"/>
        <charset val="1"/>
      </rPr>
      <t xml:space="preserve">Stage-Gate</t>
    </r>
    <r>
      <rPr>
        <b val="true"/>
        <sz val="9.5"/>
        <color rgb="FF1F3864"/>
        <rFont val="Noto Sans CJK SC"/>
        <family val="2"/>
      </rPr>
      <t xml:space="preserve">）</t>
    </r>
  </si>
  <si>
    <t xml:space="preserve">回答：先後順序、何時做</t>
  </si>
  <si>
    <r>
      <rPr>
        <b val="true"/>
        <sz val="9.5"/>
        <color rgb="FFFFFFFF"/>
        <rFont val="微軟正黑體"/>
        <family val="0"/>
        <charset val="1"/>
      </rPr>
      <t xml:space="preserve">B </t>
    </r>
    <r>
      <rPr>
        <b val="true"/>
        <sz val="9.5"/>
        <color rgb="FFFFFFFF"/>
        <rFont val="Noto Sans CJK SC"/>
        <family val="2"/>
      </rPr>
      <t xml:space="preserve">軸（門檻列）</t>
    </r>
  </si>
  <si>
    <t xml:space="preserve">越南法規＋國際標準（每階段合格線）</t>
  </si>
  <si>
    <t xml:space="preserve">回答：做到什麼程度才算合格</t>
  </si>
  <si>
    <r>
      <rPr>
        <b val="true"/>
        <sz val="9.5"/>
        <color rgb="FFBF8F00"/>
        <rFont val="Noto Sans CJK SC"/>
        <family val="2"/>
      </rPr>
      <t xml:space="preserve">三軸交會在「</t>
    </r>
    <r>
      <rPr>
        <b val="true"/>
        <sz val="9.5"/>
        <color rgb="FFBF8F00"/>
        <rFont val="微軟正黑體"/>
        <family val="0"/>
        <charset val="1"/>
      </rPr>
      <t xml:space="preserve">01 </t>
    </r>
    <r>
      <rPr>
        <b val="true"/>
        <sz val="9.5"/>
        <color rgb="FFBF8F00"/>
        <rFont val="Noto Sans CJK SC"/>
        <family val="2"/>
      </rPr>
      <t xml:space="preserve">總藍圖」：每個儲存格＝某能力模組</t>
    </r>
    <r>
      <rPr>
        <b val="true"/>
        <sz val="9.5"/>
        <color rgb="FFBF8F00"/>
        <rFont val="微軟正黑體"/>
        <family val="0"/>
        <charset val="1"/>
      </rPr>
      <t xml:space="preserve">×</t>
    </r>
    <r>
      <rPr>
        <b val="true"/>
        <sz val="9.5"/>
        <color rgb="FFBF8F00"/>
        <rFont val="Noto Sans CJK SC"/>
        <family val="2"/>
      </rPr>
      <t xml:space="preserve">某階段的具體商機項目（含拼圖狀態●◆◐○），紅色缺口＝要尋找的產品</t>
    </r>
    <r>
      <rPr>
        <b val="true"/>
        <sz val="9.5"/>
        <color rgb="FFBF8F00"/>
        <rFont val="微軟正黑體"/>
        <family val="0"/>
        <charset val="1"/>
      </rPr>
      <t xml:space="preserve">/</t>
    </r>
    <r>
      <rPr>
        <b val="true"/>
        <sz val="9.5"/>
        <color rgb="FFBF8F00"/>
        <rFont val="Noto Sans CJK SC"/>
        <family val="2"/>
      </rPr>
      <t xml:space="preserve">資源</t>
    </r>
    <r>
      <rPr>
        <b val="true"/>
        <sz val="9.5"/>
        <color rgb="FFBF8F00"/>
        <rFont val="微軟正黑體"/>
        <family val="0"/>
        <charset val="1"/>
      </rPr>
      <t xml:space="preserve">/</t>
    </r>
    <r>
      <rPr>
        <b val="true"/>
        <sz val="9.5"/>
        <color rgb="FFBF8F00"/>
        <rFont val="Noto Sans CJK SC"/>
        <family val="2"/>
      </rPr>
      <t xml:space="preserve">技術</t>
    </r>
    <r>
      <rPr>
        <b val="true"/>
        <sz val="9.5"/>
        <color rgb="FFBF8F00"/>
        <rFont val="微軟正黑體"/>
        <family val="0"/>
        <charset val="1"/>
      </rPr>
      <t xml:space="preserve">/</t>
    </r>
    <r>
      <rPr>
        <b val="true"/>
        <sz val="9.5"/>
        <color rgb="FFBF8F00"/>
        <rFont val="Noto Sans CJK SC"/>
        <family val="2"/>
      </rPr>
      <t xml:space="preserve">夥伴。</t>
    </r>
  </si>
  <si>
    <t xml:space="preserve">二、工具元件關聯圖（誰餵誰、往哪看）</t>
  </si>
  <si>
    <r>
      <rPr>
        <b val="true"/>
        <sz val="9.5"/>
        <color rgb="FFFFFFFF"/>
        <rFont val="微軟正黑體"/>
        <family val="0"/>
        <charset val="1"/>
      </rPr>
      <t xml:space="preserve">02 </t>
    </r>
    <r>
      <rPr>
        <b val="true"/>
        <sz val="9.5"/>
        <color rgb="FFFFFFFF"/>
        <rFont val="Noto Sans CJK SC"/>
        <family val="2"/>
      </rPr>
      <t xml:space="preserve">情境權重
（專案輪廓</t>
    </r>
    <r>
      <rPr>
        <b val="true"/>
        <sz val="9.5"/>
        <color rgb="FFFFFFFF"/>
        <rFont val="微軟正黑體"/>
        <family val="0"/>
        <charset val="1"/>
      </rPr>
      <t xml:space="preserve">·</t>
    </r>
    <r>
      <rPr>
        <b val="true"/>
        <sz val="9.5"/>
        <color rgb="FFFFFFFF"/>
        <rFont val="Noto Sans CJK SC"/>
        <family val="2"/>
      </rPr>
      <t xml:space="preserve">評分權重</t>
    </r>
    <r>
      <rPr>
        <b val="true"/>
        <sz val="9.5"/>
        <color rgb="FFFFFFFF"/>
        <rFont val="微軟正黑體"/>
        <family val="0"/>
        <charset val="1"/>
      </rPr>
      <t xml:space="preserve">·</t>
    </r>
    <r>
      <rPr>
        <b val="true"/>
        <sz val="9.5"/>
        <color rgb="FFFFFFFF"/>
        <rFont val="Noto Sans CJK SC"/>
        <family val="2"/>
      </rPr>
      <t xml:space="preserve">基線）</t>
    </r>
  </si>
  <si>
    <r>
      <rPr>
        <b val="true"/>
        <sz val="9.5"/>
        <color rgb="FFFFFFFF"/>
        <rFont val="微軟正黑體"/>
        <family val="0"/>
        <charset val="1"/>
      </rPr>
      <t xml:space="preserve">04 </t>
    </r>
    <r>
      <rPr>
        <b val="true"/>
        <sz val="9.5"/>
        <color rgb="FFFFFFFF"/>
        <rFont val="Noto Sans CJK SC"/>
        <family val="2"/>
      </rPr>
      <t xml:space="preserve">夥伴拼圖
（誰能做：名冊＋覆蓋矩陣）</t>
    </r>
  </si>
  <si>
    <r>
      <rPr>
        <b val="true"/>
        <sz val="9.5"/>
        <color rgb="FFFFFFFF"/>
        <rFont val="微軟正黑體"/>
        <family val="0"/>
        <charset val="1"/>
      </rPr>
      <t xml:space="preserve">05 </t>
    </r>
    <r>
      <rPr>
        <b val="true"/>
        <sz val="9.5"/>
        <color rgb="FFFFFFFF"/>
        <rFont val="Noto Sans CJK SC"/>
        <family val="2"/>
      </rPr>
      <t xml:space="preserve">法規門檻
（</t>
    </r>
    <r>
      <rPr>
        <b val="true"/>
        <sz val="9.5"/>
        <color rgb="FFFFFFFF"/>
        <rFont val="微軟正黑體"/>
        <family val="0"/>
        <charset val="1"/>
      </rPr>
      <t xml:space="preserve">B</t>
    </r>
    <r>
      <rPr>
        <b val="true"/>
        <sz val="9.5"/>
        <color rgb="FFFFFFFF"/>
        <rFont val="Noto Sans CJK SC"/>
        <family val="2"/>
      </rPr>
      <t xml:space="preserve">軸：每階段合格線）</t>
    </r>
  </si>
  <si>
    <r>
      <rPr>
        <b val="true"/>
        <sz val="9.5"/>
        <color rgb="FFFFFFFF"/>
        <rFont val="微軟正黑體"/>
        <family val="0"/>
        <charset val="1"/>
      </rPr>
      <t xml:space="preserve">99 </t>
    </r>
    <r>
      <rPr>
        <b val="true"/>
        <sz val="9.5"/>
        <color rgb="FFFFFFFF"/>
        <rFont val="Noto Sans CJK SC"/>
        <family val="2"/>
      </rPr>
      <t xml:space="preserve">代碼表
（字典與定義）</t>
    </r>
  </si>
  <si>
    <t xml:space="preserve">▼</t>
  </si>
  <si>
    <r>
      <rPr>
        <b val="true"/>
        <sz val="10.5"/>
        <color rgb="FFFFFFFF"/>
        <rFont val="微軟正黑體"/>
        <family val="0"/>
        <charset val="1"/>
      </rPr>
      <t xml:space="preserve">03 </t>
    </r>
    <r>
      <rPr>
        <b val="true"/>
        <sz val="10.5"/>
        <color rgb="FFFFFFFF"/>
        <rFont val="Noto Sans CJK SC"/>
        <family val="2"/>
      </rPr>
      <t xml:space="preserve">能力總表（單一資料源｜</t>
    </r>
    <r>
      <rPr>
        <b val="true"/>
        <sz val="10.5"/>
        <color rgb="FFFFFFFF"/>
        <rFont val="微軟正黑體"/>
        <family val="0"/>
        <charset val="1"/>
      </rPr>
      <t xml:space="preserve">C</t>
    </r>
    <r>
      <rPr>
        <b val="true"/>
        <sz val="10.5"/>
        <color rgb="FFFFFFFF"/>
        <rFont val="Noto Sans CJK SC"/>
        <family val="2"/>
      </rPr>
      <t xml:space="preserve">軸</t>
    </r>
    <r>
      <rPr>
        <b val="true"/>
        <sz val="10.5"/>
        <color rgb="FFFFFFFF"/>
        <rFont val="微軟正黑體"/>
        <family val="0"/>
        <charset val="1"/>
      </rPr>
      <t xml:space="preserve">60</t>
    </r>
    <r>
      <rPr>
        <b val="true"/>
        <sz val="10.5"/>
        <color rgb="FFFFFFFF"/>
        <rFont val="Noto Sans CJK SC"/>
        <family val="2"/>
      </rPr>
      <t xml:space="preserve">項能力：能做什麼</t>
    </r>
    <r>
      <rPr>
        <b val="true"/>
        <sz val="10.5"/>
        <color rgb="FFFFFFFF"/>
        <rFont val="微軟正黑體"/>
        <family val="0"/>
        <charset val="1"/>
      </rPr>
      <t xml:space="preserve">/</t>
    </r>
    <r>
      <rPr>
        <b val="true"/>
        <sz val="10.5"/>
        <color rgb="FFFFFFFF"/>
        <rFont val="Noto Sans CJK SC"/>
        <family val="2"/>
      </rPr>
      <t xml:space="preserve">缺什麼</t>
    </r>
    <r>
      <rPr>
        <b val="true"/>
        <sz val="10.5"/>
        <color rgb="FFFFFFFF"/>
        <rFont val="微軟正黑體"/>
        <family val="0"/>
        <charset val="1"/>
      </rPr>
      <t xml:space="preserve">/</t>
    </r>
    <r>
      <rPr>
        <b val="true"/>
        <sz val="10.5"/>
        <color rgb="FFFFFFFF"/>
        <rFont val="Noto Sans CJK SC"/>
        <family val="2"/>
      </rPr>
      <t xml:space="preserve">誰能做</t>
    </r>
    <r>
      <rPr>
        <b val="true"/>
        <sz val="10.5"/>
        <color rgb="FFFFFFFF"/>
        <rFont val="微軟正黑體"/>
        <family val="0"/>
        <charset val="1"/>
      </rPr>
      <t xml:space="preserve">/</t>
    </r>
    <r>
      <rPr>
        <b val="true"/>
        <sz val="10.5"/>
        <color rgb="FFFFFFFF"/>
        <rFont val="Noto Sans CJK SC"/>
        <family val="2"/>
      </rPr>
      <t xml:space="preserve">值多少</t>
    </r>
    <r>
      <rPr>
        <b val="true"/>
        <sz val="10.5"/>
        <color rgb="FFFFFFFF"/>
        <rFont val="微軟正黑體"/>
        <family val="0"/>
        <charset val="1"/>
      </rPr>
      <t xml:space="preserve">/</t>
    </r>
    <r>
      <rPr>
        <b val="true"/>
        <sz val="10.5"/>
        <color rgb="FFFFFFFF"/>
        <rFont val="Noto Sans CJK SC"/>
        <family val="2"/>
      </rPr>
      <t xml:space="preserve">多成熟）
★ 所有盤點更新都只改這裡，其他分頁自動連動</t>
    </r>
  </si>
  <si>
    <r>
      <rPr>
        <b val="true"/>
        <sz val="10"/>
        <color rgb="FFFFFFFF"/>
        <rFont val="微軟正黑體"/>
        <family val="0"/>
        <charset val="1"/>
      </rPr>
      <t xml:space="preserve">01 </t>
    </r>
    <r>
      <rPr>
        <b val="true"/>
        <sz val="10"/>
        <color rgb="FFFFFFFF"/>
        <rFont val="Noto Sans CJK SC"/>
        <family val="2"/>
      </rPr>
      <t xml:space="preserve">總藍圖★（決策視圖）
</t>
    </r>
    <r>
      <rPr>
        <b val="true"/>
        <sz val="10"/>
        <color rgb="FFFFFFFF"/>
        <rFont val="微軟正黑體"/>
        <family val="0"/>
        <charset val="1"/>
      </rPr>
      <t xml:space="preserve">X=</t>
    </r>
    <r>
      <rPr>
        <b val="true"/>
        <sz val="10"/>
        <color rgb="FFFFFFFF"/>
        <rFont val="Noto Sans CJK SC"/>
        <family val="2"/>
      </rPr>
      <t xml:space="preserve">階段 </t>
    </r>
    <r>
      <rPr>
        <b val="true"/>
        <sz val="10"/>
        <color rgb="FFFFFFFF"/>
        <rFont val="微軟正黑體"/>
        <family val="0"/>
        <charset val="1"/>
      </rPr>
      <t xml:space="preserve">× Y=</t>
    </r>
    <r>
      <rPr>
        <b val="true"/>
        <sz val="10"/>
        <color rgb="FFFFFFFF"/>
        <rFont val="Noto Sans CJK SC"/>
        <family val="2"/>
      </rPr>
      <t xml:space="preserve">能力 ＋ 法規門檻列
＝商業判斷與缺口地圖</t>
    </r>
  </si>
  <si>
    <r>
      <rPr>
        <b val="true"/>
        <sz val="10"/>
        <color rgb="FFFFFFFF"/>
        <rFont val="微軟正黑體"/>
        <family val="0"/>
        <charset val="1"/>
      </rPr>
      <t xml:space="preserve">06 </t>
    </r>
    <r>
      <rPr>
        <b val="true"/>
        <sz val="10"/>
        <color rgb="FFFFFFFF"/>
        <rFont val="Noto Sans CJK SC"/>
        <family val="2"/>
      </rPr>
      <t xml:space="preserve">行動路線（執行視圖）
</t>
    </r>
    <r>
      <rPr>
        <b val="true"/>
        <sz val="10"/>
        <color rgb="FFFFFFFF"/>
        <rFont val="微軟正黑體"/>
        <family val="0"/>
        <charset val="1"/>
      </rPr>
      <t xml:space="preserve">20</t>
    </r>
    <r>
      <rPr>
        <b val="true"/>
        <sz val="10"/>
        <color rgb="FFFFFFFF"/>
        <rFont val="Noto Sans CJK SC"/>
        <family val="2"/>
      </rPr>
      <t xml:space="preserve">個工作包＋</t>
    </r>
    <r>
      <rPr>
        <b val="true"/>
        <sz val="10"/>
        <color rgb="FFFFFFFF"/>
        <rFont val="微軟正黑體"/>
        <family val="0"/>
        <charset val="1"/>
      </rPr>
      <t xml:space="preserve">60</t>
    </r>
    <r>
      <rPr>
        <b val="true"/>
        <sz val="10"/>
        <color rgb="FFFFFFFF"/>
        <rFont val="Noto Sans CJK SC"/>
        <family val="2"/>
      </rPr>
      <t xml:space="preserve">個月甘特圖
＝何時做、誰主責、怎麼驗收</t>
    </r>
  </si>
  <si>
    <r>
      <rPr>
        <b val="true"/>
        <sz val="9.5"/>
        <color rgb="FFFFFFFF"/>
        <rFont val="微軟正黑體"/>
        <family val="0"/>
        <charset val="1"/>
      </rPr>
      <t xml:space="preserve">07 </t>
    </r>
    <r>
      <rPr>
        <b val="true"/>
        <sz val="9.5"/>
        <color rgb="FFFFFFFF"/>
        <rFont val="Noto Sans CJK SC"/>
        <family val="2"/>
      </rPr>
      <t xml:space="preserve">整案量級（多少錢）</t>
    </r>
  </si>
  <si>
    <r>
      <rPr>
        <b val="true"/>
        <sz val="9.5"/>
        <color rgb="FFFFFFFF"/>
        <rFont val="微軟正黑體"/>
        <family val="0"/>
        <charset val="1"/>
      </rPr>
      <t xml:space="preserve">08 </t>
    </r>
    <r>
      <rPr>
        <b val="true"/>
        <sz val="9.5"/>
        <color rgb="FFFFFFFF"/>
        <rFont val="Noto Sans CJK SC"/>
        <family val="2"/>
      </rPr>
      <t xml:space="preserve">風險清冊（什麼風險）</t>
    </r>
  </si>
  <si>
    <r>
      <rPr>
        <b val="true"/>
        <sz val="9.5"/>
        <color rgb="FFFFFFFF"/>
        <rFont val="微軟正黑體"/>
        <family val="0"/>
        <charset val="1"/>
      </rPr>
      <t xml:space="preserve">09 KPI</t>
    </r>
    <r>
      <rPr>
        <b val="true"/>
        <sz val="9.5"/>
        <color rgb="FFFFFFFF"/>
        <rFont val="Noto Sans CJK SC"/>
        <family val="2"/>
      </rPr>
      <t xml:space="preserve">計分卡（怎麼驗收）</t>
    </r>
  </si>
  <si>
    <r>
      <rPr>
        <b val="true"/>
        <sz val="9.5"/>
        <color rgb="FFFFFFFF"/>
        <rFont val="微軟正黑體"/>
        <family val="0"/>
        <charset val="1"/>
      </rPr>
      <t xml:space="preserve">10 </t>
    </r>
    <r>
      <rPr>
        <b val="true"/>
        <sz val="9.5"/>
        <color rgb="FFFFFFFF"/>
        <rFont val="Noto Sans CJK SC"/>
        <family val="2"/>
      </rPr>
      <t xml:space="preserve">決策紀錄（可稽核）</t>
    </r>
  </si>
  <si>
    <t xml:space="preserve">三、五層醫院架構＝夥伴找自己位置</t>
  </si>
  <si>
    <t xml:space="preserve">層</t>
  </si>
  <si>
    <t xml:space="preserve">內容</t>
  </si>
  <si>
    <t xml:space="preserve">對應領域</t>
  </si>
  <si>
    <t xml:space="preserve">主要玩家</t>
  </si>
  <si>
    <r>
      <rPr>
        <b val="true"/>
        <sz val="9"/>
        <color rgb="FF1F3864"/>
        <rFont val="微軟正黑體"/>
        <family val="0"/>
        <charset val="1"/>
      </rPr>
      <t xml:space="preserve">L1 </t>
    </r>
    <r>
      <rPr>
        <b val="true"/>
        <sz val="9"/>
        <color rgb="FF1F3864"/>
        <rFont val="Noto Sans CJK SC"/>
        <family val="2"/>
      </rPr>
      <t xml:space="preserve">治理與成果</t>
    </r>
  </si>
  <si>
    <r>
      <rPr>
        <sz val="9"/>
        <color rgb="FF000000"/>
        <rFont val="Noto Sans CJK SC"/>
        <family val="2"/>
      </rPr>
      <t xml:space="preserve">政府授權</t>
    </r>
    <r>
      <rPr>
        <sz val="9"/>
        <color rgb="FF000000"/>
        <rFont val="微軟正黑體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公共價值</t>
    </r>
    <r>
      <rPr>
        <sz val="9"/>
        <color rgb="FF000000"/>
        <rFont val="微軟正黑體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臨床成果</t>
    </r>
    <r>
      <rPr>
        <sz val="9"/>
        <color rgb="FF000000"/>
        <rFont val="微軟正黑體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認證</t>
    </r>
  </si>
  <si>
    <t xml:space="preserve">D01 D07 D10</t>
  </si>
  <si>
    <r>
      <rPr>
        <b val="true"/>
        <sz val="9"/>
        <color rgb="FF000000"/>
        <rFont val="Noto Sans CJK SC"/>
        <family val="2"/>
      </rPr>
      <t xml:space="preserve">政府</t>
    </r>
    <r>
      <rPr>
        <b val="true"/>
        <sz val="9"/>
        <color rgb="FF000000"/>
        <rFont val="微軟正黑體"/>
        <family val="0"/>
        <charset val="1"/>
      </rPr>
      <t xml:space="preserve">·PI·</t>
    </r>
    <r>
      <rPr>
        <b val="true"/>
        <sz val="9"/>
        <color rgb="FF000000"/>
        <rFont val="Noto Sans CJK SC"/>
        <family val="2"/>
      </rPr>
      <t xml:space="preserve">營運方</t>
    </r>
  </si>
  <si>
    <r>
      <rPr>
        <b val="true"/>
        <sz val="9"/>
        <color rgb="FF1F3864"/>
        <rFont val="微軟正黑體"/>
        <family val="0"/>
        <charset val="1"/>
      </rPr>
      <t xml:space="preserve">L2 </t>
    </r>
    <r>
      <rPr>
        <b val="true"/>
        <sz val="9"/>
        <color rgb="FF1F3864"/>
        <rFont val="Noto Sans CJK SC"/>
        <family val="2"/>
      </rPr>
      <t xml:space="preserve">臨床與營運</t>
    </r>
  </si>
  <si>
    <r>
      <rPr>
        <sz val="9"/>
        <color rgb="FF000000"/>
        <rFont val="Noto Sans CJK SC"/>
        <family val="2"/>
      </rPr>
      <t xml:space="preserve">病人旅程</t>
    </r>
    <r>
      <rPr>
        <sz val="9"/>
        <color rgb="FF000000"/>
        <rFont val="微軟正黑體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轉診</t>
    </r>
    <r>
      <rPr>
        <sz val="9"/>
        <color rgb="FF000000"/>
        <rFont val="微軟正黑體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急住診</t>
    </r>
    <r>
      <rPr>
        <sz val="9"/>
        <color rgb="FF000000"/>
        <rFont val="微軟正黑體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手術</t>
    </r>
    <r>
      <rPr>
        <sz val="9"/>
        <color rgb="FF000000"/>
        <rFont val="微軟正黑體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護理</t>
    </r>
  </si>
  <si>
    <t xml:space="preserve">D02 D07 D08 D09</t>
  </si>
  <si>
    <r>
      <rPr>
        <b val="true"/>
        <sz val="9"/>
        <color rgb="FF000000"/>
        <rFont val="Noto Sans CJK SC"/>
        <family val="2"/>
      </rPr>
      <t xml:space="preserve">臨床營運方</t>
    </r>
    <r>
      <rPr>
        <b val="true"/>
        <sz val="9"/>
        <color rgb="FF000000"/>
        <rFont val="微軟正黑體"/>
        <family val="0"/>
        <charset val="1"/>
      </rPr>
      <t xml:space="preserve">·</t>
    </r>
    <r>
      <rPr>
        <b val="true"/>
        <sz val="9"/>
        <color rgb="FF000000"/>
        <rFont val="Noto Sans CJK SC"/>
        <family val="2"/>
      </rPr>
      <t xml:space="preserve">參考醫院</t>
    </r>
  </si>
  <si>
    <r>
      <rPr>
        <b val="true"/>
        <sz val="9"/>
        <color rgb="FF1F3864"/>
        <rFont val="微軟正黑體"/>
        <family val="0"/>
        <charset val="1"/>
      </rPr>
      <t xml:space="preserve">L3 </t>
    </r>
    <r>
      <rPr>
        <b val="true"/>
        <sz val="9"/>
        <color rgb="FF1F3864"/>
        <rFont val="Noto Sans CJK SC"/>
        <family val="2"/>
      </rPr>
      <t xml:space="preserve">應用與醫材</t>
    </r>
  </si>
  <si>
    <r>
      <rPr>
        <sz val="9"/>
        <color rgb="FF000000"/>
        <rFont val="微軟正黑體"/>
        <family val="0"/>
        <charset val="1"/>
      </rPr>
      <t xml:space="preserve">HIS/EMR·CPOE·LIS·PACS·ERP·CMMS·</t>
    </r>
    <r>
      <rPr>
        <sz val="9"/>
        <color rgb="FF000000"/>
        <rFont val="Noto Sans CJK SC"/>
        <family val="2"/>
      </rPr>
      <t xml:space="preserve">醫材</t>
    </r>
  </si>
  <si>
    <t xml:space="preserve">D05 D06</t>
  </si>
  <si>
    <r>
      <rPr>
        <b val="true"/>
        <sz val="9"/>
        <color rgb="FF000000"/>
        <rFont val="Noto Sans CJK SC"/>
        <family val="2"/>
      </rPr>
      <t xml:space="preserve">醫資軟體商</t>
    </r>
    <r>
      <rPr>
        <b val="true"/>
        <sz val="9"/>
        <color rgb="FF000000"/>
        <rFont val="微軟正黑體"/>
        <family val="0"/>
        <charset val="1"/>
      </rPr>
      <t xml:space="preserve">·</t>
    </r>
    <r>
      <rPr>
        <b val="true"/>
        <sz val="9"/>
        <color rgb="FF000000"/>
        <rFont val="Noto Sans CJK SC"/>
        <family val="2"/>
      </rPr>
      <t xml:space="preserve">醫材整合商</t>
    </r>
  </si>
  <si>
    <r>
      <rPr>
        <b val="true"/>
        <sz val="9"/>
        <color rgb="FF1F3864"/>
        <rFont val="微軟正黑體"/>
        <family val="0"/>
        <charset val="1"/>
      </rPr>
      <t xml:space="preserve">L4 </t>
    </r>
    <r>
      <rPr>
        <b val="true"/>
        <sz val="9"/>
        <color rgb="FF1F3864"/>
        <rFont val="Noto Sans CJK SC"/>
        <family val="2"/>
      </rPr>
      <t xml:space="preserve">整合與資料</t>
    </r>
  </si>
  <si>
    <r>
      <rPr>
        <sz val="9"/>
        <color rgb="FF000000"/>
        <rFont val="微軟正黑體"/>
        <family val="0"/>
        <charset val="1"/>
      </rPr>
      <t xml:space="preserve">FHIR/API·HL7·DICOM·MPI·</t>
    </r>
    <r>
      <rPr>
        <sz val="9"/>
        <color rgb="FF000000"/>
        <rFont val="Noto Sans CJK SC"/>
        <family val="2"/>
      </rPr>
      <t xml:space="preserve">術語</t>
    </r>
    <r>
      <rPr>
        <sz val="9"/>
        <color rgb="FF000000"/>
        <rFont val="微軟正黑體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資料平台</t>
    </r>
  </si>
  <si>
    <t xml:space="preserve">醫療資訊整合商</t>
  </si>
  <si>
    <r>
      <rPr>
        <b val="true"/>
        <sz val="9"/>
        <color rgb="FF1F3864"/>
        <rFont val="微軟正黑體"/>
        <family val="0"/>
        <charset val="1"/>
      </rPr>
      <t xml:space="preserve">L5 </t>
    </r>
    <r>
      <rPr>
        <b val="true"/>
        <sz val="9"/>
        <color rgb="FF1F3864"/>
        <rFont val="Noto Sans CJK SC"/>
        <family val="2"/>
      </rPr>
      <t xml:space="preserve">數位實體底座</t>
    </r>
  </si>
  <si>
    <r>
      <rPr>
        <sz val="9"/>
        <color rgb="FF000000"/>
        <rFont val="微軟正黑體"/>
        <family val="0"/>
        <charset val="1"/>
      </rPr>
      <t xml:space="preserve">IDC/</t>
    </r>
    <r>
      <rPr>
        <sz val="9"/>
        <color rgb="FF000000"/>
        <rFont val="Noto Sans CJK SC"/>
        <family val="2"/>
      </rPr>
      <t xml:space="preserve">機房</t>
    </r>
    <r>
      <rPr>
        <sz val="9"/>
        <color rgb="FF000000"/>
        <rFont val="微軟正黑體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雲</t>
    </r>
    <r>
      <rPr>
        <sz val="9"/>
        <color rgb="FF000000"/>
        <rFont val="微軟正黑體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網路</t>
    </r>
    <r>
      <rPr>
        <sz val="9"/>
        <color rgb="FF000000"/>
        <rFont val="微軟正黑體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資安</t>
    </r>
    <r>
      <rPr>
        <sz val="9"/>
        <color rgb="FF000000"/>
        <rFont val="微軟正黑體"/>
        <family val="0"/>
        <charset val="1"/>
      </rPr>
      <t xml:space="preserve">·AIOT·BMS·</t>
    </r>
    <r>
      <rPr>
        <sz val="9"/>
        <color rgb="FF000000"/>
        <rFont val="Noto Sans CJK SC"/>
        <family val="2"/>
      </rPr>
      <t xml:space="preserve">機電</t>
    </r>
  </si>
  <si>
    <t xml:space="preserve">D03 D04</t>
  </si>
  <si>
    <r>
      <rPr>
        <b val="true"/>
        <sz val="9"/>
        <color rgb="FF000000"/>
        <rFont val="Noto Sans CJK SC"/>
        <family val="2"/>
      </rPr>
      <t xml:space="preserve">★群晶科技主場＋</t>
    </r>
    <r>
      <rPr>
        <b val="true"/>
        <sz val="9"/>
        <color rgb="FF000000"/>
        <rFont val="微軟正黑體"/>
        <family val="0"/>
        <charset val="1"/>
      </rPr>
      <t xml:space="preserve">EPC</t>
    </r>
  </si>
  <si>
    <r>
      <rPr>
        <b val="true"/>
        <sz val="12"/>
        <color rgb="FF1F3864"/>
        <rFont val="Noto Sans CJK SC"/>
        <family val="2"/>
      </rPr>
      <t xml:space="preserve">四、五步使用法（</t>
    </r>
    <r>
      <rPr>
        <b val="true"/>
        <sz val="12"/>
        <color rgb="FF1F3864"/>
        <rFont val="微軟正黑體"/>
        <family val="0"/>
        <charset val="1"/>
      </rPr>
      <t xml:space="preserve">PI </t>
    </r>
    <r>
      <rPr>
        <b val="true"/>
        <sz val="12"/>
        <color rgb="FF1F3864"/>
        <rFont val="Noto Sans CJK SC"/>
        <family val="2"/>
      </rPr>
      <t xml:space="preserve">週會即照此順序）</t>
    </r>
  </si>
  <si>
    <t xml:space="preserve">①</t>
  </si>
  <si>
    <r>
      <rPr>
        <b val="true"/>
        <sz val="9.5"/>
        <color rgb="FF000000"/>
        <rFont val="Noto Sans CJK SC"/>
        <family val="2"/>
      </rPr>
      <t xml:space="preserve">看 </t>
    </r>
    <r>
      <rPr>
        <b val="true"/>
        <sz val="9.5"/>
        <color rgb="FF000000"/>
        <rFont val="微軟正黑體"/>
        <family val="0"/>
        <charset val="1"/>
      </rPr>
      <t xml:space="preserve">01</t>
    </r>
    <r>
      <rPr>
        <b val="true"/>
        <sz val="9.5"/>
        <color rgb="FF000000"/>
        <rFont val="Noto Sans CJK SC"/>
        <family val="2"/>
      </rPr>
      <t xml:space="preserve">總藍圖</t>
    </r>
  </si>
  <si>
    <t xml:space="preserve">紅色缺口與門檻警示＝本週要解的事；各夥伴確認自己定位</t>
  </si>
  <si>
    <t xml:space="preserve">②</t>
  </si>
  <si>
    <r>
      <rPr>
        <b val="true"/>
        <sz val="9.5"/>
        <color rgb="FF000000"/>
        <rFont val="Noto Sans CJK SC"/>
        <family val="2"/>
      </rPr>
      <t xml:space="preserve">更新 </t>
    </r>
    <r>
      <rPr>
        <b val="true"/>
        <sz val="9.5"/>
        <color rgb="FF000000"/>
        <rFont val="微軟正黑體"/>
        <family val="0"/>
        <charset val="1"/>
      </rPr>
      <t xml:space="preserve">03</t>
    </r>
    <r>
      <rPr>
        <b val="true"/>
        <sz val="9.5"/>
        <color rgb="FF000000"/>
        <rFont val="Noto Sans CJK SC"/>
        <family val="2"/>
      </rPr>
      <t xml:space="preserve">能力總表</t>
    </r>
  </si>
  <si>
    <r>
      <rPr>
        <sz val="9"/>
        <color rgb="FF404040"/>
        <rFont val="Noto Sans CJK SC"/>
        <family val="2"/>
      </rPr>
      <t xml:space="preserve">新商機</t>
    </r>
    <r>
      <rPr>
        <sz val="9"/>
        <color rgb="FF404040"/>
        <rFont val="微軟正黑體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新夥伴</t>
    </r>
    <r>
      <rPr>
        <sz val="9"/>
        <color rgb="FF404040"/>
        <rFont val="微軟正黑體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新證據 → 只改黃色儲存格（階段</t>
    </r>
    <r>
      <rPr>
        <sz val="9"/>
        <color rgb="FF404040"/>
        <rFont val="微軟正黑體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拼圖狀態</t>
    </r>
    <r>
      <rPr>
        <sz val="9"/>
        <color rgb="FF404040"/>
        <rFont val="微軟正黑體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分數）</t>
    </r>
  </si>
  <si>
    <t xml:space="preserve">③</t>
  </si>
  <si>
    <r>
      <rPr>
        <b val="true"/>
        <sz val="9.5"/>
        <color rgb="FF000000"/>
        <rFont val="Noto Sans CJK SC"/>
        <family val="2"/>
      </rPr>
      <t xml:space="preserve">審 </t>
    </r>
    <r>
      <rPr>
        <b val="true"/>
        <sz val="9.5"/>
        <color rgb="FF000000"/>
        <rFont val="微軟正黑體"/>
        <family val="0"/>
        <charset val="1"/>
      </rPr>
      <t xml:space="preserve">04</t>
    </r>
    <r>
      <rPr>
        <b val="true"/>
        <sz val="9.5"/>
        <color rgb="FF000000"/>
        <rFont val="Noto Sans CJK SC"/>
        <family val="2"/>
      </rPr>
      <t xml:space="preserve">夥伴拼圖</t>
    </r>
  </si>
  <si>
    <t xml:space="preserve">缺口領域找誰補？候選夥伴過資格審查了嗎？</t>
  </si>
  <si>
    <t xml:space="preserve">④</t>
  </si>
  <si>
    <r>
      <rPr>
        <b val="true"/>
        <sz val="9.5"/>
        <color rgb="FF000000"/>
        <rFont val="Noto Sans CJK SC"/>
        <family val="2"/>
      </rPr>
      <t xml:space="preserve">查 </t>
    </r>
    <r>
      <rPr>
        <b val="true"/>
        <sz val="9.5"/>
        <color rgb="FF000000"/>
        <rFont val="微軟正黑體"/>
        <family val="0"/>
        <charset val="1"/>
      </rPr>
      <t xml:space="preserve">05</t>
    </r>
    <r>
      <rPr>
        <b val="true"/>
        <sz val="9.5"/>
        <color rgb="FF000000"/>
        <rFont val="Noto Sans CJK SC"/>
        <family val="2"/>
      </rPr>
      <t xml:space="preserve">法規門檻</t>
    </r>
  </si>
  <si>
    <t xml:space="preserve">本階段強制法規確認了沒？未確認不得過關</t>
  </si>
  <si>
    <t xml:space="preserve">⑤</t>
  </si>
  <si>
    <r>
      <rPr>
        <b val="true"/>
        <sz val="9.5"/>
        <color rgb="FF000000"/>
        <rFont val="Noto Sans CJK SC"/>
        <family val="2"/>
      </rPr>
      <t xml:space="preserve">追 </t>
    </r>
    <r>
      <rPr>
        <b val="true"/>
        <sz val="9.5"/>
        <color rgb="FF000000"/>
        <rFont val="微軟正黑體"/>
        <family val="0"/>
        <charset val="1"/>
      </rPr>
      <t xml:space="preserve">06</t>
    </r>
    <r>
      <rPr>
        <b val="true"/>
        <sz val="9.5"/>
        <color rgb="FF000000"/>
        <rFont val="Noto Sans CJK SC"/>
        <family val="2"/>
      </rPr>
      <t xml:space="preserve">行動路線＋</t>
    </r>
    <r>
      <rPr>
        <b val="true"/>
        <sz val="9.5"/>
        <color rgb="FF000000"/>
        <rFont val="微軟正黑體"/>
        <family val="0"/>
        <charset val="1"/>
      </rPr>
      <t xml:space="preserve">08</t>
    </r>
    <r>
      <rPr>
        <b val="true"/>
        <sz val="9.5"/>
        <color rgb="FF000000"/>
        <rFont val="Noto Sans CJK SC"/>
        <family val="2"/>
      </rPr>
      <t xml:space="preserve">風險</t>
    </r>
  </si>
  <si>
    <r>
      <rPr>
        <sz val="9"/>
        <color rgb="FF404040"/>
        <rFont val="Noto Sans CJK SC"/>
        <family val="2"/>
      </rPr>
      <t xml:space="preserve">工作包進度</t>
    </r>
    <r>
      <rPr>
        <sz val="9"/>
        <color rgb="FF404040"/>
        <rFont val="微軟正黑體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完成</t>
    </r>
    <r>
      <rPr>
        <sz val="9"/>
        <color rgb="FF404040"/>
        <rFont val="微軟正黑體"/>
        <family val="0"/>
        <charset val="1"/>
      </rPr>
      <t xml:space="preserve">%</t>
    </r>
    <r>
      <rPr>
        <sz val="9"/>
        <color rgb="FF404040"/>
        <rFont val="Noto Sans CJK SC"/>
        <family val="2"/>
      </rPr>
      <t xml:space="preserve">；極高風險升級決策，記入</t>
    </r>
    <r>
      <rPr>
        <sz val="9"/>
        <color rgb="FF404040"/>
        <rFont val="微軟正黑體"/>
        <family val="0"/>
        <charset val="1"/>
      </rPr>
      <t xml:space="preserve">10</t>
    </r>
    <r>
      <rPr>
        <sz val="9"/>
        <color rgb="FF404040"/>
        <rFont val="Noto Sans CJK SC"/>
        <family val="2"/>
      </rPr>
      <t xml:space="preserve">決策紀錄</t>
    </r>
  </si>
  <si>
    <t xml:space="preserve">五、如何更新資料（全部自動連動，只需改黃色儲存格）</t>
  </si>
  <si>
    <t xml:space="preserve">修改既有項目</t>
  </si>
  <si>
    <t xml:space="preserve">直接在該分頁的黃色儲存格覆寫（多數欄位有下拉選單）。藍字為公式，請勿覆寫。</t>
  </si>
  <si>
    <r>
      <rPr>
        <b val="true"/>
        <sz val="9.5"/>
        <color rgb="FF1F3864"/>
        <rFont val="Noto Sans CJK SC"/>
        <family val="2"/>
      </rPr>
      <t xml:space="preserve">新增能力</t>
    </r>
    <r>
      <rPr>
        <b val="true"/>
        <sz val="9.5"/>
        <color rgb="FF1F3864"/>
        <rFont val="微軟正黑體"/>
        <family val="0"/>
        <charset val="1"/>
      </rPr>
      <t xml:space="preserve">/</t>
    </r>
    <r>
      <rPr>
        <b val="true"/>
        <sz val="9.5"/>
        <color rgb="FF1F3864"/>
        <rFont val="Noto Sans CJK SC"/>
        <family val="2"/>
      </rPr>
      <t xml:space="preserve">商機</t>
    </r>
  </si>
  <si>
    <r>
      <rPr>
        <sz val="9"/>
        <color rgb="FF404040"/>
        <rFont val="Noto Sans CJK SC"/>
        <family val="2"/>
      </rPr>
      <t xml:space="preserve">到 </t>
    </r>
    <r>
      <rPr>
        <sz val="9"/>
        <color rgb="FF404040"/>
        <rFont val="微軟正黑體"/>
        <family val="0"/>
        <charset val="1"/>
      </rPr>
      <t xml:space="preserve">03</t>
    </r>
    <r>
      <rPr>
        <sz val="9"/>
        <color rgb="FF404040"/>
        <rFont val="Noto Sans CJK SC"/>
        <family val="2"/>
      </rPr>
      <t xml:space="preserve">能力總表 第一個空白列（第</t>
    </r>
    <r>
      <rPr>
        <sz val="9"/>
        <color rgb="FF404040"/>
        <rFont val="微軟正黑體"/>
        <family val="0"/>
        <charset val="1"/>
      </rPr>
      <t xml:space="preserve">65</t>
    </r>
    <r>
      <rPr>
        <sz val="9"/>
        <color rgb="FF404040"/>
        <rFont val="Noto Sans CJK SC"/>
        <family val="2"/>
      </rPr>
      <t xml:space="preserve">列起，一路預留到第</t>
    </r>
    <r>
      <rPr>
        <sz val="9"/>
        <color rgb="FF404040"/>
        <rFont val="微軟正黑體"/>
        <family val="0"/>
        <charset val="1"/>
      </rPr>
      <t xml:space="preserve">154</t>
    </r>
    <r>
      <rPr>
        <sz val="9"/>
        <color rgb="FF404040"/>
        <rFont val="Noto Sans CJK SC"/>
        <family val="2"/>
      </rPr>
      <t xml:space="preserve">列，可再增加</t>
    </r>
    <r>
      <rPr>
        <sz val="9"/>
        <color rgb="FF404040"/>
        <rFont val="微軟正黑體"/>
        <family val="0"/>
        <charset val="1"/>
      </rPr>
      <t xml:space="preserve">90</t>
    </r>
    <r>
      <rPr>
        <sz val="9"/>
        <color rgb="FF404040"/>
        <rFont val="Noto Sans CJK SC"/>
        <family val="2"/>
      </rPr>
      <t xml:space="preserve">項）填入 </t>
    </r>
    <r>
      <rPr>
        <sz val="9"/>
        <color rgb="FF404040"/>
        <rFont val="微軟正黑體"/>
        <family val="0"/>
        <charset val="1"/>
      </rPr>
      <t xml:space="preserve">CAP-061…</t>
    </r>
    <r>
      <rPr>
        <sz val="9"/>
        <color rgb="FF404040"/>
        <rFont val="Noto Sans CJK SC"/>
        <family val="2"/>
      </rPr>
      <t xml:space="preserve">。只要 </t>
    </r>
    <r>
      <rPr>
        <sz val="9"/>
        <color rgb="FF404040"/>
        <rFont val="微軟正黑體"/>
        <family val="0"/>
        <charset val="1"/>
      </rPr>
      <t xml:space="preserve">A</t>
    </r>
    <r>
      <rPr>
        <sz val="9"/>
        <color rgb="FF404040"/>
        <rFont val="Noto Sans CJK SC"/>
        <family val="2"/>
      </rPr>
      <t xml:space="preserve">欄有 </t>
    </r>
    <r>
      <rPr>
        <sz val="9"/>
        <color rgb="FF404040"/>
        <rFont val="微軟正黑體"/>
        <family val="0"/>
        <charset val="1"/>
      </rPr>
      <t xml:space="preserve">ID</t>
    </r>
    <r>
      <rPr>
        <sz val="9"/>
        <color rgb="FF404040"/>
        <rFont val="Noto Sans CJK SC"/>
        <family val="2"/>
      </rPr>
      <t xml:space="preserve">，</t>
    </r>
    <r>
      <rPr>
        <sz val="9"/>
        <color rgb="FF404040"/>
        <rFont val="微軟正黑體"/>
        <family val="0"/>
        <charset val="1"/>
      </rPr>
      <t xml:space="preserve">Q/U/W</t>
    </r>
    <r>
      <rPr>
        <sz val="9"/>
        <color rgb="FF404040"/>
        <rFont val="Noto Sans CJK SC"/>
        <family val="2"/>
      </rPr>
      <t xml:space="preserve">欄的分數與判斷、</t>
    </r>
    <r>
      <rPr>
        <sz val="9"/>
        <color rgb="FF404040"/>
        <rFont val="微軟正黑體"/>
        <family val="0"/>
        <charset val="1"/>
      </rPr>
      <t xml:space="preserve">01</t>
    </r>
    <r>
      <rPr>
        <sz val="9"/>
        <color rgb="FF404040"/>
        <rFont val="Noto Sans CJK SC"/>
        <family val="2"/>
      </rPr>
      <t xml:space="preserve">總藍圖矩陣、缺口計數全部自動出現。若超過</t>
    </r>
    <r>
      <rPr>
        <sz val="9"/>
        <color rgb="FF404040"/>
        <rFont val="微軟正黑體"/>
        <family val="0"/>
        <charset val="1"/>
      </rPr>
      <t xml:space="preserve">154</t>
    </r>
    <r>
      <rPr>
        <sz val="9"/>
        <color rgb="FF404040"/>
        <rFont val="Noto Sans CJK SC"/>
        <family val="2"/>
      </rPr>
      <t xml:space="preserve">列仍不夠用，需先整列複製第</t>
    </r>
    <r>
      <rPr>
        <sz val="9"/>
        <color rgb="FF404040"/>
        <rFont val="微軟正黑體"/>
        <family val="0"/>
        <charset val="1"/>
      </rPr>
      <t xml:space="preserve">154</t>
    </r>
    <r>
      <rPr>
        <sz val="9"/>
        <color rgb="FF404040"/>
        <rFont val="Noto Sans CJK SC"/>
        <family val="2"/>
      </rPr>
      <t xml:space="preserve">列的格式與公式往下貼，再新增資料。</t>
    </r>
  </si>
  <si>
    <t xml:space="preserve">新增夥伴</t>
  </si>
  <si>
    <r>
      <rPr>
        <sz val="9"/>
        <color rgb="FF404040"/>
        <rFont val="Noto Sans CJK SC"/>
        <family val="2"/>
      </rPr>
      <t xml:space="preserve">到 </t>
    </r>
    <r>
      <rPr>
        <sz val="9"/>
        <color rgb="FF404040"/>
        <rFont val="微軟正黑體"/>
        <family val="0"/>
        <charset val="1"/>
      </rPr>
      <t xml:space="preserve">04</t>
    </r>
    <r>
      <rPr>
        <sz val="9"/>
        <color rgb="FF404040"/>
        <rFont val="Noto Sans CJK SC"/>
        <family val="2"/>
      </rPr>
      <t xml:space="preserve">夥伴拼圖 空白列填入 </t>
    </r>
    <r>
      <rPr>
        <sz val="9"/>
        <color rgb="FF404040"/>
        <rFont val="微軟正黑體"/>
        <family val="0"/>
        <charset val="1"/>
      </rPr>
      <t xml:space="preserve">P-016…</t>
    </r>
    <r>
      <rPr>
        <sz val="9"/>
        <color rgb="FF404040"/>
        <rFont val="Noto Sans CJK SC"/>
        <family val="2"/>
      </rPr>
      <t xml:space="preserve">；</t>
    </r>
    <r>
      <rPr>
        <sz val="9"/>
        <color rgb="FF404040"/>
        <rFont val="微軟正黑體"/>
        <family val="0"/>
        <charset val="1"/>
      </rPr>
      <t xml:space="preserve">F</t>
    </r>
    <r>
      <rPr>
        <sz val="9"/>
        <color rgb="FF404040"/>
        <rFont val="Noto Sans CJK SC"/>
        <family val="2"/>
      </rPr>
      <t xml:space="preserve">欄以「</t>
    </r>
    <r>
      <rPr>
        <sz val="9"/>
        <color rgb="FF404040"/>
        <rFont val="微軟正黑體"/>
        <family val="0"/>
        <charset val="1"/>
      </rPr>
      <t xml:space="preserve">D01; D04</t>
    </r>
    <r>
      <rPr>
        <sz val="9"/>
        <color rgb="FF404040"/>
        <rFont val="Noto Sans CJK SC"/>
        <family val="2"/>
      </rPr>
      <t xml:space="preserve">」格式填領域，下方覆蓋矩陣的✓與統計自動產生。</t>
    </r>
  </si>
  <si>
    <r>
      <rPr>
        <b val="true"/>
        <sz val="9.5"/>
        <color rgb="FF1F3864"/>
        <rFont val="Noto Sans CJK SC"/>
        <family val="2"/>
      </rPr>
      <t xml:space="preserve">新增法規</t>
    </r>
    <r>
      <rPr>
        <b val="true"/>
        <sz val="9.5"/>
        <color rgb="FF1F3864"/>
        <rFont val="微軟正黑體"/>
        <family val="0"/>
        <charset val="1"/>
      </rPr>
      <t xml:space="preserve">/</t>
    </r>
    <r>
      <rPr>
        <b val="true"/>
        <sz val="9.5"/>
        <color rgb="FF1F3864"/>
        <rFont val="Noto Sans CJK SC"/>
        <family val="2"/>
      </rPr>
      <t xml:space="preserve">工作包</t>
    </r>
    <r>
      <rPr>
        <b val="true"/>
        <sz val="9.5"/>
        <color rgb="FF1F3864"/>
        <rFont val="微軟正黑體"/>
        <family val="0"/>
        <charset val="1"/>
      </rPr>
      <t xml:space="preserve">/</t>
    </r>
    <r>
      <rPr>
        <b val="true"/>
        <sz val="9.5"/>
        <color rgb="FF1F3864"/>
        <rFont val="Noto Sans CJK SC"/>
        <family val="2"/>
      </rPr>
      <t xml:space="preserve">風險</t>
    </r>
    <r>
      <rPr>
        <b val="true"/>
        <sz val="9.5"/>
        <color rgb="FF1F3864"/>
        <rFont val="微軟正黑體"/>
        <family val="0"/>
        <charset val="1"/>
      </rPr>
      <t xml:space="preserve">/KPI</t>
    </r>
  </si>
  <si>
    <t xml:space="preserve">各分頁下方均已預留空白列並含公式，填入即納入統計與甘特圖。</t>
  </si>
  <si>
    <t xml:space="preserve">調整評分邏輯</t>
  </si>
  <si>
    <r>
      <rPr>
        <sz val="9"/>
        <color rgb="FF404040"/>
        <rFont val="Noto Sans CJK SC"/>
        <family val="2"/>
      </rPr>
      <t xml:space="preserve">改 </t>
    </r>
    <r>
      <rPr>
        <sz val="9"/>
        <color rgb="FF404040"/>
        <rFont val="微軟正黑體"/>
        <family val="0"/>
        <charset val="1"/>
      </rPr>
      <t xml:space="preserve">02</t>
    </r>
    <r>
      <rPr>
        <sz val="9"/>
        <color rgb="FF404040"/>
        <rFont val="Noto Sans CJK SC"/>
        <family val="2"/>
      </rPr>
      <t xml:space="preserve">情境權重 的權重（合計須</t>
    </r>
    <r>
      <rPr>
        <sz val="9"/>
        <color rgb="FF404040"/>
        <rFont val="微軟正黑體"/>
        <family val="0"/>
        <charset val="1"/>
      </rPr>
      <t xml:space="preserve">=1</t>
    </r>
    <r>
      <rPr>
        <sz val="9"/>
        <color rgb="FF404040"/>
        <rFont val="Noto Sans CJK SC"/>
        <family val="2"/>
      </rPr>
      <t xml:space="preserve">），</t>
    </r>
    <r>
      <rPr>
        <sz val="9"/>
        <color rgb="FF404040"/>
        <rFont val="微軟正黑體"/>
        <family val="0"/>
        <charset val="1"/>
      </rPr>
      <t xml:space="preserve">60</t>
    </r>
    <r>
      <rPr>
        <sz val="9"/>
        <color rgb="FF404040"/>
        <rFont val="Noto Sans CJK SC"/>
        <family val="2"/>
      </rPr>
      <t xml:space="preserve">項能力的價值分</t>
    </r>
    <r>
      <rPr>
        <sz val="9"/>
        <color rgb="FF404040"/>
        <rFont val="微軟正黑體"/>
        <family val="0"/>
        <charset val="1"/>
      </rPr>
      <t xml:space="preserve">/</t>
    </r>
    <r>
      <rPr>
        <sz val="9"/>
        <color rgb="FF404040"/>
        <rFont val="Noto Sans CJK SC"/>
        <family val="2"/>
      </rPr>
      <t xml:space="preserve">準備分同步重算。</t>
    </r>
  </si>
  <si>
    <t xml:space="preserve">會自動更新的東西</t>
  </si>
  <si>
    <r>
      <rPr>
        <sz val="9"/>
        <color rgb="FF404040"/>
        <rFont val="微軟正黑體"/>
        <family val="0"/>
        <charset val="1"/>
      </rPr>
      <t xml:space="preserve">01</t>
    </r>
    <r>
      <rPr>
        <sz val="9"/>
        <color rgb="FF404040"/>
        <rFont val="Noto Sans CJK SC"/>
        <family val="2"/>
      </rPr>
      <t xml:space="preserve">總藍圖矩陣與計數、法規門檻警示、</t>
    </r>
    <r>
      <rPr>
        <sz val="9"/>
        <color rgb="FF404040"/>
        <rFont val="微軟正黑體"/>
        <family val="0"/>
        <charset val="1"/>
      </rPr>
      <t xml:space="preserve">04</t>
    </r>
    <r>
      <rPr>
        <sz val="9"/>
        <color rgb="FF404040"/>
        <rFont val="Noto Sans CJK SC"/>
        <family val="2"/>
      </rPr>
      <t xml:space="preserve">覆蓋矩陣、</t>
    </r>
    <r>
      <rPr>
        <sz val="9"/>
        <color rgb="FF404040"/>
        <rFont val="微軟正黑體"/>
        <family val="0"/>
        <charset val="1"/>
      </rPr>
      <t xml:space="preserve">06</t>
    </r>
    <r>
      <rPr>
        <sz val="9"/>
        <color rgb="FF404040"/>
        <rFont val="Noto Sans CJK SC"/>
        <family val="2"/>
      </rPr>
      <t xml:space="preserve">甘特圖、</t>
    </r>
    <r>
      <rPr>
        <sz val="9"/>
        <color rgb="FF404040"/>
        <rFont val="微軟正黑體"/>
        <family val="0"/>
        <charset val="1"/>
      </rPr>
      <t xml:space="preserve">08</t>
    </r>
    <r>
      <rPr>
        <sz val="9"/>
        <color rgb="FF404040"/>
        <rFont val="Noto Sans CJK SC"/>
        <family val="2"/>
      </rPr>
      <t xml:space="preserve">風險分數等級、</t>
    </r>
    <r>
      <rPr>
        <sz val="9"/>
        <color rgb="FF404040"/>
        <rFont val="微軟正黑體"/>
        <family val="0"/>
        <charset val="1"/>
      </rPr>
      <t xml:space="preserve">09</t>
    </r>
    <r>
      <rPr>
        <sz val="9"/>
        <color rgb="FF404040"/>
        <rFont val="Noto Sans CJK SC"/>
        <family val="2"/>
      </rPr>
      <t xml:space="preserve">改善幅度與領域成熟度。</t>
    </r>
  </si>
  <si>
    <t xml:space="preserve">唯一需手動的事</t>
  </si>
  <si>
    <t xml:space="preserve">若某格項目變多、文字被截斷 → 選取該列 → 常用 → 格式 → 自動調整列高。</t>
  </si>
  <si>
    <t xml:space="preserve">六、色彩慣例</t>
  </si>
  <si>
    <t xml:space="preserve">黃底＝可編輯輸入</t>
  </si>
  <si>
    <t xml:space="preserve">藍字＝公式，勿覆寫</t>
  </si>
  <si>
    <r>
      <rPr>
        <b val="true"/>
        <sz val="9"/>
        <color rgb="FF375623"/>
        <rFont val="Noto Sans CJK SC"/>
        <family val="2"/>
      </rPr>
      <t xml:space="preserve">綠＝就緒</t>
    </r>
    <r>
      <rPr>
        <b val="true"/>
        <sz val="9"/>
        <color rgb="FF375623"/>
        <rFont val="微軟正黑體"/>
        <family val="0"/>
        <charset val="1"/>
      </rPr>
      <t xml:space="preserve">/</t>
    </r>
    <r>
      <rPr>
        <b val="true"/>
        <sz val="9"/>
        <color rgb="FF375623"/>
        <rFont val="Noto Sans CJK SC"/>
        <family val="2"/>
      </rPr>
      <t xml:space="preserve">通過</t>
    </r>
  </si>
  <si>
    <r>
      <rPr>
        <b val="true"/>
        <sz val="9"/>
        <color rgb="FF7F6000"/>
        <rFont val="Noto Sans CJK SC"/>
        <family val="2"/>
      </rPr>
      <t xml:space="preserve">橘＝注意</t>
    </r>
    <r>
      <rPr>
        <b val="true"/>
        <sz val="9"/>
        <color rgb="FF7F6000"/>
        <rFont val="微軟正黑體"/>
        <family val="0"/>
        <charset val="1"/>
      </rPr>
      <t xml:space="preserve">/</t>
    </r>
    <r>
      <rPr>
        <b val="true"/>
        <sz val="9"/>
        <color rgb="FF7F6000"/>
        <rFont val="Noto Sans CJK SC"/>
        <family val="2"/>
      </rPr>
      <t xml:space="preserve">洽談中</t>
    </r>
  </si>
  <si>
    <r>
      <rPr>
        <b val="true"/>
        <sz val="9"/>
        <color rgb="FFC00000"/>
        <rFont val="Noto Sans CJK SC"/>
        <family val="2"/>
      </rPr>
      <t xml:space="preserve">紅＝缺口</t>
    </r>
    <r>
      <rPr>
        <b val="true"/>
        <sz val="9"/>
        <color rgb="FFC00000"/>
        <rFont val="微軟正黑體"/>
        <family val="0"/>
        <charset val="1"/>
      </rPr>
      <t xml:space="preserve">/</t>
    </r>
    <r>
      <rPr>
        <b val="true"/>
        <sz val="9"/>
        <color rgb="FFC00000"/>
        <rFont val="Noto Sans CJK SC"/>
        <family val="2"/>
      </rPr>
      <t xml:space="preserve">未通過</t>
    </r>
    <r>
      <rPr>
        <b val="true"/>
        <sz val="9"/>
        <color rgb="FFC00000"/>
        <rFont val="微軟正黑體"/>
        <family val="0"/>
        <charset val="1"/>
      </rPr>
      <t xml:space="preserve">/</t>
    </r>
    <r>
      <rPr>
        <b val="true"/>
        <sz val="9"/>
        <color rgb="FFC00000"/>
        <rFont val="Noto Sans CJK SC"/>
        <family val="2"/>
      </rPr>
      <t xml:space="preserve">極高</t>
    </r>
  </si>
  <si>
    <r>
      <rPr>
        <b val="true"/>
        <sz val="9"/>
        <color rgb="FFC00000"/>
        <rFont val="Noto Sans CJK SC"/>
        <family val="2"/>
      </rPr>
      <t xml:space="preserve">對外論述提醒：由越南政府主導、結合越南在地醫療與產業夥伴，導入台灣醫院營運</t>
    </r>
    <r>
      <rPr>
        <b val="true"/>
        <sz val="9"/>
        <color rgb="FFC00000"/>
        <rFont val="微軟正黑體"/>
        <family val="0"/>
        <charset val="1"/>
      </rPr>
      <t xml:space="preserve">/</t>
    </r>
    <r>
      <rPr>
        <b val="true"/>
        <sz val="9"/>
        <color rgb="FFC00000"/>
        <rFont val="Noto Sans CJK SC"/>
        <family val="2"/>
      </rPr>
      <t xml:space="preserve">品質</t>
    </r>
    <r>
      <rPr>
        <b val="true"/>
        <sz val="9"/>
        <color rgb="FFC00000"/>
        <rFont val="微軟正黑體"/>
        <family val="0"/>
        <charset val="1"/>
      </rPr>
      <t xml:space="preserve">/</t>
    </r>
    <r>
      <rPr>
        <b val="true"/>
        <sz val="9"/>
        <color rgb="FFC00000"/>
        <rFont val="Noto Sans CJK SC"/>
        <family val="2"/>
      </rPr>
      <t xml:space="preserve">系統整合經驗與國際成熟技術，建立可由越南長期營運、維護與擴散的現代化示範醫院。（避免「先進輸出落後」語彙；來源國與供應鏈風險僅供內部欄位稽核）</t>
    </r>
  </si>
  <si>
    <t xml:space="preserve">分頁導覽（點擊跳轉）</t>
  </si>
  <si>
    <t xml:space="preserve">▸ 01_總藍圖_Blueprint</t>
  </si>
  <si>
    <t xml:space="preserve">▸ 02_情境權重_Scenario</t>
  </si>
  <si>
    <t xml:space="preserve">▸ 03_能力總表_Master</t>
  </si>
  <si>
    <t xml:space="preserve">▸ 04_夥伴拼圖_Partners</t>
  </si>
  <si>
    <t xml:space="preserve">▸ 05_法規門檻_Gates</t>
  </si>
  <si>
    <t xml:space="preserve">▸ 06_行動路線_Roadmap</t>
  </si>
  <si>
    <t xml:space="preserve">▸ 07_整案量級_Portfolio</t>
  </si>
  <si>
    <t xml:space="preserve">▸ 08_風險清冊_Risk</t>
  </si>
  <si>
    <t xml:space="preserve">▸ 09_KPI計分卡_KPI</t>
  </si>
  <si>
    <t xml:space="preserve">▸ 10_決策紀錄_Log</t>
  </si>
  <si>
    <t xml:space="preserve">▸ 99_代碼表_Codebook</t>
  </si>
  <si>
    <r>
      <rPr>
        <b val="true"/>
        <sz val="12"/>
        <color rgb="FF1F3864"/>
        <rFont val="Noto Sans CJK SC"/>
        <family val="2"/>
      </rPr>
      <t xml:space="preserve">七、</t>
    </r>
    <r>
      <rPr>
        <b val="true"/>
        <sz val="12"/>
        <color rgb="FF1F3864"/>
        <rFont val="微軟正黑體"/>
        <family val="0"/>
        <charset val="1"/>
      </rPr>
      <t xml:space="preserve">v1.0 </t>
    </r>
    <r>
      <rPr>
        <b val="true"/>
        <sz val="12"/>
        <color rgb="FF1F3864"/>
        <rFont val="Noto Sans CJK SC"/>
        <family val="2"/>
      </rPr>
      <t xml:space="preserve">的新功能</t>
    </r>
  </si>
  <si>
    <r>
      <rPr>
        <b val="true"/>
        <sz val="9.5"/>
        <color rgb="FF1F3864"/>
        <rFont val="微軟正黑體"/>
        <family val="0"/>
        <charset val="1"/>
      </rPr>
      <t xml:space="preserve">98_</t>
    </r>
    <r>
      <rPr>
        <b val="true"/>
        <sz val="9.5"/>
        <color rgb="FF1F3864"/>
        <rFont val="Noto Sans CJK SC"/>
        <family val="2"/>
      </rPr>
      <t xml:space="preserve">選單維護</t>
    </r>
    <r>
      <rPr>
        <b val="true"/>
        <sz val="9.5"/>
        <color rgb="FF1F3864"/>
        <rFont val="微軟正黑體"/>
        <family val="0"/>
        <charset val="1"/>
      </rPr>
      <t xml:space="preserve">_Lists</t>
    </r>
  </si>
  <si>
    <t xml:space="preserve">所有下拉選單的唯一維護處。要新增選項（例如新的夥伴類型），只在該欄最下方接著填。</t>
  </si>
  <si>
    <r>
      <rPr>
        <b val="true"/>
        <sz val="9.5"/>
        <color rgb="FF1F3864"/>
        <rFont val="微軟正黑體"/>
        <family val="0"/>
        <charset val="1"/>
      </rPr>
      <t xml:space="preserve">11_</t>
    </r>
    <r>
      <rPr>
        <b val="true"/>
        <sz val="9.5"/>
        <color rgb="FF1F3864"/>
        <rFont val="Noto Sans CJK SC"/>
        <family val="2"/>
      </rPr>
      <t xml:space="preserve">缺口招募</t>
    </r>
    <r>
      <rPr>
        <b val="true"/>
        <sz val="9.5"/>
        <color rgb="FF1F3864"/>
        <rFont val="微軟正黑體"/>
        <family val="0"/>
        <charset val="1"/>
      </rPr>
      <t xml:space="preserve">_GapRFI</t>
    </r>
  </si>
  <si>
    <r>
      <rPr>
        <sz val="9"/>
        <color rgb="FF404050"/>
        <rFont val="Noto Sans CJK SC"/>
        <family val="2"/>
      </rPr>
      <t xml:space="preserve">自動列出所有「缺口</t>
    </r>
    <r>
      <rPr>
        <sz val="9"/>
        <color rgb="FF404050"/>
        <rFont val="微軟正黑體"/>
        <family val="0"/>
        <charset val="1"/>
      </rPr>
      <t xml:space="preserve">-</t>
    </r>
    <r>
      <rPr>
        <sz val="9"/>
        <color rgb="FF404050"/>
        <rFont val="Noto Sans CJK SC"/>
        <family val="2"/>
      </rPr>
      <t xml:space="preserve">待尋找」項目，可直接當 </t>
    </r>
    <r>
      <rPr>
        <sz val="9"/>
        <color rgb="FF404050"/>
        <rFont val="微軟正黑體"/>
        <family val="0"/>
        <charset val="1"/>
      </rPr>
      <t xml:space="preserve">RFI </t>
    </r>
    <r>
      <rPr>
        <sz val="9"/>
        <color rgb="FF404050"/>
        <rFont val="Noto Sans CJK SC"/>
        <family val="2"/>
      </rPr>
      <t xml:space="preserve">發給候選夥伴。</t>
    </r>
  </si>
  <si>
    <r>
      <rPr>
        <b val="true"/>
        <sz val="9.5"/>
        <color rgb="FF1F3864"/>
        <rFont val="微軟正黑體"/>
        <family val="0"/>
        <charset val="1"/>
      </rPr>
      <t xml:space="preserve">12_</t>
    </r>
    <r>
      <rPr>
        <b val="true"/>
        <sz val="9.5"/>
        <color rgb="FF1F3864"/>
        <rFont val="Noto Sans CJK SC"/>
        <family val="2"/>
      </rPr>
      <t xml:space="preserve">夥伴視角</t>
    </r>
    <r>
      <rPr>
        <b val="true"/>
        <sz val="9.5"/>
        <color rgb="FF1F3864"/>
        <rFont val="微軟正黑體"/>
        <family val="0"/>
        <charset val="1"/>
      </rPr>
      <t xml:space="preserve">_PartnerView</t>
    </r>
  </si>
  <si>
    <r>
      <rPr>
        <sz val="9"/>
        <color rgb="FF404050"/>
        <rFont val="Noto Sans CJK SC"/>
        <family val="2"/>
      </rPr>
      <t xml:space="preserve">選一個夥伴（下拉顯示「</t>
    </r>
    <r>
      <rPr>
        <sz val="9"/>
        <color rgb="FF404050"/>
        <rFont val="微軟正黑體"/>
        <family val="0"/>
        <charset val="1"/>
      </rPr>
      <t xml:space="preserve">P-001 </t>
    </r>
    <r>
      <rPr>
        <sz val="9"/>
        <color rgb="FF404050"/>
        <rFont val="Noto Sans CJK SC"/>
        <family val="2"/>
      </rPr>
      <t xml:space="preserve">群晶科技」這種代號＋名稱），自動列出他被指名的所有能力項與所屬商機——一對一洽談時投影這頁。</t>
    </r>
  </si>
  <si>
    <r>
      <rPr>
        <b val="true"/>
        <sz val="9.5"/>
        <color rgb="FF1F3864"/>
        <rFont val="微軟正黑體"/>
        <family val="0"/>
        <charset val="1"/>
      </rPr>
      <t xml:space="preserve">13_</t>
    </r>
    <r>
      <rPr>
        <b val="true"/>
        <sz val="9.5"/>
        <color rgb="FF1F3864"/>
        <rFont val="Noto Sans CJK SC"/>
        <family val="2"/>
      </rPr>
      <t xml:space="preserve">待辦看板</t>
    </r>
    <r>
      <rPr>
        <b val="true"/>
        <sz val="9.5"/>
        <color rgb="FF1F3864"/>
        <rFont val="微軟正黑體"/>
        <family val="0"/>
        <charset val="1"/>
      </rPr>
      <t xml:space="preserve">_Actions</t>
    </r>
  </si>
  <si>
    <t xml:space="preserve">未確認強制法規、高風險、缺口三張清單合一，週會照這頁跑。</t>
  </si>
  <si>
    <r>
      <rPr>
        <b val="true"/>
        <sz val="9.5"/>
        <color rgb="FF1F3864"/>
        <rFont val="微軟正黑體"/>
        <family val="0"/>
        <charset val="1"/>
      </rPr>
      <t xml:space="preserve">09 </t>
    </r>
    <r>
      <rPr>
        <b val="true"/>
        <sz val="9.5"/>
        <color rgb="FF1F3864"/>
        <rFont val="Noto Sans CJK SC"/>
        <family val="2"/>
      </rPr>
      <t xml:space="preserve">新增 </t>
    </r>
    <r>
      <rPr>
        <b val="true"/>
        <sz val="9.5"/>
        <color rgb="FF1F3864"/>
        <rFont val="微軟正黑體"/>
        <family val="0"/>
        <charset val="1"/>
      </rPr>
      <t xml:space="preserve">M–Q </t>
    </r>
    <r>
      <rPr>
        <b val="true"/>
        <sz val="9.5"/>
        <color rgb="FF1F3864"/>
        <rFont val="Noto Sans CJK SC"/>
        <family val="2"/>
      </rPr>
      <t xml:space="preserve">欄</t>
    </r>
  </si>
  <si>
    <r>
      <rPr>
        <sz val="9"/>
        <color rgb="FF404050"/>
        <rFont val="Noto Sans CJK SC"/>
        <family val="2"/>
      </rPr>
      <t xml:space="preserve">每個 </t>
    </r>
    <r>
      <rPr>
        <sz val="9"/>
        <color rgb="FF404050"/>
        <rFont val="微軟正黑體"/>
        <family val="0"/>
        <charset val="1"/>
      </rPr>
      <t xml:space="preserve">KPI </t>
    </r>
    <r>
      <rPr>
        <sz val="9"/>
        <color rgb="FF404050"/>
        <rFont val="Noto Sans CJK SC"/>
        <family val="2"/>
      </rPr>
      <t xml:space="preserve">的計算公式、分子、分母、資料來源系統；基線與目標已預填規劃假設值。</t>
    </r>
  </si>
  <si>
    <r>
      <rPr>
        <b val="true"/>
        <sz val="9.5"/>
        <color rgb="FF1F3864"/>
        <rFont val="微軟正黑體"/>
        <family val="0"/>
        <charset val="1"/>
      </rPr>
      <t xml:space="preserve">03 </t>
    </r>
    <r>
      <rPr>
        <b val="true"/>
        <sz val="9.5"/>
        <color rgb="FF1F3864"/>
        <rFont val="Noto Sans CJK SC"/>
        <family val="2"/>
      </rPr>
      <t xml:space="preserve">新增 </t>
    </r>
    <r>
      <rPr>
        <b val="true"/>
        <sz val="9.5"/>
        <color rgb="FF1F3864"/>
        <rFont val="微軟正黑體"/>
        <family val="0"/>
        <charset val="1"/>
      </rPr>
      <t xml:space="preserve">AB–AE </t>
    </r>
    <r>
      <rPr>
        <b val="true"/>
        <sz val="9.5"/>
        <color rgb="FF1F3864"/>
        <rFont val="Noto Sans CJK SC"/>
        <family val="2"/>
      </rPr>
      <t xml:space="preserve">欄</t>
    </r>
  </si>
  <si>
    <r>
      <rPr>
        <sz val="9"/>
        <color rgb="FF404050"/>
        <rFont val="Noto Sans CJK SC"/>
        <family val="2"/>
      </rPr>
      <t xml:space="preserve">能力成熟度、驗收指標／</t>
    </r>
    <r>
      <rPr>
        <sz val="9"/>
        <color rgb="FF404050"/>
        <rFont val="微軟正黑體"/>
        <family val="0"/>
        <charset val="1"/>
      </rPr>
      <t xml:space="preserve">KPI</t>
    </r>
    <r>
      <rPr>
        <sz val="9"/>
        <color rgb="FF404050"/>
        <rFont val="Noto Sans CJK SC"/>
        <family val="2"/>
      </rPr>
      <t xml:space="preserve">、資料／系統依賴、證據成熟度。加在 </t>
    </r>
    <r>
      <rPr>
        <sz val="9"/>
        <color rgb="FF404050"/>
        <rFont val="微軟正黑體"/>
        <family val="0"/>
        <charset val="1"/>
      </rPr>
      <t xml:space="preserve">AA </t>
    </r>
    <r>
      <rPr>
        <sz val="9"/>
        <color rgb="FF404050"/>
        <rFont val="Noto Sans CJK SC"/>
        <family val="2"/>
      </rPr>
      <t xml:space="preserve">欄右側，不影響前</t>
    </r>
    <r>
      <rPr>
        <sz val="9"/>
        <color rgb="FF404050"/>
        <rFont val="微軟正黑體"/>
        <family val="0"/>
        <charset val="1"/>
      </rPr>
      <t xml:space="preserve">27</t>
    </r>
    <r>
      <rPr>
        <sz val="9"/>
        <color rgb="FF404050"/>
        <rFont val="Noto Sans CJK SC"/>
        <family val="2"/>
      </rPr>
      <t xml:space="preserve">欄公式；</t>
    </r>
    <r>
      <rPr>
        <sz val="9"/>
        <color rgb="FF404050"/>
        <rFont val="微軟正黑體"/>
        <family val="0"/>
        <charset val="1"/>
      </rPr>
      <t xml:space="preserve">AC </t>
    </r>
    <r>
      <rPr>
        <sz val="9"/>
        <color rgb="FF404050"/>
        <rFont val="Noto Sans CJK SC"/>
        <family val="2"/>
      </rPr>
      <t xml:space="preserve">驗收指標可直接從 </t>
    </r>
    <r>
      <rPr>
        <sz val="9"/>
        <color rgb="FF404050"/>
        <rFont val="微軟正黑體"/>
        <family val="0"/>
        <charset val="1"/>
      </rPr>
      <t xml:space="preserve">09 KPI </t>
    </r>
    <r>
      <rPr>
        <sz val="9"/>
        <color rgb="FF404050"/>
        <rFont val="Noto Sans CJK SC"/>
        <family val="2"/>
      </rPr>
      <t xml:space="preserve">計分卡的下拉選、</t>
    </r>
    <r>
      <rPr>
        <sz val="9"/>
        <color rgb="FF404050"/>
        <rFont val="微軟正黑體"/>
        <family val="0"/>
        <charset val="1"/>
      </rPr>
      <t xml:space="preserve">AD </t>
    </r>
    <r>
      <rPr>
        <sz val="9"/>
        <color rgb="FF404050"/>
        <rFont val="Noto Sans CJK SC"/>
        <family val="2"/>
      </rPr>
      <t xml:space="preserve">資料系統依賴也有下拉（兩者都可自行輸入）。</t>
    </r>
  </si>
  <si>
    <r>
      <rPr>
        <b val="true"/>
        <sz val="9.5"/>
        <color rgb="FF1F3864"/>
        <rFont val="微軟正黑體"/>
        <family val="0"/>
        <charset val="1"/>
      </rPr>
      <t xml:space="preserve">03 </t>
    </r>
    <r>
      <rPr>
        <b val="true"/>
        <sz val="9.5"/>
        <color rgb="FF1F3864"/>
        <rFont val="Noto Sans CJK SC"/>
        <family val="2"/>
      </rPr>
      <t xml:space="preserve">輸入列擴充到</t>
    </r>
    <r>
      <rPr>
        <b val="true"/>
        <sz val="9.5"/>
        <color rgb="FF1F3864"/>
        <rFont val="微軟正黑體"/>
        <family val="0"/>
        <charset val="1"/>
      </rPr>
      <t xml:space="preserve">154</t>
    </r>
    <r>
      <rPr>
        <b val="true"/>
        <sz val="9.5"/>
        <color rgb="FF1F3864"/>
        <rFont val="Noto Sans CJK SC"/>
        <family val="2"/>
      </rPr>
      <t xml:space="preserve">列</t>
    </r>
  </si>
  <si>
    <r>
      <rPr>
        <sz val="9"/>
        <color rgb="FF404050"/>
        <rFont val="Noto Sans CJK SC"/>
        <family val="2"/>
      </rPr>
      <t xml:space="preserve">原本只到</t>
    </r>
    <r>
      <rPr>
        <sz val="9"/>
        <color rgb="FF404050"/>
        <rFont val="微軟正黑體"/>
        <family val="0"/>
        <charset val="1"/>
      </rPr>
      <t xml:space="preserve">104</t>
    </r>
    <r>
      <rPr>
        <sz val="9"/>
        <color rgb="FF404050"/>
        <rFont val="Noto Sans CJK SC"/>
        <family val="2"/>
      </rPr>
      <t xml:space="preserve">列，現在格式</t>
    </r>
    <r>
      <rPr>
        <sz val="9"/>
        <color rgb="FF404050"/>
        <rFont val="微軟正黑體"/>
        <family val="0"/>
        <charset val="1"/>
      </rPr>
      <t xml:space="preserve">/</t>
    </r>
    <r>
      <rPr>
        <sz val="9"/>
        <color rgb="FF404050"/>
        <rFont val="Noto Sans CJK SC"/>
        <family val="2"/>
      </rPr>
      <t xml:space="preserve">公式</t>
    </r>
    <r>
      <rPr>
        <sz val="9"/>
        <color rgb="FF404050"/>
        <rFont val="微軟正黑體"/>
        <family val="0"/>
        <charset val="1"/>
      </rPr>
      <t xml:space="preserve">/</t>
    </r>
    <r>
      <rPr>
        <sz val="9"/>
        <color rgb="FF404050"/>
        <rFont val="Noto Sans CJK SC"/>
        <family val="2"/>
      </rPr>
      <t xml:space="preserve">下拉選單一路預留到</t>
    </r>
    <r>
      <rPr>
        <sz val="9"/>
        <color rgb="FF404050"/>
        <rFont val="微軟正黑體"/>
        <family val="0"/>
        <charset val="1"/>
      </rPr>
      <t xml:space="preserve">154</t>
    </r>
    <r>
      <rPr>
        <sz val="9"/>
        <color rgb="FF404050"/>
        <rFont val="Noto Sans CJK SC"/>
        <family val="2"/>
      </rPr>
      <t xml:space="preserve">列，可再新增</t>
    </r>
    <r>
      <rPr>
        <sz val="9"/>
        <color rgb="FF404050"/>
        <rFont val="微軟正黑體"/>
        <family val="0"/>
        <charset val="1"/>
      </rPr>
      <t xml:space="preserve">90</t>
    </r>
    <r>
      <rPr>
        <sz val="9"/>
        <color rgb="FF404050"/>
        <rFont val="Noto Sans CJK SC"/>
        <family val="2"/>
      </rPr>
      <t xml:space="preserve">項能力。</t>
    </r>
  </si>
  <si>
    <r>
      <rPr>
        <b val="true"/>
        <sz val="9.5"/>
        <color rgb="FF1F3864"/>
        <rFont val="微軟正黑體"/>
        <family val="0"/>
        <charset val="1"/>
      </rPr>
      <t xml:space="preserve">15_</t>
    </r>
    <r>
      <rPr>
        <b val="true"/>
        <sz val="9.5"/>
        <color rgb="FF1F3864"/>
        <rFont val="Noto Sans CJK SC"/>
        <family val="2"/>
      </rPr>
      <t xml:space="preserve">商機字典</t>
    </r>
    <r>
      <rPr>
        <b val="true"/>
        <sz val="9.5"/>
        <color rgb="FF1F3864"/>
        <rFont val="微軟正黑體"/>
        <family val="0"/>
        <charset val="1"/>
      </rPr>
      <t xml:space="preserve">_OppLibrary</t>
    </r>
  </si>
  <si>
    <r>
      <rPr>
        <sz val="9"/>
        <color rgb="FF404050"/>
        <rFont val="Noto Sans CJK SC"/>
        <family val="2"/>
      </rPr>
      <t xml:space="preserve">★ 對醫療產業不熟的夥伴請先看這頁：</t>
    </r>
    <r>
      <rPr>
        <sz val="9"/>
        <color rgb="FF404050"/>
        <rFont val="微軟正黑體"/>
        <family val="0"/>
        <charset val="1"/>
      </rPr>
      <t xml:space="preserve">85 </t>
    </r>
    <r>
      <rPr>
        <sz val="9"/>
        <color rgb="FF404050"/>
        <rFont val="Noto Sans CJK SC"/>
        <family val="2"/>
      </rPr>
      <t xml:space="preserve">種越南醫院市場可以做的生意，分成 </t>
    </r>
    <r>
      <rPr>
        <sz val="9"/>
        <color rgb="FF404050"/>
        <rFont val="微軟正黑體"/>
        <family val="0"/>
        <charset val="1"/>
      </rPr>
      <t xml:space="preserve">A~J </t>
    </r>
    <r>
      <rPr>
        <sz val="9"/>
        <color rgb="FF404050"/>
        <rFont val="Noto Sans CJK SC"/>
        <family val="2"/>
      </rPr>
      <t xml:space="preserve">十個族群（含 </t>
    </r>
    <r>
      <rPr>
        <sz val="9"/>
        <color rgb="FF404050"/>
        <rFont val="微軟正黑體"/>
        <family val="0"/>
        <charset val="1"/>
      </rPr>
      <t xml:space="preserve">17 </t>
    </r>
    <r>
      <rPr>
        <sz val="9"/>
        <color rgb="FF404050"/>
        <rFont val="Noto Sans CJK SC"/>
        <family val="2"/>
      </rPr>
      <t xml:space="preserve">種 </t>
    </r>
    <r>
      <rPr>
        <sz val="9"/>
        <color rgb="FF404050"/>
        <rFont val="微軟正黑體"/>
        <family val="0"/>
        <charset val="1"/>
      </rPr>
      <t xml:space="preserve">AI </t>
    </r>
    <r>
      <rPr>
        <sz val="9"/>
        <color rgb="FF404050"/>
        <rFont val="Noto Sans CJK SC"/>
        <family val="2"/>
      </rPr>
      <t xml:space="preserve">與智慧醫療商機），每一種都寫清楚「在賣什麼、誰付錢、大概多少錢、什麼階段切入、越南現況」。標③的表示越南幾乎沒人在做；</t>
    </r>
    <r>
      <rPr>
        <sz val="9"/>
        <color rgb="FF404050"/>
        <rFont val="微軟正黑體"/>
        <family val="0"/>
        <charset val="1"/>
      </rPr>
      <t xml:space="preserve">L </t>
    </r>
    <r>
      <rPr>
        <sz val="9"/>
        <color rgb="FF404050"/>
        <rFont val="Noto Sans CJK SC"/>
        <family val="2"/>
      </rPr>
      <t xml:space="preserve">欄「★白地商機」代表越南有這門生意但聯盟目前沒有能力接——那就是主動出擊的名單。</t>
    </r>
  </si>
  <si>
    <r>
      <rPr>
        <b val="true"/>
        <sz val="9.5"/>
        <color rgb="FF1F3864"/>
        <rFont val="微軟正黑體"/>
        <family val="0"/>
        <charset val="1"/>
      </rPr>
      <t xml:space="preserve">16_</t>
    </r>
    <r>
      <rPr>
        <b val="true"/>
        <sz val="9.5"/>
        <color rgb="FF1F3864"/>
        <rFont val="Noto Sans CJK SC"/>
        <family val="2"/>
      </rPr>
      <t xml:space="preserve">能力商機矩陣</t>
    </r>
    <r>
      <rPr>
        <b val="true"/>
        <sz val="9.5"/>
        <color rgb="FF1F3864"/>
        <rFont val="微軟正黑體"/>
        <family val="0"/>
        <charset val="1"/>
      </rPr>
      <t xml:space="preserve">_CapOppMap</t>
    </r>
  </si>
  <si>
    <r>
      <rPr>
        <sz val="9"/>
        <color rgb="FF404050"/>
        <rFont val="Noto Sans CJK SC"/>
        <family val="2"/>
      </rPr>
      <t xml:space="preserve">能力 ↔ 商機的多對多對照表（</t>
    </r>
    <r>
      <rPr>
        <sz val="9"/>
        <color rgb="FF404050"/>
        <rFont val="微軟正黑體"/>
        <family val="0"/>
        <charset val="1"/>
      </rPr>
      <t xml:space="preserve">60</t>
    </r>
    <r>
      <rPr>
        <sz val="9"/>
        <color rgb="FF404050"/>
        <rFont val="Noto Sans CJK SC"/>
        <family val="2"/>
      </rPr>
      <t xml:space="preserve">項能力 </t>
    </r>
    <r>
      <rPr>
        <sz val="9"/>
        <color rgb="FF404050"/>
        <rFont val="微軟正黑體"/>
        <family val="0"/>
        <charset val="1"/>
      </rPr>
      <t xml:space="preserve">× 85</t>
    </r>
    <r>
      <rPr>
        <sz val="9"/>
        <color rgb="FF404050"/>
        <rFont val="Noto Sans CJK SC"/>
        <family val="2"/>
      </rPr>
      <t xml:space="preserve">個商機）：一個能力可以同時屬於好幾個商機（例如 </t>
    </r>
    <r>
      <rPr>
        <sz val="9"/>
        <color rgb="FF404050"/>
        <rFont val="微軟正黑體"/>
        <family val="0"/>
        <charset val="1"/>
      </rPr>
      <t xml:space="preserve">CAP-032 </t>
    </r>
    <r>
      <rPr>
        <sz val="9"/>
        <color rgb="FF404050"/>
        <rFont val="Noto Sans CJK SC"/>
        <family val="2"/>
      </rPr>
      <t xml:space="preserve">醫療工程同時屬於 </t>
    </r>
    <r>
      <rPr>
        <sz val="9"/>
        <color rgb="FF404050"/>
        <rFont val="微軟正黑體"/>
        <family val="0"/>
        <charset val="1"/>
      </rPr>
      <t xml:space="preserve">9 </t>
    </r>
    <r>
      <rPr>
        <sz val="9"/>
        <color rgb="FF404050"/>
        <rFont val="Noto Sans CJK SC"/>
        <family val="2"/>
      </rPr>
      <t xml:space="preserve">個商機），一個商機也一定由好幾項能力組成。用打「✓」勾選，不用打字；勾完 </t>
    </r>
    <r>
      <rPr>
        <sz val="9"/>
        <color rgb="FF404050"/>
        <rFont val="微軟正黑體"/>
        <family val="0"/>
        <charset val="1"/>
      </rPr>
      <t xml:space="preserve">03 </t>
    </r>
    <r>
      <rPr>
        <sz val="9"/>
        <color rgb="FF404050"/>
        <rFont val="Noto Sans CJK SC"/>
        <family val="2"/>
      </rPr>
      <t xml:space="preserve">的 </t>
    </r>
    <r>
      <rPr>
        <sz val="9"/>
        <color rgb="FF404050"/>
        <rFont val="微軟正黑體"/>
        <family val="0"/>
        <charset val="1"/>
      </rPr>
      <t xml:space="preserve">AF </t>
    </r>
    <r>
      <rPr>
        <sz val="9"/>
        <color rgb="FF404050"/>
        <rFont val="Noto Sans CJK SC"/>
        <family val="2"/>
      </rPr>
      <t xml:space="preserve">欄、</t>
    </r>
    <r>
      <rPr>
        <sz val="9"/>
        <color rgb="FF404050"/>
        <rFont val="微軟正黑體"/>
        <family val="0"/>
        <charset val="1"/>
      </rPr>
      <t xml:space="preserve">15 </t>
    </r>
    <r>
      <rPr>
        <sz val="9"/>
        <color rgb="FF404050"/>
        <rFont val="Noto Sans CJK SC"/>
        <family val="2"/>
      </rPr>
      <t xml:space="preserve">與 </t>
    </r>
    <r>
      <rPr>
        <sz val="9"/>
        <color rgb="FF404050"/>
        <rFont val="微軟正黑體"/>
        <family val="0"/>
        <charset val="1"/>
      </rPr>
      <t xml:space="preserve">14 </t>
    </r>
    <r>
      <rPr>
        <sz val="9"/>
        <color rgb="FF404050"/>
        <rFont val="Noto Sans CJK SC"/>
        <family val="2"/>
      </rPr>
      <t xml:space="preserve">全部自動更新。欄位顏色＝商機族群。</t>
    </r>
  </si>
  <si>
    <r>
      <rPr>
        <b val="true"/>
        <sz val="9.5"/>
        <color rgb="FF1F3864"/>
        <rFont val="微軟正黑體"/>
        <family val="0"/>
        <charset val="1"/>
      </rPr>
      <t xml:space="preserve">14_</t>
    </r>
    <r>
      <rPr>
        <b val="true"/>
        <sz val="9.5"/>
        <color rgb="FF1F3864"/>
        <rFont val="Noto Sans CJK SC"/>
        <family val="2"/>
      </rPr>
      <t xml:space="preserve">商機清單</t>
    </r>
    <r>
      <rPr>
        <b val="true"/>
        <sz val="9.5"/>
        <color rgb="FF1F3864"/>
        <rFont val="微軟正黑體"/>
        <family val="0"/>
        <charset val="1"/>
      </rPr>
      <t xml:space="preserve">_Pipeline</t>
    </r>
  </si>
  <si>
    <r>
      <rPr>
        <sz val="9"/>
        <color rgb="FF404050"/>
        <rFont val="Noto Sans CJK SC"/>
        <family val="2"/>
      </rPr>
      <t xml:space="preserve">業主／老闆視角的商機管線。</t>
    </r>
    <r>
      <rPr>
        <sz val="9"/>
        <color rgb="FF404050"/>
        <rFont val="微軟正黑體"/>
        <family val="0"/>
        <charset val="1"/>
      </rPr>
      <t xml:space="preserve">A</t>
    </r>
    <r>
      <rPr>
        <sz val="9"/>
        <color rgb="FF404050"/>
        <rFont val="Noto Sans CJK SC"/>
        <family val="2"/>
      </rPr>
      <t xml:space="preserve">欄下拉選一個商機（</t>
    </r>
    <r>
      <rPr>
        <sz val="9"/>
        <color rgb="FF404050"/>
        <rFont val="微軟正黑體"/>
        <family val="0"/>
        <charset val="1"/>
      </rPr>
      <t xml:space="preserve">85</t>
    </r>
    <r>
      <rPr>
        <sz val="9"/>
        <color rgb="FF404050"/>
        <rFont val="Noto Sans CJK SC"/>
        <family val="2"/>
      </rPr>
      <t xml:space="preserve">個選項），商機名稱、族群、越南現況、涵蓋領域、對應能力數、平均價值分／準備分、缺口數、建議付費方與金額級距全部自動帶入，你只要填本案實際的商業判斷。對業主簡報請用這頁。</t>
    </r>
  </si>
  <si>
    <r>
      <rPr>
        <b val="true"/>
        <sz val="9.5"/>
        <color rgb="FF1F3864"/>
        <rFont val="微軟正黑體"/>
        <family val="0"/>
        <charset val="1"/>
      </rPr>
      <t xml:space="preserve">03 </t>
    </r>
    <r>
      <rPr>
        <b val="true"/>
        <sz val="9.5"/>
        <color rgb="FF1F3864"/>
        <rFont val="Noto Sans CJK SC"/>
        <family val="2"/>
      </rPr>
      <t xml:space="preserve">的 </t>
    </r>
    <r>
      <rPr>
        <b val="true"/>
        <sz val="9.5"/>
        <color rgb="FF1F3864"/>
        <rFont val="微軟正黑體"/>
        <family val="0"/>
        <charset val="1"/>
      </rPr>
      <t xml:space="preserve">AF </t>
    </r>
    <r>
      <rPr>
        <b val="true"/>
        <sz val="9.5"/>
        <color rgb="FF1F3864"/>
        <rFont val="Noto Sans CJK SC"/>
        <family val="2"/>
      </rPr>
      <t xml:space="preserve">欄改為自動</t>
    </r>
  </si>
  <si>
    <r>
      <rPr>
        <sz val="9"/>
        <color rgb="FF404050"/>
        <rFont val="Noto Sans CJK SC"/>
        <family val="2"/>
      </rPr>
      <t xml:space="preserve">原本要手動打 </t>
    </r>
    <r>
      <rPr>
        <sz val="9"/>
        <color rgb="FF404050"/>
        <rFont val="微軟正黑體"/>
        <family val="0"/>
        <charset val="1"/>
      </rPr>
      <t xml:space="preserve">PKG </t>
    </r>
    <r>
      <rPr>
        <sz val="9"/>
        <color rgb="FF404050"/>
        <rFont val="Noto Sans CJK SC"/>
        <family val="2"/>
      </rPr>
      <t xml:space="preserve">代號，現在改成公式，自動顯示這項能力屬於哪些商機（來源＝</t>
    </r>
    <r>
      <rPr>
        <sz val="9"/>
        <color rgb="FF404050"/>
        <rFont val="微軟正黑體"/>
        <family val="0"/>
        <charset val="1"/>
      </rPr>
      <t xml:space="preserve">16 </t>
    </r>
    <r>
      <rPr>
        <sz val="9"/>
        <color rgb="FF404050"/>
        <rFont val="Noto Sans CJK SC"/>
        <family val="2"/>
      </rPr>
      <t xml:space="preserve">能力商機矩陣的勾選）。</t>
    </r>
  </si>
  <si>
    <r>
      <rPr>
        <b val="true"/>
        <sz val="9.5"/>
        <color rgb="FF1F3864"/>
        <rFont val="微軟正黑體"/>
        <family val="0"/>
        <charset val="1"/>
      </rPr>
      <t xml:space="preserve">04 </t>
    </r>
    <r>
      <rPr>
        <b val="true"/>
        <sz val="9.5"/>
        <color rgb="FF1F3864"/>
        <rFont val="Noto Sans CJK SC"/>
        <family val="2"/>
      </rPr>
      <t xml:space="preserve">新增</t>
    </r>
    <r>
      <rPr>
        <b val="true"/>
        <sz val="9.5"/>
        <color rgb="FF1F3864"/>
        <rFont val="微軟正黑體"/>
        <family val="0"/>
        <charset val="1"/>
      </rPr>
      <t xml:space="preserve">T</t>
    </r>
    <r>
      <rPr>
        <b val="true"/>
        <sz val="9.5"/>
        <color rgb="FF1F3864"/>
        <rFont val="Noto Sans CJK SC"/>
        <family val="2"/>
      </rPr>
      <t xml:space="preserve">欄「代號＋名稱」</t>
    </r>
  </si>
  <si>
    <r>
      <rPr>
        <sz val="9"/>
        <color rgb="FF404050"/>
        <rFont val="微軟正黑體"/>
        <family val="0"/>
        <charset val="1"/>
      </rPr>
      <t xml:space="preserve">03</t>
    </r>
    <r>
      <rPr>
        <sz val="9"/>
        <color rgb="FF404050"/>
        <rFont val="Noto Sans CJK SC"/>
        <family val="2"/>
      </rPr>
      <t xml:space="preserve">候選夥伴、</t>
    </r>
    <r>
      <rPr>
        <sz val="9"/>
        <color rgb="FF404050"/>
        <rFont val="微軟正黑體"/>
        <family val="0"/>
        <charset val="1"/>
      </rPr>
      <t xml:space="preserve">12</t>
    </r>
    <r>
      <rPr>
        <sz val="9"/>
        <color rgb="FF404050"/>
        <rFont val="Noto Sans CJK SC"/>
        <family val="2"/>
      </rPr>
      <t xml:space="preserve">夥伴視角的下拉選單，現在顯示「</t>
    </r>
    <r>
      <rPr>
        <sz val="9"/>
        <color rgb="FF404050"/>
        <rFont val="微軟正黑體"/>
        <family val="0"/>
        <charset val="1"/>
      </rPr>
      <t xml:space="preserve">P-016 </t>
    </r>
    <r>
      <rPr>
        <sz val="9"/>
        <color rgb="FF404050"/>
        <rFont val="Noto Sans CJK SC"/>
        <family val="2"/>
      </rPr>
      <t xml:space="preserve">影像設備與</t>
    </r>
    <r>
      <rPr>
        <sz val="9"/>
        <color rgb="FF404050"/>
        <rFont val="微軟正黑體"/>
        <family val="0"/>
        <charset val="1"/>
      </rPr>
      <t xml:space="preserve">PACS</t>
    </r>
    <r>
      <rPr>
        <sz val="9"/>
        <color rgb="FF404050"/>
        <rFont val="Noto Sans CJK SC"/>
        <family val="2"/>
      </rPr>
      <t xml:space="preserve">整合商」而不是只顯示名稱，避免同類角色混淆。</t>
    </r>
  </si>
  <si>
    <r>
      <rPr>
        <b val="true"/>
        <sz val="9.5"/>
        <color rgb="FF1F3864"/>
        <rFont val="微軟正黑體"/>
        <family val="0"/>
        <charset val="1"/>
      </rPr>
      <t xml:space="preserve">04 </t>
    </r>
    <r>
      <rPr>
        <b val="true"/>
        <sz val="9.5"/>
        <color rgb="FF1F3864"/>
        <rFont val="Noto Sans CJK SC"/>
        <family val="2"/>
      </rPr>
      <t xml:space="preserve">新增夥伴不用手打</t>
    </r>
    <r>
      <rPr>
        <b val="true"/>
        <sz val="9.5"/>
        <color rgb="FF1F3864"/>
        <rFont val="微軟正黑體"/>
        <family val="0"/>
        <charset val="1"/>
      </rPr>
      <t xml:space="preserve">ID/</t>
    </r>
    <r>
      <rPr>
        <b val="true"/>
        <sz val="9.5"/>
        <color rgb="FF1F3864"/>
        <rFont val="Noto Sans CJK SC"/>
        <family val="2"/>
      </rPr>
      <t xml:space="preserve">領域</t>
    </r>
  </si>
  <si>
    <r>
      <rPr>
        <sz val="9"/>
        <color rgb="FF404050"/>
        <rFont val="微軟正黑體"/>
        <family val="0"/>
        <charset val="1"/>
      </rPr>
      <t xml:space="preserve">A</t>
    </r>
    <r>
      <rPr>
        <sz val="9"/>
        <color rgb="FF404050"/>
        <rFont val="Noto Sans CJK SC"/>
        <family val="2"/>
      </rPr>
      <t xml:space="preserve">欄（夥伴</t>
    </r>
    <r>
      <rPr>
        <sz val="9"/>
        <color rgb="FF404050"/>
        <rFont val="微軟正黑體"/>
        <family val="0"/>
        <charset val="1"/>
      </rPr>
      <t xml:space="preserve">ID</t>
    </r>
    <r>
      <rPr>
        <sz val="9"/>
        <color rgb="FF404050"/>
        <rFont val="Noto Sans CJK SC"/>
        <family val="2"/>
      </rPr>
      <t xml:space="preserve">）</t>
    </r>
    <r>
      <rPr>
        <sz val="9"/>
        <color rgb="FF404050"/>
        <rFont val="微軟正黑體"/>
        <family val="0"/>
        <charset val="1"/>
      </rPr>
      <t xml:space="preserve">B</t>
    </r>
    <r>
      <rPr>
        <sz val="9"/>
        <color rgb="FF404050"/>
        <rFont val="Noto Sans CJK SC"/>
        <family val="2"/>
      </rPr>
      <t xml:space="preserve">欄一填名稱就自動編號；</t>
    </r>
    <r>
      <rPr>
        <sz val="9"/>
        <color rgb="FF404050"/>
        <rFont val="微軟正黑體"/>
        <family val="0"/>
        <charset val="1"/>
      </rPr>
      <t xml:space="preserve">U-AD</t>
    </r>
    <r>
      <rPr>
        <sz val="9"/>
        <color rgb="FF404050"/>
        <rFont val="Noto Sans CJK SC"/>
        <family val="2"/>
      </rPr>
      <t xml:space="preserve">新增</t>
    </r>
    <r>
      <rPr>
        <sz val="9"/>
        <color rgb="FF404050"/>
        <rFont val="微軟正黑體"/>
        <family val="0"/>
        <charset val="1"/>
      </rPr>
      <t xml:space="preserve">10</t>
    </r>
    <r>
      <rPr>
        <sz val="9"/>
        <color rgb="FF404050"/>
        <rFont val="Noto Sans CJK SC"/>
        <family val="2"/>
      </rPr>
      <t xml:space="preserve">個</t>
    </r>
    <r>
      <rPr>
        <sz val="9"/>
        <color rgb="FF404050"/>
        <rFont val="微軟正黑體"/>
        <family val="0"/>
        <charset val="1"/>
      </rPr>
      <t xml:space="preserve">D01-D10</t>
    </r>
    <r>
      <rPr>
        <sz val="9"/>
        <color rgb="FF404050"/>
        <rFont val="Noto Sans CJK SC"/>
        <family val="2"/>
      </rPr>
      <t xml:space="preserve">勾選欄，</t>
    </r>
    <r>
      <rPr>
        <sz val="9"/>
        <color rgb="FF404050"/>
        <rFont val="微軟正黑體"/>
        <family val="0"/>
        <charset val="1"/>
      </rPr>
      <t xml:space="preserve">F</t>
    </r>
    <r>
      <rPr>
        <sz val="9"/>
        <color rgb="FF404050"/>
        <rFont val="Noto Sans CJK SC"/>
        <family val="2"/>
      </rPr>
      <t xml:space="preserve">欄（涵蓋領域）自動組成，不用打「</t>
    </r>
    <r>
      <rPr>
        <sz val="9"/>
        <color rgb="FF404050"/>
        <rFont val="微軟正黑體"/>
        <family val="0"/>
        <charset val="1"/>
      </rPr>
      <t xml:space="preserve">D01; D04</t>
    </r>
    <r>
      <rPr>
        <sz val="9"/>
        <color rgb="FF404050"/>
        <rFont val="Noto Sans CJK SC"/>
        <family val="2"/>
      </rPr>
      <t xml:space="preserve">」這種格式。</t>
    </r>
  </si>
  <si>
    <r>
      <rPr>
        <b val="true"/>
        <sz val="9.5"/>
        <color rgb="FF1F3864"/>
        <rFont val="微軟正黑體"/>
        <family val="0"/>
        <charset val="1"/>
      </rPr>
      <t xml:space="preserve">04 B</t>
    </r>
    <r>
      <rPr>
        <b val="true"/>
        <sz val="9.5"/>
        <color rgb="FF1F3864"/>
        <rFont val="Noto Sans CJK SC"/>
        <family val="2"/>
      </rPr>
      <t xml:space="preserve">欄改建議式下拉</t>
    </r>
  </si>
  <si>
    <r>
      <rPr>
        <sz val="9"/>
        <color rgb="FF404050"/>
        <rFont val="Noto Sans CJK SC"/>
        <family val="2"/>
      </rPr>
      <t xml:space="preserve">有已知夥伴</t>
    </r>
    <r>
      <rPr>
        <sz val="9"/>
        <color rgb="FF404050"/>
        <rFont val="微軟正黑體"/>
        <family val="0"/>
        <charset val="1"/>
      </rPr>
      <t xml:space="preserve">/</t>
    </r>
    <r>
      <rPr>
        <sz val="9"/>
        <color rgb="FF404050"/>
        <rFont val="Noto Sans CJK SC"/>
        <family val="2"/>
      </rPr>
      <t xml:space="preserve">候選角色清單可選（</t>
    </r>
    <r>
      <rPr>
        <sz val="9"/>
        <color rgb="FF404050"/>
        <rFont val="微軟正黑體"/>
        <family val="0"/>
        <charset val="1"/>
      </rPr>
      <t xml:space="preserve">98</t>
    </r>
    <r>
      <rPr>
        <sz val="9"/>
        <color rgb="FF404050"/>
        <rFont val="Noto Sans CJK SC"/>
        <family val="2"/>
      </rPr>
      <t xml:space="preserve">分頁</t>
    </r>
    <r>
      <rPr>
        <sz val="9"/>
        <color rgb="FF404050"/>
        <rFont val="微軟正黑體"/>
        <family val="0"/>
        <charset val="1"/>
      </rPr>
      <t xml:space="preserve">L_PartnerCand</t>
    </r>
    <r>
      <rPr>
        <sz val="9"/>
        <color rgb="FF404050"/>
        <rFont val="Noto Sans CJK SC"/>
        <family val="2"/>
      </rPr>
      <t xml:space="preserve">維護），但仍可直接打字輸入全新公司名稱，不會被擋下。</t>
    </r>
  </si>
  <si>
    <r>
      <rPr>
        <b val="true"/>
        <sz val="9.5"/>
        <color rgb="FF1F3864"/>
        <rFont val="Noto Sans CJK SC"/>
        <family val="2"/>
      </rPr>
      <t xml:space="preserve">儀表板</t>
    </r>
    <r>
      <rPr>
        <b val="true"/>
        <sz val="9.5"/>
        <color rgb="FF1F3864"/>
        <rFont val="微軟正黑體"/>
        <family val="0"/>
        <charset val="1"/>
      </rPr>
      <t xml:space="preserve">_Dashboard</t>
    </r>
  </si>
  <si>
    <r>
      <rPr>
        <sz val="9"/>
        <color rgb="FF404050"/>
        <rFont val="Noto Sans CJK SC"/>
        <family val="2"/>
      </rPr>
      <t xml:space="preserve">新分頁：四張圖（商機族群分佈</t>
    </r>
    <r>
      <rPr>
        <sz val="9"/>
        <color rgb="FF404050"/>
        <rFont val="微軟正黑體"/>
        <family val="0"/>
        <charset val="1"/>
      </rPr>
      <t xml:space="preserve">/</t>
    </r>
    <r>
      <rPr>
        <sz val="9"/>
        <color rgb="FF404050"/>
        <rFont val="Noto Sans CJK SC"/>
        <family val="2"/>
      </rPr>
      <t xml:space="preserve">越南現況</t>
    </r>
    <r>
      <rPr>
        <sz val="9"/>
        <color rgb="FF404050"/>
        <rFont val="微軟正黑體"/>
        <family val="0"/>
        <charset val="1"/>
      </rPr>
      <t xml:space="preserve">/</t>
    </r>
    <r>
      <rPr>
        <sz val="9"/>
        <color rgb="FF404050"/>
        <rFont val="Noto Sans CJK SC"/>
        <family val="2"/>
      </rPr>
      <t xml:space="preserve">各領域缺口</t>
    </r>
    <r>
      <rPr>
        <sz val="9"/>
        <color rgb="FF404050"/>
        <rFont val="微軟正黑體"/>
        <family val="0"/>
        <charset val="1"/>
      </rPr>
      <t xml:space="preserve">/</t>
    </r>
    <r>
      <rPr>
        <sz val="9"/>
        <color rgb="FF404050"/>
        <rFont val="Noto Sans CJK SC"/>
        <family val="2"/>
      </rPr>
      <t xml:space="preserve">管線階段）＋六個數字卡，全公式連動，開會先投影這頁。</t>
    </r>
  </si>
  <si>
    <t xml:space="preserve">全分頁防呆保護</t>
  </si>
  <si>
    <r>
      <rPr>
        <sz val="9"/>
        <color rgb="FF404050"/>
        <rFont val="Noto Sans CJK SC"/>
        <family val="2"/>
      </rPr>
      <t xml:space="preserve">黃格</t>
    </r>
    <r>
      <rPr>
        <sz val="9"/>
        <color rgb="FF404050"/>
        <rFont val="微軟正黑體"/>
        <family val="0"/>
        <charset val="1"/>
      </rPr>
      <t xml:space="preserve">/✓</t>
    </r>
    <r>
      <rPr>
        <sz val="9"/>
        <color rgb="FF404050"/>
        <rFont val="Noto Sans CJK SC"/>
        <family val="2"/>
      </rPr>
      <t xml:space="preserve">格照常輸入、篩選照常用，但公式格改不動（無密碼，校閱→取消保護即可解除）。排序需先解除保護；插入</t>
    </r>
    <r>
      <rPr>
        <sz val="9"/>
        <color rgb="FF404050"/>
        <rFont val="微軟正黑體"/>
        <family val="0"/>
        <charset val="1"/>
      </rPr>
      <t xml:space="preserve">/</t>
    </r>
    <r>
      <rPr>
        <sz val="9"/>
        <color rgb="FF404050"/>
        <rFont val="Noto Sans CJK SC"/>
        <family val="2"/>
      </rPr>
      <t xml:space="preserve">刪除列已鎖定（保護</t>
    </r>
    <r>
      <rPr>
        <sz val="9"/>
        <color rgb="FF404050"/>
        <rFont val="微軟正黑體"/>
        <family val="0"/>
        <charset val="1"/>
      </rPr>
      <t xml:space="preserve">03↔16</t>
    </r>
    <r>
      <rPr>
        <sz val="9"/>
        <color rgb="FF404050"/>
        <rFont val="Noto Sans CJK SC"/>
        <family val="2"/>
      </rPr>
      <t xml:space="preserve">、</t>
    </r>
    <r>
      <rPr>
        <sz val="9"/>
        <color rgb="FF404050"/>
        <rFont val="微軟正黑體"/>
        <family val="0"/>
        <charset val="1"/>
      </rPr>
      <t xml:space="preserve">15↔16</t>
    </r>
    <r>
      <rPr>
        <sz val="9"/>
        <color rgb="FF404050"/>
        <rFont val="Noto Sans CJK SC"/>
        <family val="2"/>
      </rPr>
      <t xml:space="preserve">的逐列對齊）。</t>
    </r>
    <r>
      <rPr>
        <sz val="9"/>
        <color rgb="FF404050"/>
        <rFont val="微軟正黑體"/>
        <family val="0"/>
        <charset val="1"/>
      </rPr>
      <t xml:space="preserve">10</t>
    </r>
    <r>
      <rPr>
        <sz val="9"/>
        <color rgb="FF404050"/>
        <rFont val="Noto Sans CJK SC"/>
        <family val="2"/>
      </rPr>
      <t xml:space="preserve">決策紀錄為自由書寫區不上鎖。</t>
    </r>
  </si>
  <si>
    <t xml:space="preserve">導覽與列印</t>
  </si>
  <si>
    <r>
      <rPr>
        <sz val="9"/>
        <color rgb="FF404050"/>
        <rFont val="Noto Sans CJK SC"/>
        <family val="2"/>
      </rPr>
      <t xml:space="preserve">每頁左上有「⌂回使用說明」；列印自帶重複表頭；</t>
    </r>
    <r>
      <rPr>
        <sz val="9"/>
        <color rgb="FF404050"/>
        <rFont val="微軟正黑體"/>
        <family val="0"/>
        <charset val="1"/>
      </rPr>
      <t xml:space="preserve">16</t>
    </r>
    <r>
      <rPr>
        <sz val="9"/>
        <color rgb="FF404050"/>
        <rFont val="Noto Sans CJK SC"/>
        <family val="2"/>
      </rPr>
      <t xml:space="preserve">矩陣預設只印左側能力清單。</t>
    </r>
    <r>
      <rPr>
        <sz val="9"/>
        <color rgb="FF404050"/>
        <rFont val="微軟正黑體"/>
        <family val="0"/>
        <charset val="1"/>
      </rPr>
      <t xml:space="preserve">03</t>
    </r>
    <r>
      <rPr>
        <sz val="9"/>
        <color rgb="FF404050"/>
        <rFont val="Noto Sans CJK SC"/>
        <family val="2"/>
      </rPr>
      <t xml:space="preserve">的</t>
    </r>
    <r>
      <rPr>
        <sz val="9"/>
        <color rgb="FF404050"/>
        <rFont val="微軟正黑體"/>
        <family val="0"/>
        <charset val="1"/>
      </rPr>
      <t xml:space="preserve">X-AE</t>
    </r>
    <r>
      <rPr>
        <sz val="9"/>
        <color rgb="FF404050"/>
        <rFont val="Noto Sans CJK SC"/>
        <family val="2"/>
      </rPr>
      <t xml:space="preserve">欄摺疊，按上方「＋」展開。</t>
    </r>
  </si>
  <si>
    <t xml:space="preserve">自動清單超量警示</t>
  </si>
  <si>
    <r>
      <rPr>
        <sz val="9"/>
        <color rgb="FF404050"/>
        <rFont val="微軟正黑體"/>
        <family val="0"/>
        <charset val="1"/>
      </rPr>
      <t xml:space="preserve">11/12/13</t>
    </r>
    <r>
      <rPr>
        <sz val="9"/>
        <color rgb="FF404050"/>
        <rFont val="Noto Sans CJK SC"/>
        <family val="2"/>
      </rPr>
      <t xml:space="preserve">的清單各有顯示上限（</t>
    </r>
    <r>
      <rPr>
        <sz val="9"/>
        <color rgb="FF404050"/>
        <rFont val="微軟正黑體"/>
        <family val="0"/>
        <charset val="1"/>
      </rPr>
      <t xml:space="preserve">30/30/8-10</t>
    </r>
    <r>
      <rPr>
        <sz val="9"/>
        <color rgb="FF404050"/>
        <rFont val="Noto Sans CJK SC"/>
        <family val="2"/>
      </rPr>
      <t xml:space="preserve">筆），超過會出現紅字提醒，不會無聲截斷。</t>
    </r>
  </si>
  <si>
    <r>
      <rPr>
        <b val="true"/>
        <sz val="9.5"/>
        <color rgb="FF1F3864"/>
        <rFont val="微軟正黑體"/>
        <family val="0"/>
        <charset val="1"/>
      </rPr>
      <t xml:space="preserve">17_</t>
    </r>
    <r>
      <rPr>
        <b val="true"/>
        <sz val="9.5"/>
        <color rgb="FF1F3864"/>
        <rFont val="Noto Sans CJK SC"/>
        <family val="2"/>
      </rPr>
      <t xml:space="preserve">商機作戰卡</t>
    </r>
    <r>
      <rPr>
        <b val="true"/>
        <sz val="9.5"/>
        <color rgb="FF1F3864"/>
        <rFont val="微軟正黑體"/>
        <family val="0"/>
        <charset val="1"/>
      </rPr>
      <t xml:space="preserve">_OppView</t>
    </r>
  </si>
  <si>
    <r>
      <rPr>
        <sz val="9"/>
        <color rgb="FF404050"/>
        <rFont val="Noto Sans CJK SC"/>
        <family val="2"/>
      </rPr>
      <t xml:space="preserve">★ 推展核心：選一個商機，自動組出作戰卡——需要哪些能力、誰在做誰還缺、對手是誰、憑什麼贏、卡哪些門檻。與</t>
    </r>
    <r>
      <rPr>
        <sz val="9"/>
        <color rgb="FF404050"/>
        <rFont val="微軟正黑體"/>
        <family val="0"/>
        <charset val="1"/>
      </rPr>
      <t xml:space="preserve">12</t>
    </r>
    <r>
      <rPr>
        <sz val="9"/>
        <color rgb="FF404050"/>
        <rFont val="Noto Sans CJK SC"/>
        <family val="2"/>
      </rPr>
      <t xml:space="preserve">夥伴視角成對：</t>
    </r>
    <r>
      <rPr>
        <sz val="9"/>
        <color rgb="FF404050"/>
        <rFont val="微軟正黑體"/>
        <family val="0"/>
        <charset val="1"/>
      </rPr>
      <t xml:space="preserve">12</t>
    </r>
    <r>
      <rPr>
        <sz val="9"/>
        <color rgb="FF404050"/>
        <rFont val="Noto Sans CJK SC"/>
        <family val="2"/>
      </rPr>
      <t xml:space="preserve">講「這個夥伴做什麼」，</t>
    </r>
    <r>
      <rPr>
        <sz val="9"/>
        <color rgb="FF404050"/>
        <rFont val="微軟正黑體"/>
        <family val="0"/>
        <charset val="1"/>
      </rPr>
      <t xml:space="preserve">17</t>
    </r>
    <r>
      <rPr>
        <sz val="9"/>
        <color rgb="FF404050"/>
        <rFont val="Noto Sans CJK SC"/>
        <family val="2"/>
      </rPr>
      <t xml:space="preserve">講「這個商機怎麼打」。</t>
    </r>
  </si>
  <si>
    <r>
      <rPr>
        <b val="true"/>
        <sz val="9.5"/>
        <color rgb="FF1F3864"/>
        <rFont val="微軟正黑體"/>
        <family val="0"/>
        <charset val="1"/>
      </rPr>
      <t xml:space="preserve">15 </t>
    </r>
    <r>
      <rPr>
        <b val="true"/>
        <sz val="9.5"/>
        <color rgb="FF1F3864"/>
        <rFont val="Noto Sans CJK SC"/>
        <family val="2"/>
      </rPr>
      <t xml:space="preserve">攻擊優先分與順位</t>
    </r>
  </si>
  <si>
    <r>
      <rPr>
        <sz val="9"/>
        <color rgb="FF404050"/>
        <rFont val="微軟正黑體"/>
        <family val="0"/>
        <charset val="1"/>
      </rPr>
      <t xml:space="preserve">Y/Z</t>
    </r>
    <r>
      <rPr>
        <sz val="9"/>
        <color rgb="FF404050"/>
        <rFont val="Noto Sans CJK SC"/>
        <family val="2"/>
      </rPr>
      <t xml:space="preserve">欄自動算</t>
    </r>
    <r>
      <rPr>
        <sz val="9"/>
        <color rgb="FF404050"/>
        <rFont val="微軟正黑體"/>
        <family val="0"/>
        <charset val="1"/>
      </rPr>
      <t xml:space="preserve">85</t>
    </r>
    <r>
      <rPr>
        <sz val="9"/>
        <color rgb="FF404050"/>
        <rFont val="Noto Sans CJK SC"/>
        <family val="2"/>
      </rPr>
      <t xml:space="preserve">個商機的攻擊順位（價值</t>
    </r>
    <r>
      <rPr>
        <sz val="9"/>
        <color rgb="FF404050"/>
        <rFont val="微軟正黑體"/>
        <family val="0"/>
        <charset val="1"/>
      </rPr>
      <t xml:space="preserve">×</t>
    </r>
    <r>
      <rPr>
        <sz val="9"/>
        <color rgb="FF404050"/>
        <rFont val="Noto Sans CJK SC"/>
        <family val="2"/>
      </rPr>
      <t xml:space="preserve">準備</t>
    </r>
    <r>
      <rPr>
        <sz val="9"/>
        <color rgb="FF404050"/>
        <rFont val="微軟正黑體"/>
        <family val="0"/>
        <charset val="1"/>
      </rPr>
      <t xml:space="preserve">×</t>
    </r>
    <r>
      <rPr>
        <sz val="9"/>
        <color rgb="FF404050"/>
        <rFont val="Noto Sans CJK SC"/>
        <family val="2"/>
      </rPr>
      <t xml:space="preserve">越南現況－缺口扣分），前</t>
    </r>
    <r>
      <rPr>
        <sz val="9"/>
        <color rgb="FF404050"/>
        <rFont val="微軟正黑體"/>
        <family val="0"/>
        <charset val="1"/>
      </rPr>
      <t xml:space="preserve">10</t>
    </r>
    <r>
      <rPr>
        <sz val="9"/>
        <color rgb="FF404050"/>
        <rFont val="Noto Sans CJK SC"/>
        <family val="2"/>
      </rPr>
      <t xml:space="preserve">名綠底；儀表板有</t>
    </r>
    <r>
      <rPr>
        <sz val="9"/>
        <color rgb="FF404050"/>
        <rFont val="微軟正黑體"/>
        <family val="0"/>
        <charset val="1"/>
      </rPr>
      <t xml:space="preserve">Top 10</t>
    </r>
    <r>
      <rPr>
        <sz val="9"/>
        <color rgb="FF404050"/>
        <rFont val="Noto Sans CJK SC"/>
        <family val="2"/>
      </rPr>
      <t xml:space="preserve">表。</t>
    </r>
  </si>
  <si>
    <r>
      <rPr>
        <b val="true"/>
        <sz val="9.5"/>
        <color rgb="FF1F3864"/>
        <rFont val="微軟正黑體"/>
        <family val="0"/>
        <charset val="1"/>
      </rPr>
      <t xml:space="preserve">11 </t>
    </r>
    <r>
      <rPr>
        <b val="true"/>
        <sz val="9.5"/>
        <color rgb="FF1F3864"/>
        <rFont val="Noto Sans CJK SC"/>
        <family val="2"/>
      </rPr>
      <t xml:space="preserve">牽動商機數</t>
    </r>
  </si>
  <si>
    <r>
      <rPr>
        <sz val="9"/>
        <color rgb="FF404050"/>
        <rFont val="Noto Sans CJK SC"/>
        <family val="2"/>
      </rPr>
      <t xml:space="preserve">每個缺口能力自動算牽動幾個商機（≥</t>
    </r>
    <r>
      <rPr>
        <sz val="9"/>
        <color rgb="FF404050"/>
        <rFont val="微軟正黑體"/>
        <family val="0"/>
        <charset val="1"/>
      </rPr>
      <t xml:space="preserve">3</t>
    </r>
    <r>
      <rPr>
        <sz val="9"/>
        <color rgb="FF404050"/>
        <rFont val="Noto Sans CJK SC"/>
        <family val="2"/>
      </rPr>
      <t xml:space="preserve">紅底）——招募夥伴的先後從此有依據。</t>
    </r>
  </si>
  <si>
    <t xml:space="preserve">另外三個檔案</t>
  </si>
  <si>
    <r>
      <rPr>
        <sz val="9"/>
        <color rgb="FF404050"/>
        <rFont val="微軟正黑體"/>
        <family val="0"/>
        <charset val="1"/>
      </rPr>
      <t xml:space="preserve">VMH-EcoMap-2 </t>
    </r>
    <r>
      <rPr>
        <sz val="9"/>
        <color rgb="FF404050"/>
        <rFont val="Noto Sans CJK SC"/>
        <family val="2"/>
      </rPr>
      <t xml:space="preserve">專案商模試算器（單一子專案 </t>
    </r>
    <r>
      <rPr>
        <sz val="9"/>
        <color rgb="FF404050"/>
        <rFont val="微軟正黑體"/>
        <family val="0"/>
        <charset val="1"/>
      </rPr>
      <t xml:space="preserve">NPV/IRR/</t>
    </r>
    <r>
      <rPr>
        <sz val="9"/>
        <color rgb="FF404050"/>
        <rFont val="Noto Sans CJK SC"/>
        <family val="2"/>
      </rPr>
      <t xml:space="preserve">回收期）、</t>
    </r>
    <r>
      <rPr>
        <sz val="9"/>
        <color rgb="FF404050"/>
        <rFont val="微軟正黑體"/>
        <family val="0"/>
        <charset val="1"/>
      </rPr>
      <t xml:space="preserve">VMH-EcoMap-3 </t>
    </r>
    <r>
      <rPr>
        <sz val="9"/>
        <color rgb="FF404050"/>
        <rFont val="Noto Sans CJK SC"/>
        <family val="2"/>
      </rPr>
      <t xml:space="preserve">夥伴提案回覆表（發給夥伴填）、</t>
    </r>
    <r>
      <rPr>
        <sz val="9"/>
        <color rgb="FF404050"/>
        <rFont val="微軟正黑體"/>
        <family val="0"/>
        <charset val="1"/>
      </rPr>
      <t xml:space="preserve">VMH-EcoMap-4 </t>
    </r>
    <r>
      <rPr>
        <sz val="9"/>
        <color rgb="FF404050"/>
        <rFont val="Noto Sans CJK SC"/>
        <family val="2"/>
      </rPr>
      <t xml:space="preserve">使用手冊（</t>
    </r>
    <r>
      <rPr>
        <sz val="9"/>
        <color rgb="FF404050"/>
        <rFont val="微軟正黑體"/>
        <family val="0"/>
        <charset val="1"/>
      </rPr>
      <t xml:space="preserve">Word</t>
    </r>
    <r>
      <rPr>
        <sz val="9"/>
        <color rgb="FF404050"/>
        <rFont val="Noto Sans CJK SC"/>
        <family val="2"/>
      </rPr>
      <t xml:space="preserve">）。</t>
    </r>
  </si>
  <si>
    <t xml:space="preserve">▸ 儀表板_Dashboard</t>
  </si>
  <si>
    <t xml:space="preserve">▸ 17_商機作戰卡_OppView</t>
  </si>
  <si>
    <t xml:space="preserve">▸ 11_缺口招募_GapRFI</t>
  </si>
  <si>
    <t xml:space="preserve">▸ 12_夥伴視角_PartnerView</t>
  </si>
  <si>
    <t xml:space="preserve">▸ 13_待辦看板_Actions</t>
  </si>
  <si>
    <t xml:space="preserve">▸ 14_商機清單_Pipeline</t>
  </si>
  <si>
    <t xml:space="preserve">附圖：20 分頁關聯圖（箭頭＝資料流向；被指到的分頁是自動算的，詳見使用手冊）</t>
  </si>
  <si>
    <t xml:space="preserve">▸ 16_能力商機矩陣_CapOppMap</t>
  </si>
  <si>
    <t xml:space="preserve">▸ 98_選單維護_Lists</t>
  </si>
  <si>
    <r>
      <rPr>
        <b val="true"/>
        <sz val="15"/>
        <color rgb="FFFFFFFF"/>
        <rFont val="微軟正黑體"/>
        <family val="0"/>
        <charset val="1"/>
      </rPr>
      <t xml:space="preserve">01 </t>
    </r>
    <r>
      <rPr>
        <b val="true"/>
        <sz val="15"/>
        <color rgb="FFFFFFFF"/>
        <rFont val="Noto Sans CJK SC"/>
        <family val="2"/>
      </rPr>
      <t xml:space="preserve">總藍圖★｜</t>
    </r>
    <r>
      <rPr>
        <b val="true"/>
        <sz val="15"/>
        <color rgb="FFFFFFFF"/>
        <rFont val="微軟正黑體"/>
        <family val="0"/>
        <charset val="1"/>
      </rPr>
      <t xml:space="preserve">VMH-EcoMap </t>
    </r>
    <r>
      <rPr>
        <b val="true"/>
        <sz val="15"/>
        <color rgb="FFFFFFFF"/>
        <rFont val="Noto Sans CJK SC"/>
        <family val="2"/>
      </rPr>
      <t xml:space="preserve">三軸決策藍圖（越南醫院生意的整體拼圖）</t>
    </r>
  </si>
  <si>
    <r>
      <rPr>
        <i val="true"/>
        <sz val="9.5"/>
        <color rgb="FF404040"/>
        <rFont val="Noto Sans CJK SC"/>
        <family val="2"/>
      </rPr>
      <t xml:space="preserve">❓ 這頁在回答：哪裡有缺口？哪一關卡住了？　　▸ 三軸式顧問工具：</t>
    </r>
    <r>
      <rPr>
        <i val="true"/>
        <sz val="9.5"/>
        <color rgb="FF404040"/>
        <rFont val="微軟正黑體"/>
        <family val="0"/>
        <charset val="1"/>
      </rPr>
      <t xml:space="preserve">Y</t>
    </r>
    <r>
      <rPr>
        <i val="true"/>
        <sz val="9.5"/>
        <color rgb="FF404040"/>
        <rFont val="Noto Sans CJK SC"/>
        <family val="2"/>
      </rPr>
      <t xml:space="preserve">軸＝</t>
    </r>
    <r>
      <rPr>
        <i val="true"/>
        <sz val="9.5"/>
        <color rgb="FF404040"/>
        <rFont val="微軟正黑體"/>
        <family val="0"/>
        <charset val="1"/>
      </rPr>
      <t xml:space="preserve">C</t>
    </r>
    <r>
      <rPr>
        <i val="true"/>
        <sz val="9.5"/>
        <color rgb="FF404040"/>
        <rFont val="Noto Sans CJK SC"/>
        <family val="2"/>
      </rPr>
      <t xml:space="preserve">生態能力模組（能做什麼</t>
    </r>
    <r>
      <rPr>
        <i val="true"/>
        <sz val="9.5"/>
        <color rgb="FF404040"/>
        <rFont val="微軟正黑體"/>
        <family val="0"/>
        <charset val="1"/>
      </rPr>
      <t xml:space="preserve">/</t>
    </r>
    <r>
      <rPr>
        <i val="true"/>
        <sz val="9.5"/>
        <color rgb="FF404040"/>
        <rFont val="Noto Sans CJK SC"/>
        <family val="2"/>
      </rPr>
      <t xml:space="preserve">缺什麼</t>
    </r>
    <r>
      <rPr>
        <i val="true"/>
        <sz val="9.5"/>
        <color rgb="FF404040"/>
        <rFont val="微軟正黑體"/>
        <family val="0"/>
        <charset val="1"/>
      </rPr>
      <t xml:space="preserve">/</t>
    </r>
    <r>
      <rPr>
        <i val="true"/>
        <sz val="9.5"/>
        <color rgb="FF404040"/>
        <rFont val="Noto Sans CJK SC"/>
        <family val="2"/>
      </rPr>
      <t xml:space="preserve">誰能做）；</t>
    </r>
    <r>
      <rPr>
        <i val="true"/>
        <sz val="9.5"/>
        <color rgb="FF404040"/>
        <rFont val="微軟正黑體"/>
        <family val="0"/>
        <charset val="1"/>
      </rPr>
      <t xml:space="preserve">X</t>
    </r>
    <r>
      <rPr>
        <i val="true"/>
        <sz val="9.5"/>
        <color rgb="FF404040"/>
        <rFont val="Noto Sans CJK SC"/>
        <family val="2"/>
      </rPr>
      <t xml:space="preserve">軸＝</t>
    </r>
    <r>
      <rPr>
        <i val="true"/>
        <sz val="9.5"/>
        <color rgb="FF404040"/>
        <rFont val="微軟正黑體"/>
        <family val="0"/>
        <charset val="1"/>
      </rPr>
      <t xml:space="preserve">A</t>
    </r>
    <r>
      <rPr>
        <i val="true"/>
        <sz val="9.5"/>
        <color rgb="FF404040"/>
        <rFont val="Noto Sans CJK SC"/>
        <family val="2"/>
      </rPr>
      <t xml:space="preserve">導入階段（先後順序</t>
    </r>
    <r>
      <rPr>
        <i val="true"/>
        <sz val="9.5"/>
        <color rgb="FF404040"/>
        <rFont val="微軟正黑體"/>
        <family val="0"/>
        <charset val="1"/>
      </rPr>
      <t xml:space="preserve">/</t>
    </r>
    <r>
      <rPr>
        <i val="true"/>
        <sz val="9.5"/>
        <color rgb="FF404040"/>
        <rFont val="Noto Sans CJK SC"/>
        <family val="2"/>
      </rPr>
      <t xml:space="preserve">何時做）；每階段上方之「法規門檻列」＝</t>
    </r>
    <r>
      <rPr>
        <i val="true"/>
        <sz val="9.5"/>
        <color rgb="FF404040"/>
        <rFont val="微軟正黑體"/>
        <family val="0"/>
        <charset val="1"/>
      </rPr>
      <t xml:space="preserve">B</t>
    </r>
    <r>
      <rPr>
        <i val="true"/>
        <sz val="9.5"/>
        <color rgb="FF404040"/>
        <rFont val="Noto Sans CJK SC"/>
        <family val="2"/>
      </rPr>
      <t xml:space="preserve">越南法規＋國際標準（做到什麼程度才合格）。明細與狀態以 </t>
    </r>
    <r>
      <rPr>
        <i val="true"/>
        <sz val="9.5"/>
        <color rgb="FF404040"/>
        <rFont val="微軟正黑體"/>
        <family val="0"/>
        <charset val="1"/>
      </rPr>
      <t xml:space="preserve">03</t>
    </r>
    <r>
      <rPr>
        <i val="true"/>
        <sz val="9.5"/>
        <color rgb="FF404040"/>
        <rFont val="Noto Sans CJK SC"/>
        <family val="2"/>
      </rPr>
      <t xml:space="preserve">能力總表 為準，此頁自動彙總。</t>
    </r>
  </si>
  <si>
    <t xml:space="preserve">聯盟拼圖
總覽</t>
  </si>
  <si>
    <t xml:space="preserve">● 群晶主導</t>
  </si>
  <si>
    <t xml:space="preserve">◆ 夥伴已確認</t>
  </si>
  <si>
    <t xml:space="preserve">◐ 夥伴洽談中</t>
  </si>
  <si>
    <r>
      <rPr>
        <b val="true"/>
        <sz val="9"/>
        <color rgb="FFC00000"/>
        <rFont val="Noto Sans CJK SC"/>
        <family val="2"/>
      </rPr>
      <t xml:space="preserve">○ 缺口</t>
    </r>
    <r>
      <rPr>
        <b val="true"/>
        <sz val="9"/>
        <color rgb="FFC00000"/>
        <rFont val="微軟正黑體"/>
        <family val="0"/>
        <charset val="1"/>
      </rPr>
      <t xml:space="preserve">-</t>
    </r>
    <r>
      <rPr>
        <b val="true"/>
        <sz val="9"/>
        <color rgb="FFC00000"/>
        <rFont val="Noto Sans CJK SC"/>
        <family val="2"/>
      </rPr>
      <t xml:space="preserve">待尋找</t>
    </r>
  </si>
  <si>
    <t xml:space="preserve">強制法規未確認</t>
  </si>
  <si>
    <r>
      <rPr>
        <b val="true"/>
        <sz val="9.5"/>
        <color rgb="FFFFFFFF"/>
        <rFont val="微軟正黑體"/>
        <family val="0"/>
        <charset val="1"/>
      </rPr>
      <t xml:space="preserve">Y</t>
    </r>
    <r>
      <rPr>
        <b val="true"/>
        <sz val="9.5"/>
        <color rgb="FFFFFFFF"/>
        <rFont val="Noto Sans CJK SC"/>
        <family val="2"/>
      </rPr>
      <t xml:space="preserve">軸＝</t>
    </r>
    <r>
      <rPr>
        <b val="true"/>
        <sz val="9.5"/>
        <color rgb="FFFFFFFF"/>
        <rFont val="微軟正黑體"/>
        <family val="0"/>
        <charset val="1"/>
      </rPr>
      <t xml:space="preserve">C </t>
    </r>
    <r>
      <rPr>
        <b val="true"/>
        <sz val="9.5"/>
        <color rgb="FFFFFFFF"/>
        <rFont val="Noto Sans CJK SC"/>
        <family val="2"/>
      </rPr>
      <t xml:space="preserve">能力模組 ↓</t>
    </r>
  </si>
  <si>
    <r>
      <rPr>
        <b val="true"/>
        <sz val="9.5"/>
        <color rgb="FFFFFFFF"/>
        <rFont val="微軟正黑體"/>
        <family val="0"/>
        <charset val="1"/>
      </rPr>
      <t xml:space="preserve">G0 </t>
    </r>
    <r>
      <rPr>
        <b val="true"/>
        <sz val="9.5"/>
        <color rgb="FFFFFFFF"/>
        <rFont val="Noto Sans CJK SC"/>
        <family val="2"/>
      </rPr>
      <t xml:space="preserve">授權啟動
</t>
    </r>
    <r>
      <rPr>
        <b val="true"/>
        <sz val="9.5"/>
        <color rgb="FFFFFFFF"/>
        <rFont val="微軟正黑體"/>
        <family val="0"/>
        <charset val="1"/>
      </rPr>
      <t xml:space="preserve">M1-2</t>
    </r>
    <r>
      <rPr>
        <b val="true"/>
        <sz val="9.5"/>
        <color rgb="FFFFFFFF"/>
        <rFont val="Noto Sans CJK SC"/>
        <family val="2"/>
      </rPr>
      <t xml:space="preserve">（示意）</t>
    </r>
  </si>
  <si>
    <r>
      <rPr>
        <b val="true"/>
        <sz val="9.5"/>
        <color rgb="FFFFFFFF"/>
        <rFont val="微軟正黑體"/>
        <family val="0"/>
        <charset val="1"/>
      </rPr>
      <t xml:space="preserve">G1 </t>
    </r>
    <r>
      <rPr>
        <b val="true"/>
        <sz val="9.5"/>
        <color rgb="FFFFFFFF"/>
        <rFont val="Noto Sans CJK SC"/>
        <family val="2"/>
      </rPr>
      <t xml:space="preserve">評估定義
</t>
    </r>
    <r>
      <rPr>
        <b val="true"/>
        <sz val="9.5"/>
        <color rgb="FFFFFFFF"/>
        <rFont val="微軟正黑體"/>
        <family val="0"/>
        <charset val="1"/>
      </rPr>
      <t xml:space="preserve">M2-6</t>
    </r>
    <r>
      <rPr>
        <b val="true"/>
        <sz val="9.5"/>
        <color rgb="FFFFFFFF"/>
        <rFont val="Noto Sans CJK SC"/>
        <family val="2"/>
      </rPr>
      <t xml:space="preserve">（示意）</t>
    </r>
  </si>
  <si>
    <r>
      <rPr>
        <b val="true"/>
        <sz val="9.5"/>
        <color rgb="FFFFFFFF"/>
        <rFont val="微軟正黑體"/>
        <family val="0"/>
        <charset val="1"/>
      </rPr>
      <t xml:space="preserve">G2 </t>
    </r>
    <r>
      <rPr>
        <b val="true"/>
        <sz val="9.5"/>
        <color rgb="FFFFFFFF"/>
        <rFont val="Noto Sans CJK SC"/>
        <family val="2"/>
      </rPr>
      <t xml:space="preserve">規劃設計
</t>
    </r>
    <r>
      <rPr>
        <b val="true"/>
        <sz val="9.5"/>
        <color rgb="FFFFFFFF"/>
        <rFont val="微軟正黑體"/>
        <family val="0"/>
        <charset val="1"/>
      </rPr>
      <t xml:space="preserve">M6-14</t>
    </r>
    <r>
      <rPr>
        <b val="true"/>
        <sz val="9.5"/>
        <color rgb="FFFFFFFF"/>
        <rFont val="Noto Sans CJK SC"/>
        <family val="2"/>
      </rPr>
      <t xml:space="preserve">（示意）</t>
    </r>
  </si>
  <si>
    <r>
      <rPr>
        <b val="true"/>
        <sz val="9.5"/>
        <color rgb="FFFFFFFF"/>
        <rFont val="微軟正黑體"/>
        <family val="0"/>
        <charset val="1"/>
      </rPr>
      <t xml:space="preserve">G3 </t>
    </r>
    <r>
      <rPr>
        <b val="true"/>
        <sz val="9.5"/>
        <color rgb="FFFFFFFF"/>
        <rFont val="Noto Sans CJK SC"/>
        <family val="2"/>
      </rPr>
      <t xml:space="preserve">深化採購
</t>
    </r>
    <r>
      <rPr>
        <b val="true"/>
        <sz val="9.5"/>
        <color rgb="FFFFFFFF"/>
        <rFont val="微軟正黑體"/>
        <family val="0"/>
        <charset val="1"/>
      </rPr>
      <t xml:space="preserve">M12-20</t>
    </r>
    <r>
      <rPr>
        <b val="true"/>
        <sz val="9.5"/>
        <color rgb="FFFFFFFF"/>
        <rFont val="Noto Sans CJK SC"/>
        <family val="2"/>
      </rPr>
      <t xml:space="preserve">（示意）</t>
    </r>
  </si>
  <si>
    <r>
      <rPr>
        <b val="true"/>
        <sz val="9.5"/>
        <color rgb="FFFFFFFF"/>
        <rFont val="微軟正黑體"/>
        <family val="0"/>
        <charset val="1"/>
      </rPr>
      <t xml:space="preserve">G4 </t>
    </r>
    <r>
      <rPr>
        <b val="true"/>
        <sz val="9.5"/>
        <color rgb="FFFFFFFF"/>
        <rFont val="Noto Sans CJK SC"/>
        <family val="2"/>
      </rPr>
      <t xml:space="preserve">建置整合
</t>
    </r>
    <r>
      <rPr>
        <b val="true"/>
        <sz val="9.5"/>
        <color rgb="FFFFFFFF"/>
        <rFont val="微軟正黑體"/>
        <family val="0"/>
        <charset val="1"/>
      </rPr>
      <t xml:space="preserve">M20-42</t>
    </r>
    <r>
      <rPr>
        <b val="true"/>
        <sz val="9.5"/>
        <color rgb="FFFFFFFF"/>
        <rFont val="Noto Sans CJK SC"/>
        <family val="2"/>
      </rPr>
      <t xml:space="preserve">（示意）</t>
    </r>
  </si>
  <si>
    <r>
      <rPr>
        <b val="true"/>
        <sz val="9.5"/>
        <color rgb="FFFFFFFF"/>
        <rFont val="微軟正黑體"/>
        <family val="0"/>
        <charset val="1"/>
      </rPr>
      <t xml:space="preserve">G5 </t>
    </r>
    <r>
      <rPr>
        <b val="true"/>
        <sz val="9.5"/>
        <color rgb="FFFFFFFF"/>
        <rFont val="Noto Sans CJK SC"/>
        <family val="2"/>
      </rPr>
      <t xml:space="preserve">驗證開院
</t>
    </r>
    <r>
      <rPr>
        <b val="true"/>
        <sz val="9.5"/>
        <color rgb="FFFFFFFF"/>
        <rFont val="微軟正黑體"/>
        <family val="0"/>
        <charset val="1"/>
      </rPr>
      <t xml:space="preserve">M39-48</t>
    </r>
    <r>
      <rPr>
        <b val="true"/>
        <sz val="9.5"/>
        <color rgb="FFFFFFFF"/>
        <rFont val="Noto Sans CJK SC"/>
        <family val="2"/>
      </rPr>
      <t xml:space="preserve">（示意）</t>
    </r>
  </si>
  <si>
    <r>
      <rPr>
        <b val="true"/>
        <sz val="9.5"/>
        <color rgb="FFFFFFFF"/>
        <rFont val="微軟正黑體"/>
        <family val="0"/>
        <charset val="1"/>
      </rPr>
      <t xml:space="preserve">G6 </t>
    </r>
    <r>
      <rPr>
        <b val="true"/>
        <sz val="9.5"/>
        <color rgb="FFFFFFFF"/>
        <rFont val="Noto Sans CJK SC"/>
        <family val="2"/>
      </rPr>
      <t xml:space="preserve">營運複製
</t>
    </r>
    <r>
      <rPr>
        <b val="true"/>
        <sz val="9.5"/>
        <color rgb="FFFFFFFF"/>
        <rFont val="微軟正黑體"/>
        <family val="0"/>
        <charset val="1"/>
      </rPr>
      <t xml:space="preserve">M49-60</t>
    </r>
    <r>
      <rPr>
        <b val="true"/>
        <sz val="9.5"/>
        <color rgb="FFFFFFFF"/>
        <rFont val="Noto Sans CJK SC"/>
        <family val="2"/>
      </rPr>
      <t xml:space="preserve">（示意）</t>
    </r>
  </si>
  <si>
    <t xml:space="preserve">○缺口數</t>
  </si>
  <si>
    <r>
      <rPr>
        <b val="true"/>
        <sz val="9"/>
        <color rgb="FFC00000"/>
        <rFont val="微軟正黑體"/>
        <family val="0"/>
        <charset val="1"/>
      </rPr>
      <t xml:space="preserve">B</t>
    </r>
    <r>
      <rPr>
        <b val="true"/>
        <sz val="9"/>
        <color rgb="FFC00000"/>
        <rFont val="Noto Sans CJK SC"/>
        <family val="2"/>
      </rPr>
      <t xml:space="preserve">軸 法規門檻
</t>
    </r>
    <r>
      <rPr>
        <b val="true"/>
        <sz val="9"/>
        <color rgb="FFC00000"/>
        <rFont val="微軟正黑體"/>
        <family val="0"/>
        <charset val="1"/>
      </rPr>
      <t xml:space="preserve">Gate checklist</t>
    </r>
  </si>
  <si>
    <r>
      <rPr>
        <b val="true"/>
        <sz val="9"/>
        <color rgb="FF404040"/>
        <rFont val="Noto Sans CJK SC"/>
        <family val="2"/>
      </rPr>
      <t xml:space="preserve">圖例：●群晶主導　◆夥伴已確認　◐夥伴洽談中　○缺口</t>
    </r>
    <r>
      <rPr>
        <b val="true"/>
        <sz val="9"/>
        <color rgb="FF404040"/>
        <rFont val="微軟正黑體"/>
        <family val="0"/>
        <charset val="1"/>
      </rPr>
      <t xml:space="preserve">-</t>
    </r>
    <r>
      <rPr>
        <b val="true"/>
        <sz val="9"/>
        <color rgb="FF404040"/>
        <rFont val="Noto Sans CJK SC"/>
        <family val="2"/>
      </rPr>
      <t xml:space="preserve">待尋找（＝要找的產品</t>
    </r>
    <r>
      <rPr>
        <b val="true"/>
        <sz val="9"/>
        <color rgb="FF404040"/>
        <rFont val="微軟正黑體"/>
        <family val="0"/>
        <charset val="1"/>
      </rPr>
      <t xml:space="preserve">/</t>
    </r>
    <r>
      <rPr>
        <b val="true"/>
        <sz val="9"/>
        <color rgb="FF404040"/>
        <rFont val="Noto Sans CJK SC"/>
        <family val="2"/>
      </rPr>
      <t xml:space="preserve">資源</t>
    </r>
    <r>
      <rPr>
        <b val="true"/>
        <sz val="9"/>
        <color rgb="FF404040"/>
        <rFont val="微軟正黑體"/>
        <family val="0"/>
        <charset val="1"/>
      </rPr>
      <t xml:space="preserve">/</t>
    </r>
    <r>
      <rPr>
        <b val="true"/>
        <sz val="9"/>
        <color rgb="FF404040"/>
        <rFont val="Noto Sans CJK SC"/>
        <family val="2"/>
      </rPr>
      <t xml:space="preserve">技術</t>
    </r>
    <r>
      <rPr>
        <b val="true"/>
        <sz val="9"/>
        <color rgb="FF404040"/>
        <rFont val="微軟正黑體"/>
        <family val="0"/>
        <charset val="1"/>
      </rPr>
      <t xml:space="preserve">/</t>
    </r>
    <r>
      <rPr>
        <b val="true"/>
        <sz val="9"/>
        <color rgb="FF404040"/>
        <rFont val="Noto Sans CJK SC"/>
        <family val="2"/>
      </rPr>
      <t xml:space="preserve">夥伴）　｜　紅底儲存格＝該區塊有缺口，是對外招募與採購的優先標的</t>
    </r>
  </si>
  <si>
    <r>
      <rPr>
        <b val="true"/>
        <sz val="9.5"/>
        <color rgb="FF1F3864"/>
        <rFont val="微軟正黑體"/>
        <family val="0"/>
        <charset val="1"/>
      </rPr>
      <t xml:space="preserve">D01 </t>
    </r>
    <r>
      <rPr>
        <b val="true"/>
        <sz val="9.5"/>
        <color rgb="FF1F3864"/>
        <rFont val="Noto Sans CJK SC"/>
        <family val="2"/>
      </rPr>
      <t xml:space="preserve">治理與投資</t>
    </r>
  </si>
  <si>
    <r>
      <rPr>
        <b val="true"/>
        <sz val="9.5"/>
        <color rgb="FF1F3864"/>
        <rFont val="微軟正黑體"/>
        <family val="0"/>
        <charset val="1"/>
      </rPr>
      <t xml:space="preserve">D02 </t>
    </r>
    <r>
      <rPr>
        <b val="true"/>
        <sz val="9.5"/>
        <color rgb="FF1F3864"/>
        <rFont val="Noto Sans CJK SC"/>
        <family val="2"/>
      </rPr>
      <t xml:space="preserve">臨床服務模式</t>
    </r>
  </si>
  <si>
    <r>
      <rPr>
        <b val="true"/>
        <sz val="9.5"/>
        <color rgb="FF1F3864"/>
        <rFont val="微軟正黑體"/>
        <family val="0"/>
        <charset val="1"/>
      </rPr>
      <t xml:space="preserve">D03 </t>
    </r>
    <r>
      <rPr>
        <b val="true"/>
        <sz val="9.5"/>
        <color rgb="FF1F3864"/>
        <rFont val="Noto Sans CJK SC"/>
        <family val="2"/>
      </rPr>
      <t xml:space="preserve">醫院設施與機電</t>
    </r>
  </si>
  <si>
    <r>
      <rPr>
        <b val="true"/>
        <sz val="9.5"/>
        <color rgb="FF1F3864"/>
        <rFont val="微軟正黑體"/>
        <family val="0"/>
        <charset val="1"/>
      </rPr>
      <t xml:space="preserve">D04 </t>
    </r>
    <r>
      <rPr>
        <b val="true"/>
        <sz val="9.5"/>
        <color rgb="FF1F3864"/>
        <rFont val="Noto Sans CJK SC"/>
        <family val="2"/>
      </rPr>
      <t xml:space="preserve">數位基建與物聯網</t>
    </r>
  </si>
  <si>
    <r>
      <rPr>
        <b val="true"/>
        <sz val="9.5"/>
        <color rgb="FF1F3864"/>
        <rFont val="微軟正黑體"/>
        <family val="0"/>
        <charset val="1"/>
      </rPr>
      <t xml:space="preserve">D05 </t>
    </r>
    <r>
      <rPr>
        <b val="true"/>
        <sz val="9.5"/>
        <color rgb="FF1F3864"/>
        <rFont val="Noto Sans CJK SC"/>
        <family val="2"/>
      </rPr>
      <t xml:space="preserve">醫材與診斷</t>
    </r>
  </si>
  <si>
    <r>
      <rPr>
        <b val="true"/>
        <sz val="9.5"/>
        <color rgb="FF1F3864"/>
        <rFont val="微軟正黑體"/>
        <family val="0"/>
        <charset val="1"/>
      </rPr>
      <t xml:space="preserve">D06 </t>
    </r>
    <r>
      <rPr>
        <b val="true"/>
        <sz val="9.5"/>
        <color rgb="FF1F3864"/>
        <rFont val="Noto Sans CJK SC"/>
        <family val="2"/>
      </rPr>
      <t xml:space="preserve">醫療資訊與資料</t>
    </r>
  </si>
  <si>
    <r>
      <rPr>
        <b val="true"/>
        <sz val="9.5"/>
        <color rgb="FF1F3864"/>
        <rFont val="微軟正黑體"/>
        <family val="0"/>
        <charset val="1"/>
      </rPr>
      <t xml:space="preserve">D07 </t>
    </r>
    <r>
      <rPr>
        <b val="true"/>
        <sz val="9.5"/>
        <color rgb="FF1F3864"/>
        <rFont val="Noto Sans CJK SC"/>
        <family val="2"/>
      </rPr>
      <t xml:space="preserve">品質與病安</t>
    </r>
  </si>
  <si>
    <r>
      <rPr>
        <b val="true"/>
        <sz val="9.5"/>
        <color rgb="FF1F3864"/>
        <rFont val="微軟正黑體"/>
        <family val="0"/>
        <charset val="1"/>
      </rPr>
      <t xml:space="preserve">D08 </t>
    </r>
    <r>
      <rPr>
        <b val="true"/>
        <sz val="9.5"/>
        <color rgb="FF1F3864"/>
        <rFont val="Noto Sans CJK SC"/>
        <family val="2"/>
      </rPr>
      <t xml:space="preserve">人才與技轉</t>
    </r>
  </si>
  <si>
    <r>
      <rPr>
        <b val="true"/>
        <sz val="9.5"/>
        <color rgb="FF1F3864"/>
        <rFont val="微軟正黑體"/>
        <family val="0"/>
        <charset val="1"/>
      </rPr>
      <t xml:space="preserve">D09 </t>
    </r>
    <r>
      <rPr>
        <b val="true"/>
        <sz val="9.5"/>
        <color rgb="FF1F3864"/>
        <rFont val="Noto Sans CJK SC"/>
        <family val="2"/>
      </rPr>
      <t xml:space="preserve">供應鏈與維運</t>
    </r>
  </si>
  <si>
    <r>
      <rPr>
        <b val="true"/>
        <sz val="9.5"/>
        <color rgb="FF1F3864"/>
        <rFont val="微軟正黑體"/>
        <family val="0"/>
        <charset val="1"/>
      </rPr>
      <t xml:space="preserve">D10 </t>
    </r>
    <r>
      <rPr>
        <b val="true"/>
        <sz val="9.5"/>
        <color rgb="FF1F3864"/>
        <rFont val="Noto Sans CJK SC"/>
        <family val="2"/>
      </rPr>
      <t xml:space="preserve">商模與病人生態</t>
    </r>
  </si>
  <si>
    <r>
      <rPr>
        <b val="true"/>
        <sz val="9"/>
        <color rgb="FFC00000"/>
        <rFont val="Noto Sans CJK SC"/>
        <family val="2"/>
      </rPr>
      <t xml:space="preserve">○ 缺口數 </t>
    </r>
    <r>
      <rPr>
        <b val="true"/>
        <sz val="9"/>
        <color rgb="FFC00000"/>
        <rFont val="微軟正黑體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階段</t>
    </r>
  </si>
  <si>
    <r>
      <rPr>
        <sz val="9"/>
        <color rgb="FF404040"/>
        <rFont val="Noto Sans CJK SC"/>
        <family val="2"/>
      </rPr>
      <t xml:space="preserve">★本頁全部為公式，不需手動維護：只要在「</t>
    </r>
    <r>
      <rPr>
        <sz val="9"/>
        <color rgb="FF404040"/>
        <rFont val="微軟正黑體"/>
        <family val="0"/>
        <charset val="1"/>
      </rPr>
      <t xml:space="preserve">03 </t>
    </r>
    <r>
      <rPr>
        <sz val="9"/>
        <color rgb="FF404040"/>
        <rFont val="Noto Sans CJK SC"/>
        <family val="2"/>
      </rPr>
      <t xml:space="preserve">能力總表」新增或修改列（能力名稱／階段／拼圖狀態），本頁矩陣內容、缺口計數與法規門檻警示會立即自動更新。① 紅色缺口＝優先對外尋找的產品、資源、技術與夥伴。② 各夥伴請於矩陣中找到自己的定位與所屬階段商機。③ 若某格項目變多導致文字被截斷：選取列→常用→格式→自動調整列高。</t>
    </r>
  </si>
  <si>
    <r>
      <rPr>
        <b val="true"/>
        <sz val="15"/>
        <color rgb="FFFFFFFF"/>
        <rFont val="微軟正黑體"/>
        <family val="0"/>
        <charset val="1"/>
      </rPr>
      <t xml:space="preserve">14 </t>
    </r>
    <r>
      <rPr>
        <b val="true"/>
        <sz val="15"/>
        <color rgb="FFFFFFFF"/>
        <rFont val="Noto Sans CJK SC"/>
        <family val="2"/>
      </rPr>
      <t xml:space="preserve">商機清單｜</t>
    </r>
    <r>
      <rPr>
        <b val="true"/>
        <sz val="15"/>
        <color rgb="FFFFFFFF"/>
        <rFont val="微軟正黑體"/>
        <family val="0"/>
        <charset val="1"/>
      </rPr>
      <t xml:space="preserve">Opportunity Pipeline</t>
    </r>
    <r>
      <rPr>
        <b val="true"/>
        <sz val="15"/>
        <color rgb="FFFFFFFF"/>
        <rFont val="Noto Sans CJK SC"/>
        <family val="2"/>
      </rPr>
      <t xml:space="preserve">（業主／老闆視角：現在正在談哪些生意）</t>
    </r>
  </si>
  <si>
    <r>
      <rPr>
        <i val="true"/>
        <sz val="9.5"/>
        <color rgb="FF404040"/>
        <rFont val="Noto Sans CJK SC"/>
        <family val="2"/>
      </rPr>
      <t xml:space="preserve">❓ 這頁在回答：我們鎖定了哪些商機？進展到哪？（業主視角）　　▸ 一列＝一個正在推的商機。★ </t>
    </r>
    <r>
      <rPr>
        <i val="true"/>
        <sz val="9.5"/>
        <color rgb="FF404040"/>
        <rFont val="微軟正黑體"/>
        <family val="0"/>
        <charset val="1"/>
      </rPr>
      <t xml:space="preserve">A</t>
    </r>
    <r>
      <rPr>
        <i val="true"/>
        <sz val="9.5"/>
        <color rgb="FF404040"/>
        <rFont val="Noto Sans CJK SC"/>
        <family val="2"/>
      </rPr>
      <t xml:space="preserve">欄用下拉選一個商機（選項來自 </t>
    </r>
    <r>
      <rPr>
        <i val="true"/>
        <sz val="9.5"/>
        <color rgb="FF404040"/>
        <rFont val="微軟正黑體"/>
        <family val="0"/>
        <charset val="1"/>
      </rPr>
      <t xml:space="preserve">15 </t>
    </r>
    <r>
      <rPr>
        <i val="true"/>
        <sz val="9.5"/>
        <color rgb="FF404040"/>
        <rFont val="Noto Sans CJK SC"/>
        <family val="2"/>
      </rPr>
      <t xml:space="preserve">商機字典的 </t>
    </r>
    <r>
      <rPr>
        <i val="true"/>
        <sz val="9.5"/>
        <color rgb="FF404040"/>
        <rFont val="微軟正黑體"/>
        <family val="0"/>
        <charset val="1"/>
      </rPr>
      <t xml:space="preserve">85 </t>
    </r>
    <r>
      <rPr>
        <i val="true"/>
        <sz val="9.5"/>
        <color rgb="FF404040"/>
        <rFont val="Noto Sans CJK SC"/>
        <family val="2"/>
      </rPr>
      <t xml:space="preserve">個商機），</t>
    </r>
    <r>
      <rPr>
        <i val="true"/>
        <sz val="9.5"/>
        <color rgb="FF404040"/>
        <rFont val="微軟正黑體"/>
        <family val="0"/>
        <charset val="1"/>
      </rPr>
      <t xml:space="preserve">B-L </t>
    </r>
    <r>
      <rPr>
        <i val="true"/>
        <sz val="9.5"/>
        <color rgb="FF404040"/>
        <rFont val="Noto Sans CJK SC"/>
        <family val="2"/>
      </rPr>
      <t xml:space="preserve">欄（藍字）就會全部自動帶入：商機名稱、族群、越南現況、涵蓋領域、對應幾項能力、平均價值分／準備分、還缺幾個位置，以及字典裡的建議付費方／交易模式／金額級距。你只要填右邊 </t>
    </r>
    <r>
      <rPr>
        <i val="true"/>
        <sz val="9.5"/>
        <color rgb="FF404040"/>
        <rFont val="微軟正黑體"/>
        <family val="0"/>
        <charset val="1"/>
      </rPr>
      <t xml:space="preserve">M-S </t>
    </r>
    <r>
      <rPr>
        <i val="true"/>
        <sz val="9.5"/>
        <color rgb="FF404040"/>
        <rFont val="Noto Sans CJK SC"/>
        <family val="2"/>
      </rPr>
      <t xml:space="preserve">欄（本案實際的付費方、金額、成熟階段、下一步）。對外簡報請用這頁，不要直接給 </t>
    </r>
    <r>
      <rPr>
        <i val="true"/>
        <sz val="9.5"/>
        <color rgb="FF404040"/>
        <rFont val="微軟正黑體"/>
        <family val="0"/>
        <charset val="1"/>
      </rPr>
      <t xml:space="preserve">03 </t>
    </r>
    <r>
      <rPr>
        <i val="true"/>
        <sz val="9.5"/>
        <color rgb="FF404040"/>
        <rFont val="Noto Sans CJK SC"/>
        <family val="2"/>
      </rPr>
      <t xml:space="preserve">的 </t>
    </r>
    <r>
      <rPr>
        <i val="true"/>
        <sz val="9.5"/>
        <color rgb="FF404040"/>
        <rFont val="微軟正黑體"/>
        <family val="0"/>
        <charset val="1"/>
      </rPr>
      <t xml:space="preserve">CAP </t>
    </r>
    <r>
      <rPr>
        <i val="true"/>
        <sz val="9.5"/>
        <color rgb="FF404040"/>
        <rFont val="Noto Sans CJK SC"/>
        <family val="2"/>
      </rPr>
      <t xml:space="preserve">清單。</t>
    </r>
  </si>
  <si>
    <r>
      <rPr>
        <b val="true"/>
        <sz val="10"/>
        <color rgb="FFFFFFFF"/>
        <rFont val="Noto Sans CJK SC"/>
        <family val="2"/>
      </rPr>
      <t xml:space="preserve">商機（下拉選）
</t>
    </r>
    <r>
      <rPr>
        <b val="true"/>
        <sz val="10"/>
        <color rgb="FFFFFFFF"/>
        <rFont val="微軟正黑體"/>
        <family val="0"/>
        <charset val="1"/>
      </rPr>
      <t xml:space="preserve">Opportunity</t>
    </r>
  </si>
  <si>
    <r>
      <rPr>
        <b val="true"/>
        <sz val="10"/>
        <color rgb="FFFFFFFF"/>
        <rFont val="Noto Sans CJK SC"/>
        <family val="2"/>
      </rPr>
      <t xml:space="preserve">商機名稱（自動）
</t>
    </r>
    <r>
      <rPr>
        <b val="true"/>
        <sz val="10"/>
        <color rgb="FFFFFFFF"/>
        <rFont val="微軟正黑體"/>
        <family val="0"/>
        <charset val="1"/>
      </rPr>
      <t xml:space="preserve">Name</t>
    </r>
  </si>
  <si>
    <r>
      <rPr>
        <b val="true"/>
        <sz val="10"/>
        <color rgb="FFFFFFFF"/>
        <rFont val="Noto Sans CJK SC"/>
        <family val="2"/>
      </rPr>
      <t xml:space="preserve">族群（自動）
</t>
    </r>
    <r>
      <rPr>
        <b val="true"/>
        <sz val="10"/>
        <color rgb="FFFFFFFF"/>
        <rFont val="微軟正黑體"/>
        <family val="0"/>
        <charset val="1"/>
      </rPr>
      <t xml:space="preserve">Family</t>
    </r>
  </si>
  <si>
    <r>
      <rPr>
        <b val="true"/>
        <sz val="10"/>
        <color rgb="FFFFFFFF"/>
        <rFont val="Noto Sans CJK SC"/>
        <family val="2"/>
      </rPr>
      <t xml:space="preserve">越南現況（自動）
</t>
    </r>
    <r>
      <rPr>
        <b val="true"/>
        <sz val="10"/>
        <color rgb="FFFFFFFF"/>
        <rFont val="微軟正黑體"/>
        <family val="0"/>
        <charset val="1"/>
      </rPr>
      <t xml:space="preserve">VN maturity</t>
    </r>
  </si>
  <si>
    <r>
      <rPr>
        <b val="true"/>
        <sz val="10"/>
        <color rgb="FFFFFFFF"/>
        <rFont val="Noto Sans CJK SC"/>
        <family val="2"/>
      </rPr>
      <t xml:space="preserve">對應能力
</t>
    </r>
    <r>
      <rPr>
        <b val="true"/>
        <sz val="10"/>
        <color rgb="FFFFFFFF"/>
        <rFont val="微軟正黑體"/>
        <family val="0"/>
        <charset val="1"/>
      </rPr>
      <t xml:space="preserve">CAP</t>
    </r>
    <r>
      <rPr>
        <b val="true"/>
        <sz val="10"/>
        <color rgb="FFFFFFFF"/>
        <rFont val="Noto Sans CJK SC"/>
        <family val="2"/>
      </rPr>
      <t xml:space="preserve">數</t>
    </r>
  </si>
  <si>
    <t xml:space="preserve">平均
價值分</t>
  </si>
  <si>
    <t xml:space="preserve">平均
準備分</t>
  </si>
  <si>
    <r>
      <rPr>
        <b val="true"/>
        <sz val="10"/>
        <color rgb="FFFFFFFF"/>
        <rFont val="Noto Sans CJK SC"/>
        <family val="2"/>
      </rPr>
      <t xml:space="preserve">○缺口數
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還缺人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</si>
  <si>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建議付費方
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字典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</si>
  <si>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建議交易模式
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字典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</si>
  <si>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建議金額級距
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字典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</si>
  <si>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本案付費方
</t>
    </r>
    <r>
      <rPr>
        <b val="true"/>
        <sz val="10"/>
        <color rgb="FFFFFFFF"/>
        <rFont val="微軟正黑體"/>
        <family val="0"/>
        <charset val="1"/>
      </rPr>
      <t xml:space="preserve">Payer</t>
    </r>
  </si>
  <si>
    <r>
      <rPr>
        <b val="true"/>
        <sz val="10"/>
        <color rgb="FFFFFFFF"/>
        <rFont val="Noto Sans CJK SC"/>
        <family val="2"/>
      </rPr>
      <t xml:space="preserve">本案交易模式
</t>
    </r>
    <r>
      <rPr>
        <b val="true"/>
        <sz val="10"/>
        <color rgb="FFFFFFFF"/>
        <rFont val="微軟正黑體"/>
        <family val="0"/>
        <charset val="1"/>
      </rPr>
      <t xml:space="preserve">Txn mode</t>
    </r>
  </si>
  <si>
    <r>
      <rPr>
        <b val="true"/>
        <sz val="10"/>
        <color rgb="FFFFFFFF"/>
        <rFont val="Noto Sans CJK SC"/>
        <family val="2"/>
      </rPr>
      <t xml:space="preserve">本案金額級距
</t>
    </r>
    <r>
      <rPr>
        <b val="true"/>
        <sz val="10"/>
        <color rgb="FFFFFFFF"/>
        <rFont val="微軟正黑體"/>
        <family val="0"/>
        <charset val="1"/>
      </rPr>
      <t xml:space="preserve">Amount</t>
    </r>
  </si>
  <si>
    <r>
      <rPr>
        <b val="true"/>
        <sz val="10"/>
        <color rgb="FFFFFFFF"/>
        <rFont val="Noto Sans CJK SC"/>
        <family val="2"/>
      </rPr>
      <t xml:space="preserve">商機成熟階段
</t>
    </r>
    <r>
      <rPr>
        <b val="true"/>
        <sz val="10"/>
        <color rgb="FFFFFFFF"/>
        <rFont val="微軟正黑體"/>
        <family val="0"/>
        <charset val="1"/>
      </rPr>
      <t xml:space="preserve">Deal stage</t>
    </r>
  </si>
  <si>
    <r>
      <rPr>
        <b val="true"/>
        <sz val="10"/>
        <color rgb="FFFFFFFF"/>
        <rFont val="Noto Sans CJK SC"/>
        <family val="2"/>
      </rPr>
      <t xml:space="preserve">主責 </t>
    </r>
    <r>
      <rPr>
        <b val="true"/>
        <sz val="10"/>
        <color rgb="FFFFFFFF"/>
        <rFont val="微軟正黑體"/>
        <family val="0"/>
        <charset val="1"/>
      </rPr>
      <t xml:space="preserve">Lead</t>
    </r>
  </si>
  <si>
    <r>
      <rPr>
        <b val="true"/>
        <sz val="10"/>
        <color rgb="FFFFFFFF"/>
        <rFont val="Noto Sans CJK SC"/>
        <family val="2"/>
      </rPr>
      <t xml:space="preserve">下一步 </t>
    </r>
    <r>
      <rPr>
        <b val="true"/>
        <sz val="10"/>
        <color rgb="FFFFFFFF"/>
        <rFont val="微軟正黑體"/>
        <family val="0"/>
        <charset val="1"/>
      </rPr>
      <t xml:space="preserve">Next action</t>
    </r>
  </si>
  <si>
    <r>
      <rPr>
        <b val="true"/>
        <sz val="10"/>
        <color rgb="FFFFFFFF"/>
        <rFont val="Noto Sans CJK SC"/>
        <family val="2"/>
      </rPr>
      <t xml:space="preserve">備註 </t>
    </r>
    <r>
      <rPr>
        <b val="true"/>
        <sz val="10"/>
        <color rgb="FFFFFFFF"/>
        <rFont val="微軟正黑體"/>
        <family val="0"/>
        <charset val="1"/>
      </rPr>
      <t xml:space="preserve">Note</t>
    </r>
  </si>
  <si>
    <r>
      <rPr>
        <sz val="9"/>
        <color rgb="FF000000"/>
        <rFont val="微軟正黑體"/>
        <family val="0"/>
        <charset val="1"/>
      </rPr>
      <t xml:space="preserve">OPP-24 </t>
    </r>
    <r>
      <rPr>
        <sz val="9"/>
        <color rgb="FF000000"/>
        <rFont val="Noto Sans CJK SC"/>
        <family val="2"/>
      </rPr>
      <t xml:space="preserve">醫院</t>
    </r>
    <r>
      <rPr>
        <sz val="9"/>
        <color rgb="FF000000"/>
        <rFont val="微軟正黑體"/>
        <family val="0"/>
        <charset val="1"/>
      </rPr>
      <t xml:space="preserve">IDC</t>
    </r>
    <r>
      <rPr>
        <sz val="9"/>
        <color rgb="FF000000"/>
        <rFont val="Noto Sans CJK SC"/>
        <family val="2"/>
      </rPr>
      <t xml:space="preserve">機房與院區網路建置</t>
    </r>
  </si>
  <si>
    <r>
      <rPr>
        <sz val="9"/>
        <color rgb="FF000000"/>
        <rFont val="微軟正黑體"/>
        <family val="0"/>
        <charset val="1"/>
      </rPr>
      <t xml:space="preserve">Proposal / </t>
    </r>
    <r>
      <rPr>
        <sz val="9"/>
        <color rgb="FF000000"/>
        <rFont val="Noto Sans CJK SC"/>
        <family val="2"/>
      </rPr>
      <t xml:space="preserve">已提案</t>
    </r>
  </si>
  <si>
    <r>
      <rPr>
        <sz val="9"/>
        <color rgb="FF000000"/>
        <rFont val="Noto Sans CJK SC"/>
        <family val="2"/>
      </rPr>
      <t xml:space="preserve">提交</t>
    </r>
    <r>
      <rPr>
        <sz val="9"/>
        <color rgb="FF000000"/>
        <rFont val="微軟正黑體"/>
        <family val="0"/>
        <charset val="1"/>
      </rPr>
      <t xml:space="preserve">IDC</t>
    </r>
    <r>
      <rPr>
        <sz val="9"/>
        <color rgb="FF000000"/>
        <rFont val="Noto Sans CJK SC"/>
        <family val="2"/>
      </rPr>
      <t xml:space="preserve">與院區網路架構技術規格書，爭取先簽這一包</t>
    </r>
  </si>
  <si>
    <t xml:space="preserve">（示範）群晶核心強項、缺口最少，建議當第一個示範案</t>
  </si>
  <si>
    <r>
      <rPr>
        <sz val="9"/>
        <color rgb="FF000000"/>
        <rFont val="微軟正黑體"/>
        <family val="0"/>
        <charset val="1"/>
      </rPr>
      <t xml:space="preserve">OPP-14 </t>
    </r>
    <r>
      <rPr>
        <sz val="9"/>
        <color rgb="FF000000"/>
        <rFont val="Noto Sans CJK SC"/>
        <family val="2"/>
      </rPr>
      <t xml:space="preserve">影像設備整批交鑰匙（</t>
    </r>
    <r>
      <rPr>
        <sz val="9"/>
        <color rgb="FF000000"/>
        <rFont val="微軟正黑體"/>
        <family val="0"/>
        <charset val="1"/>
      </rPr>
      <t xml:space="preserve">CT/MRI/DSA</t>
    </r>
    <r>
      <rPr>
        <sz val="9"/>
        <color rgb="FF000000"/>
        <rFont val="Noto Sans CJK SC"/>
        <family val="2"/>
      </rPr>
      <t xml:space="preserve">＋機房）</t>
    </r>
  </si>
  <si>
    <r>
      <rPr>
        <sz val="9"/>
        <color rgb="FF000000"/>
        <rFont val="微軟正黑體"/>
        <family val="0"/>
        <charset val="1"/>
      </rPr>
      <t xml:space="preserve">Qualified / </t>
    </r>
    <r>
      <rPr>
        <sz val="9"/>
        <color rgb="FF000000"/>
        <rFont val="Noto Sans CJK SC"/>
        <family val="2"/>
      </rPr>
      <t xml:space="preserve">已篩選</t>
    </r>
  </si>
  <si>
    <t xml:space="preserve">確認影像設備代理權與越南醫材註冊時程</t>
  </si>
  <si>
    <r>
      <rPr>
        <sz val="9"/>
        <color rgb="FF000000"/>
        <rFont val="Noto Sans CJK SC"/>
        <family val="2"/>
      </rPr>
      <t xml:space="preserve">（示範）金額大但要先補齊</t>
    </r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整合夥伴</t>
    </r>
  </si>
  <si>
    <r>
      <rPr>
        <sz val="9"/>
        <color rgb="FF000000"/>
        <rFont val="微軟正黑體"/>
        <family val="0"/>
        <charset val="1"/>
      </rPr>
      <t xml:space="preserve">OPP-01 </t>
    </r>
    <r>
      <rPr>
        <sz val="9"/>
        <color rgb="FF000000"/>
        <rFont val="Noto Sans CJK SC"/>
        <family val="2"/>
      </rPr>
      <t xml:space="preserve">醫院投資規劃與</t>
    </r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交易架構顧問</t>
    </r>
  </si>
  <si>
    <r>
      <rPr>
        <sz val="9"/>
        <color rgb="FF000000"/>
        <rFont val="微軟正黑體"/>
        <family val="0"/>
        <charset val="1"/>
      </rPr>
      <t xml:space="preserve">Negotiation / </t>
    </r>
    <r>
      <rPr>
        <sz val="9"/>
        <color rgb="FF000000"/>
        <rFont val="Noto Sans CJK SC"/>
        <family val="2"/>
      </rPr>
      <t xml:space="preserve">議約中</t>
    </r>
  </si>
  <si>
    <t xml:space="preserve">取得正式授權文件與交易架構共識</t>
  </si>
  <si>
    <t xml:space="preserve">（示範）金額不大但是所有後續商機的前提，優先度最高</t>
  </si>
  <si>
    <r>
      <rPr>
        <sz val="9"/>
        <color rgb="FF000000"/>
        <rFont val="微軟正黑體"/>
        <family val="0"/>
        <charset val="1"/>
      </rPr>
      <t xml:space="preserve">OPP-31 HIS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核心平台導入</t>
    </r>
  </si>
  <si>
    <t xml:space="preserve">用以租代購模式提案，避開資本支出審批</t>
  </si>
  <si>
    <r>
      <rPr>
        <sz val="9"/>
        <color rgb="FF000000"/>
        <rFont val="Noto Sans CJK SC"/>
        <family val="2"/>
      </rPr>
      <t xml:space="preserve">（示範）約</t>
    </r>
    <r>
      <rPr>
        <sz val="9"/>
        <color rgb="FF000000"/>
        <rFont val="微軟正黑體"/>
        <family val="0"/>
        <charset val="1"/>
      </rPr>
      <t xml:space="preserve">1370</t>
    </r>
    <r>
      <rPr>
        <sz val="9"/>
        <color rgb="FF000000"/>
        <rFont val="Noto Sans CJK SC"/>
        <family val="2"/>
      </rPr>
      <t xml:space="preserve">家醫院未達無紙化，是</t>
    </r>
    <r>
      <rPr>
        <sz val="9"/>
        <color rgb="FF000000"/>
        <rFont val="微軟正黑體"/>
        <family val="0"/>
        <charset val="1"/>
      </rPr>
      <t xml:space="preserve">2026-2030</t>
    </r>
    <r>
      <rPr>
        <sz val="9"/>
        <color rgb="FF000000"/>
        <rFont val="Noto Sans CJK SC"/>
        <family val="2"/>
      </rPr>
      <t xml:space="preserve">最大的量</t>
    </r>
  </si>
  <si>
    <r>
      <rPr>
        <sz val="9"/>
        <color rgb="FF000000"/>
        <rFont val="微軟正黑體"/>
        <family val="0"/>
        <charset val="1"/>
      </rPr>
      <t xml:space="preserve">OPP-43 </t>
    </r>
    <r>
      <rPr>
        <sz val="9"/>
        <color rgb="FF000000"/>
        <rFont val="Noto Sans CJK SC"/>
        <family val="2"/>
      </rPr>
      <t xml:space="preserve">結核胸片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篩檢</t>
    </r>
    <r>
      <rPr>
        <sz val="9"/>
        <color rgb="FF000000"/>
        <rFont val="微軟正黑體"/>
        <family val="0"/>
        <charset val="1"/>
      </rPr>
      <t xml:space="preserve">(CAD)</t>
    </r>
  </si>
  <si>
    <r>
      <rPr>
        <sz val="9"/>
        <color rgb="FF000000"/>
        <rFont val="微軟正黑體"/>
        <family val="0"/>
        <charset val="1"/>
      </rPr>
      <t xml:space="preserve">Lead / </t>
    </r>
    <r>
      <rPr>
        <sz val="9"/>
        <color rgb="FF000000"/>
        <rFont val="Noto Sans CJK SC"/>
        <family val="2"/>
      </rPr>
      <t xml:space="preserve">潛在</t>
    </r>
  </si>
  <si>
    <r>
      <rPr>
        <sz val="9"/>
        <color rgb="FF000000"/>
        <rFont val="Noto Sans CJK SC"/>
        <family val="2"/>
      </rPr>
      <t xml:space="preserve">接洽國家結核防治計畫與國際捐助方，確認</t>
    </r>
    <r>
      <rPr>
        <sz val="9"/>
        <color rgb="FF000000"/>
        <rFont val="微軟正黑體"/>
        <family val="0"/>
        <charset val="1"/>
      </rPr>
      <t xml:space="preserve">CAD</t>
    </r>
    <r>
      <rPr>
        <sz val="9"/>
        <color rgb="FF000000"/>
        <rFont val="Noto Sans CJK SC"/>
        <family val="2"/>
      </rPr>
      <t xml:space="preserve">產品採購管道</t>
    </r>
  </si>
  <si>
    <r>
      <rPr>
        <sz val="9"/>
        <color rgb="FF000000"/>
        <rFont val="Noto Sans CJK SC"/>
        <family val="2"/>
      </rPr>
      <t xml:space="preserve">（示範）★白地商機：越南結核負擔全球第</t>
    </r>
    <r>
      <rPr>
        <sz val="9"/>
        <color rgb="FF000000"/>
        <rFont val="微軟正黑體"/>
        <family val="0"/>
        <charset val="1"/>
      </rPr>
      <t xml:space="preserve">12</t>
    </r>
    <r>
      <rPr>
        <sz val="9"/>
        <color rgb="FF000000"/>
        <rFont val="Noto Sans CJK SC"/>
        <family val="2"/>
      </rPr>
      <t xml:space="preserve">、捐助資金已到位，但聯盟目前沒有對應能力</t>
    </r>
  </si>
  <si>
    <r>
      <rPr>
        <sz val="9"/>
        <color rgb="FF000000"/>
        <rFont val="微軟正黑體"/>
        <family val="0"/>
        <charset val="1"/>
      </rPr>
      <t xml:space="preserve">OPP-64 </t>
    </r>
    <r>
      <rPr>
        <sz val="9"/>
        <color rgb="FF000000"/>
        <rFont val="Noto Sans CJK SC"/>
        <family val="2"/>
      </rPr>
      <t xml:space="preserve">院內物流</t>
    </r>
    <r>
      <rPr>
        <sz val="9"/>
        <color rgb="FF000000"/>
        <rFont val="微軟正黑體"/>
        <family val="0"/>
        <charset val="1"/>
      </rPr>
      <t xml:space="preserve">SPD</t>
    </r>
    <r>
      <rPr>
        <sz val="9"/>
        <color rgb="FF000000"/>
        <rFont val="Noto Sans CJK SC"/>
        <family val="2"/>
      </rPr>
      <t xml:space="preserve">委外</t>
    </r>
  </si>
  <si>
    <r>
      <rPr>
        <sz val="9"/>
        <color rgb="FF000000"/>
        <rFont val="Noto Sans CJK SC"/>
        <family val="2"/>
      </rPr>
      <t xml:space="preserve">盤點一家示範醫院的耗材金額與人力，估算</t>
    </r>
    <r>
      <rPr>
        <sz val="9"/>
        <color rgb="FF000000"/>
        <rFont val="微軟正黑體"/>
        <family val="0"/>
        <charset val="1"/>
      </rPr>
      <t xml:space="preserve">SPD</t>
    </r>
    <r>
      <rPr>
        <sz val="9"/>
        <color rgb="FF000000"/>
        <rFont val="Noto Sans CJK SC"/>
        <family val="2"/>
      </rPr>
      <t xml:space="preserve">管理費</t>
    </r>
  </si>
  <si>
    <r>
      <rPr>
        <sz val="9"/>
        <color rgb="FF000000"/>
        <rFont val="Noto Sans CJK SC"/>
        <family val="2"/>
      </rPr>
      <t xml:space="preserve">（示範）越南沒有</t>
    </r>
    <r>
      <rPr>
        <sz val="9"/>
        <color rgb="FF000000"/>
        <rFont val="微軟正黑體"/>
        <family val="0"/>
        <charset val="1"/>
      </rPr>
      <t xml:space="preserve">SPD</t>
    </r>
    <r>
      <rPr>
        <sz val="9"/>
        <color rgb="FF000000"/>
        <rFont val="Noto Sans CJK SC"/>
        <family val="2"/>
      </rPr>
      <t xml:space="preserve">業者，台日模式可直接移植</t>
    </r>
  </si>
  <si>
    <r>
      <rPr>
        <sz val="9"/>
        <color rgb="FF000000"/>
        <rFont val="微軟正黑體"/>
        <family val="0"/>
        <charset val="1"/>
      </rPr>
      <t xml:space="preserve">OPP-75 </t>
    </r>
    <r>
      <rPr>
        <sz val="9"/>
        <color rgb="FF000000"/>
        <rFont val="Noto Sans CJK SC"/>
        <family val="2"/>
      </rPr>
      <t xml:space="preserve">健檢連鎖與行動篩檢營運</t>
    </r>
  </si>
  <si>
    <t xml:space="preserve">鎖定一個省，提出全民健檢承接方案與行動篩檢車配置</t>
  </si>
  <si>
    <r>
      <rPr>
        <sz val="9"/>
        <color rgb="FF000000"/>
        <rFont val="Noto Sans CJK SC"/>
        <family val="2"/>
      </rPr>
      <t xml:space="preserve">（示範）</t>
    </r>
    <r>
      <rPr>
        <sz val="9"/>
        <color rgb="FF000000"/>
        <rFont val="微軟正黑體"/>
        <family val="0"/>
        <charset val="1"/>
      </rPr>
      <t xml:space="preserve">2026</t>
    </r>
    <r>
      <rPr>
        <sz val="9"/>
        <color rgb="FF000000"/>
        <rFont val="Noto Sans CJK SC"/>
        <family val="2"/>
      </rPr>
      <t xml:space="preserve">年起全民免費健檢，是時程確定的需求衝擊</t>
    </r>
  </si>
  <si>
    <r>
      <rPr>
        <sz val="9"/>
        <color rgb="FF000000"/>
        <rFont val="微軟正黑體"/>
        <family val="0"/>
        <charset val="1"/>
      </rPr>
      <t xml:space="preserve">OPP-49 </t>
    </r>
    <r>
      <rPr>
        <sz val="9"/>
        <color rgb="FF000000"/>
        <rFont val="Noto Sans CJK SC"/>
        <family val="2"/>
      </rPr>
      <t xml:space="preserve">越南語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病歷書寫助理</t>
    </r>
  </si>
  <si>
    <r>
      <rPr>
        <sz val="9"/>
        <color rgb="FF000000"/>
        <rFont val="Noto Sans CJK SC"/>
        <family val="2"/>
      </rPr>
      <t xml:space="preserve">找越南語醫療語音辨識夥伴，先在一家醫院做</t>
    </r>
    <r>
      <rPr>
        <sz val="9"/>
        <color rgb="FF000000"/>
        <rFont val="微軟正黑體"/>
        <family val="0"/>
        <charset val="1"/>
      </rPr>
      <t xml:space="preserve">PoC</t>
    </r>
  </si>
  <si>
    <r>
      <rPr>
        <sz val="9"/>
        <color rgb="FF000000"/>
        <rFont val="Noto Sans CJK SC"/>
        <family val="2"/>
      </rPr>
      <t xml:space="preserve">（示範）★白地商機：最大的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空白，語言就是護城河</t>
    </r>
  </si>
  <si>
    <r>
      <rPr>
        <sz val="9"/>
        <color rgb="FF404050"/>
        <rFont val="Noto Sans CJK SC"/>
        <family val="2"/>
      </rPr>
      <t xml:space="preserve">怎麼用：① </t>
    </r>
    <r>
      <rPr>
        <sz val="9"/>
        <color rgb="FF404050"/>
        <rFont val="微軟正黑體"/>
        <family val="0"/>
        <charset val="1"/>
      </rPr>
      <t xml:space="preserve">A</t>
    </r>
    <r>
      <rPr>
        <sz val="9"/>
        <color rgb="FF404050"/>
        <rFont val="Noto Sans CJK SC"/>
        <family val="2"/>
      </rPr>
      <t xml:space="preserve">欄下拉選一個商機 → </t>
    </r>
    <r>
      <rPr>
        <sz val="9"/>
        <color rgb="FF404050"/>
        <rFont val="微軟正黑體"/>
        <family val="0"/>
        <charset val="1"/>
      </rPr>
      <t xml:space="preserve">B-L</t>
    </r>
    <r>
      <rPr>
        <sz val="9"/>
        <color rgb="FF404050"/>
        <rFont val="Noto Sans CJK SC"/>
        <family val="2"/>
      </rPr>
      <t xml:space="preserve">欄（藍字）全部自動帶入，包含這個商機對應到哪幾項能力、平均分數、還缺幾個位置。② 只要填 </t>
    </r>
    <r>
      <rPr>
        <sz val="9"/>
        <color rgb="FF404050"/>
        <rFont val="微軟正黑體"/>
        <family val="0"/>
        <charset val="1"/>
      </rPr>
      <t xml:space="preserve">M-S </t>
    </r>
    <r>
      <rPr>
        <sz val="9"/>
        <color rgb="FF404050"/>
        <rFont val="Noto Sans CJK SC"/>
        <family val="2"/>
      </rPr>
      <t xml:space="preserve">欄：本案實際的付費方／交易模式／金額級距（字典的建議值就在左邊 </t>
    </r>
    <r>
      <rPr>
        <sz val="9"/>
        <color rgb="FF404050"/>
        <rFont val="微軟正黑體"/>
        <family val="0"/>
        <charset val="1"/>
      </rPr>
      <t xml:space="preserve">J-L </t>
    </r>
    <r>
      <rPr>
        <sz val="9"/>
        <color rgb="FF404050"/>
        <rFont val="Noto Sans CJK SC"/>
        <family val="2"/>
      </rPr>
      <t xml:space="preserve">欄可以對照）、成熟階段、主責與下一步。③ 想知道「這個商機到底包含哪些能力」→ 到 </t>
    </r>
    <r>
      <rPr>
        <sz val="9"/>
        <color rgb="FF404050"/>
        <rFont val="微軟正黑體"/>
        <family val="0"/>
        <charset val="1"/>
      </rPr>
      <t xml:space="preserve">16 </t>
    </r>
    <r>
      <rPr>
        <sz val="9"/>
        <color rgb="FF404050"/>
        <rFont val="Noto Sans CJK SC"/>
        <family val="2"/>
      </rPr>
      <t xml:space="preserve">能力商機矩陣看該商機那一欄打勾的列，或到 </t>
    </r>
    <r>
      <rPr>
        <sz val="9"/>
        <color rgb="FF404050"/>
        <rFont val="微軟正黑體"/>
        <family val="0"/>
        <charset val="1"/>
      </rPr>
      <t xml:space="preserve">03 </t>
    </r>
    <r>
      <rPr>
        <sz val="9"/>
        <color rgb="FF404050"/>
        <rFont val="Noto Sans CJK SC"/>
        <family val="2"/>
      </rPr>
      <t xml:space="preserve">能力總表用 </t>
    </r>
    <r>
      <rPr>
        <sz val="9"/>
        <color rgb="FF404050"/>
        <rFont val="微軟正黑體"/>
        <family val="0"/>
        <charset val="1"/>
      </rPr>
      <t xml:space="preserve">AF </t>
    </r>
    <r>
      <rPr>
        <sz val="9"/>
        <color rgb="FF404050"/>
        <rFont val="Noto Sans CJK SC"/>
        <family val="2"/>
      </rPr>
      <t xml:space="preserve">欄篩選。④ 下拉選單裡沒有你要的商機 → 到 </t>
    </r>
    <r>
      <rPr>
        <sz val="9"/>
        <color rgb="FF404050"/>
        <rFont val="微軟正黑體"/>
        <family val="0"/>
        <charset val="1"/>
      </rPr>
      <t xml:space="preserve">15 </t>
    </r>
    <r>
      <rPr>
        <sz val="9"/>
        <color rgb="FF404050"/>
        <rFont val="Noto Sans CJK SC"/>
        <family val="2"/>
      </rPr>
      <t xml:space="preserve">商機字典最下方新增一列即可，這裡的下拉會自動多一個選項。★ 前八列為示範資料（淺橘底），確認格式後直接覆寫成真實商機，或整列清空重填。★「○缺口數」大於</t>
    </r>
    <r>
      <rPr>
        <sz val="9"/>
        <color rgb="FF404050"/>
        <rFont val="微軟正黑體"/>
        <family val="0"/>
        <charset val="1"/>
      </rPr>
      <t xml:space="preserve">0</t>
    </r>
    <r>
      <rPr>
        <sz val="9"/>
        <color rgb="FF404050"/>
        <rFont val="Noto Sans CJK SC"/>
        <family val="2"/>
      </rPr>
      <t xml:space="preserve">代表這個商機還有位置沒人做；如果連「對應能力</t>
    </r>
    <r>
      <rPr>
        <sz val="9"/>
        <color rgb="FF404050"/>
        <rFont val="微軟正黑體"/>
        <family val="0"/>
        <charset val="1"/>
      </rPr>
      <t xml:space="preserve">CAP</t>
    </r>
    <r>
      <rPr>
        <sz val="9"/>
        <color rgb="FF404050"/>
        <rFont val="Noto Sans CJK SC"/>
        <family val="2"/>
      </rPr>
      <t xml:space="preserve">數」都是</t>
    </r>
    <r>
      <rPr>
        <sz val="9"/>
        <color rgb="FF404050"/>
        <rFont val="微軟正黑體"/>
        <family val="0"/>
        <charset val="1"/>
      </rPr>
      <t xml:space="preserve">0</t>
    </r>
    <r>
      <rPr>
        <sz val="9"/>
        <color rgb="FF404050"/>
        <rFont val="Noto Sans CJK SC"/>
        <family val="2"/>
      </rPr>
      <t xml:space="preserve">，那是白地商機——越南有這門生意但聯盟還沒有能力，要先去 </t>
    </r>
    <r>
      <rPr>
        <sz val="9"/>
        <color rgb="FF404050"/>
        <rFont val="微軟正黑體"/>
        <family val="0"/>
        <charset val="1"/>
      </rPr>
      <t xml:space="preserve">03 </t>
    </r>
    <r>
      <rPr>
        <sz val="9"/>
        <color rgb="FF404050"/>
        <rFont val="Noto Sans CJK SC"/>
        <family val="2"/>
      </rPr>
      <t xml:space="preserve">新增能力或去 </t>
    </r>
    <r>
      <rPr>
        <sz val="9"/>
        <color rgb="FF404050"/>
        <rFont val="微軟正黑體"/>
        <family val="0"/>
        <charset val="1"/>
      </rPr>
      <t xml:space="preserve">04 </t>
    </r>
    <r>
      <rPr>
        <sz val="9"/>
        <color rgb="FF404050"/>
        <rFont val="Noto Sans CJK SC"/>
        <family val="2"/>
      </rPr>
      <t xml:space="preserve">找新夥伴，這正是主動出擊的機會。</t>
    </r>
  </si>
  <si>
    <r>
      <rPr>
        <b val="true"/>
        <sz val="15"/>
        <color rgb="FFFFFFFF"/>
        <rFont val="微軟正黑體"/>
        <family val="0"/>
        <charset val="1"/>
      </rPr>
      <t xml:space="preserve">16 </t>
    </r>
    <r>
      <rPr>
        <b val="true"/>
        <sz val="15"/>
        <color rgb="FFFFFFFF"/>
        <rFont val="Noto Sans CJK SC"/>
        <family val="2"/>
      </rPr>
      <t xml:space="preserve">能力商機矩陣｜</t>
    </r>
    <r>
      <rPr>
        <b val="true"/>
        <sz val="15"/>
        <color rgb="FFFFFFFF"/>
        <rFont val="微軟正黑體"/>
        <family val="0"/>
        <charset val="1"/>
      </rPr>
      <t xml:space="preserve">Capability × Opportunity Map</t>
    </r>
    <r>
      <rPr>
        <b val="true"/>
        <sz val="15"/>
        <color rgb="FFFFFFFF"/>
        <rFont val="Noto Sans CJK SC"/>
        <family val="2"/>
      </rPr>
      <t xml:space="preserve">（一個能力可以同時屬於好幾個商機）</t>
    </r>
  </si>
  <si>
    <r>
      <rPr>
        <i val="true"/>
        <sz val="9.5"/>
        <color rgb="FF404040"/>
        <rFont val="Noto Sans CJK SC"/>
        <family val="2"/>
      </rPr>
      <t xml:space="preserve">❓ 這頁在回答：哪一項能力對應到哪些商機？（打✓即可）　　▸ 這是「能力</t>
    </r>
    <r>
      <rPr>
        <i val="true"/>
        <sz val="9.5"/>
        <color rgb="FF404040"/>
        <rFont val="微軟正黑體"/>
        <family val="0"/>
        <charset val="1"/>
      </rPr>
      <t xml:space="preserve">s ↔ </t>
    </r>
    <r>
      <rPr>
        <i val="true"/>
        <sz val="9.5"/>
        <color rgb="FF404040"/>
        <rFont val="Noto Sans CJK SC"/>
        <family val="2"/>
      </rPr>
      <t xml:space="preserve">商機</t>
    </r>
    <r>
      <rPr>
        <i val="true"/>
        <sz val="9.5"/>
        <color rgb="FF404040"/>
        <rFont val="微軟正黑體"/>
        <family val="0"/>
        <charset val="1"/>
      </rPr>
      <t xml:space="preserve">s</t>
    </r>
    <r>
      <rPr>
        <i val="true"/>
        <sz val="9.5"/>
        <color rgb="FF404040"/>
        <rFont val="Noto Sans CJK SC"/>
        <family val="2"/>
      </rPr>
      <t xml:space="preserve">」的多對多對照表。左邊三欄自動抓 </t>
    </r>
    <r>
      <rPr>
        <i val="true"/>
        <sz val="9.5"/>
        <color rgb="FF404040"/>
        <rFont val="微軟正黑體"/>
        <family val="0"/>
        <charset val="1"/>
      </rPr>
      <t xml:space="preserve">03 </t>
    </r>
    <r>
      <rPr>
        <i val="true"/>
        <sz val="9.5"/>
        <color rgb="FF404040"/>
        <rFont val="Noto Sans CJK SC"/>
        <family val="2"/>
      </rPr>
      <t xml:space="preserve">能力總表，右邊每一欄代表 </t>
    </r>
    <r>
      <rPr>
        <i val="true"/>
        <sz val="9.5"/>
        <color rgb="FF404040"/>
        <rFont val="微軟正黑體"/>
        <family val="0"/>
        <charset val="1"/>
      </rPr>
      <t xml:space="preserve">15 </t>
    </r>
    <r>
      <rPr>
        <i val="true"/>
        <sz val="9.5"/>
        <color rgb="FF404040"/>
        <rFont val="Noto Sans CJK SC"/>
        <family val="2"/>
      </rPr>
      <t xml:space="preserve">商機字典裡的一個商機（目前 </t>
    </r>
    <r>
      <rPr>
        <i val="true"/>
        <sz val="9.5"/>
        <color rgb="FF404040"/>
        <rFont val="微軟正黑體"/>
        <family val="0"/>
        <charset val="1"/>
      </rPr>
      <t xml:space="preserve">85 </t>
    </r>
    <r>
      <rPr>
        <i val="true"/>
        <sz val="9.5"/>
        <color rgb="FF404040"/>
        <rFont val="Noto Sans CJK SC"/>
        <family val="2"/>
      </rPr>
      <t xml:space="preserve">個，欄位顏色＝商機族群 </t>
    </r>
    <r>
      <rPr>
        <i val="true"/>
        <sz val="9.5"/>
        <color rgb="FF404040"/>
        <rFont val="微軟正黑體"/>
        <family val="0"/>
        <charset val="1"/>
      </rPr>
      <t xml:space="preserve">A~J</t>
    </r>
    <r>
      <rPr>
        <i val="true"/>
        <sz val="9.5"/>
        <color rgb="FF404040"/>
        <rFont val="Noto Sans CJK SC"/>
        <family val="2"/>
      </rPr>
      <t xml:space="preserve">）。要把某個能力歸到某個商機，就在交叉格用下拉打「✓」，不用打字。勾完之後：</t>
    </r>
    <r>
      <rPr>
        <i val="true"/>
        <sz val="9.5"/>
        <color rgb="FF404040"/>
        <rFont val="微軟正黑體"/>
        <family val="0"/>
        <charset val="1"/>
      </rPr>
      <t xml:space="preserve">03</t>
    </r>
    <r>
      <rPr>
        <i val="true"/>
        <sz val="9.5"/>
        <color rgb="FF404040"/>
        <rFont val="Noto Sans CJK SC"/>
        <family val="2"/>
      </rPr>
      <t xml:space="preserve">能力總表</t>
    </r>
    <r>
      <rPr>
        <i val="true"/>
        <sz val="9.5"/>
        <color rgb="FF404040"/>
        <rFont val="微軟正黑體"/>
        <family val="0"/>
        <charset val="1"/>
      </rPr>
      <t xml:space="preserve">AF</t>
    </r>
    <r>
      <rPr>
        <i val="true"/>
        <sz val="9.5"/>
        <color rgb="FF404040"/>
        <rFont val="Noto Sans CJK SC"/>
        <family val="2"/>
      </rPr>
      <t xml:space="preserve">欄「所屬商機」、</t>
    </r>
    <r>
      <rPr>
        <i val="true"/>
        <sz val="9.5"/>
        <color rgb="FF404040"/>
        <rFont val="微軟正黑體"/>
        <family val="0"/>
        <charset val="1"/>
      </rPr>
      <t xml:space="preserve">15</t>
    </r>
    <r>
      <rPr>
        <i val="true"/>
        <sz val="9.5"/>
        <color rgb="FF404040"/>
        <rFont val="Noto Sans CJK SC"/>
        <family val="2"/>
      </rPr>
      <t xml:space="preserve">商機字典的</t>
    </r>
    <r>
      <rPr>
        <i val="true"/>
        <sz val="9.5"/>
        <color rgb="FF404040"/>
        <rFont val="微軟正黑體"/>
        <family val="0"/>
        <charset val="1"/>
      </rPr>
      <t xml:space="preserve">CAP</t>
    </r>
    <r>
      <rPr>
        <i val="true"/>
        <sz val="9.5"/>
        <color rgb="FF404040"/>
        <rFont val="Noto Sans CJK SC"/>
        <family val="2"/>
      </rPr>
      <t xml:space="preserve">數／平均分／缺口數、</t>
    </r>
    <r>
      <rPr>
        <i val="true"/>
        <sz val="9.5"/>
        <color rgb="FF404040"/>
        <rFont val="微軟正黑體"/>
        <family val="0"/>
        <charset val="1"/>
      </rPr>
      <t xml:space="preserve">14</t>
    </r>
    <r>
      <rPr>
        <i val="true"/>
        <sz val="9.5"/>
        <color rgb="FF404040"/>
        <rFont val="Noto Sans CJK SC"/>
        <family val="2"/>
      </rPr>
      <t xml:space="preserve">商機清單的所有藍字欄位，全部自動更新。★ 某一欄整欄沒有✓＝聯盟目前沒有能力承接那個商機（白地商機），那不是錯誤，是主動出擊的標的。</t>
    </r>
  </si>
  <si>
    <r>
      <rPr>
        <b val="true"/>
        <sz val="10"/>
        <color rgb="FFFFFFFF"/>
        <rFont val="Noto Sans CJK SC"/>
        <family val="2"/>
      </rPr>
      <t xml:space="preserve">領域
</t>
    </r>
    <r>
      <rPr>
        <b val="true"/>
        <sz val="10"/>
        <color rgb="FFFFFFFF"/>
        <rFont val="微軟正黑體"/>
        <family val="0"/>
        <charset val="1"/>
      </rPr>
      <t xml:space="preserve">Domain</t>
    </r>
  </si>
  <si>
    <r>
      <rPr>
        <b val="true"/>
        <sz val="10"/>
        <color rgb="FFFFFFFF"/>
        <rFont val="Noto Sans CJK SC"/>
        <family val="2"/>
      </rPr>
      <t xml:space="preserve">能力項目
</t>
    </r>
    <r>
      <rPr>
        <b val="true"/>
        <sz val="10"/>
        <color rgb="FFFFFFFF"/>
        <rFont val="微軟正黑體"/>
        <family val="0"/>
        <charset val="1"/>
      </rPr>
      <t xml:space="preserve">Capability</t>
    </r>
  </si>
  <si>
    <r>
      <rPr>
        <b val="true"/>
        <sz val="10"/>
        <color rgb="FFFFFFFF"/>
        <rFont val="Noto Sans CJK SC"/>
        <family val="2"/>
      </rPr>
      <t xml:space="preserve">組成公式
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隱藏勿刪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</si>
  <si>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對應商機（自動）
</t>
    </r>
    <r>
      <rPr>
        <b val="true"/>
        <sz val="10"/>
        <color rgb="FFFFFFFF"/>
        <rFont val="微軟正黑體"/>
        <family val="0"/>
        <charset val="1"/>
      </rPr>
      <t xml:space="preserve">Opportunities</t>
    </r>
  </si>
  <si>
    <t xml:space="preserve">✓</t>
  </si>
  <si>
    <r>
      <rPr>
        <b val="true"/>
        <sz val="9"/>
        <color rgb="FFFFFFFF"/>
        <rFont val="Noto Sans CJK SC"/>
        <family val="2"/>
      </rPr>
      <t xml:space="preserve">對應</t>
    </r>
    <r>
      <rPr>
        <b val="true"/>
        <sz val="9"/>
        <color rgb="FFFFFFFF"/>
        <rFont val="微軟正黑體"/>
        <family val="0"/>
        <charset val="1"/>
      </rPr>
      <t xml:space="preserve">CAP</t>
    </r>
    <r>
      <rPr>
        <b val="true"/>
        <sz val="9"/>
        <color rgb="FFFFFFFF"/>
        <rFont val="Noto Sans CJK SC"/>
        <family val="2"/>
      </rPr>
      <t xml:space="preserve">數</t>
    </r>
  </si>
  <si>
    <t xml:space="preserve">平均價值分</t>
  </si>
  <si>
    <r>
      <rPr>
        <b val="true"/>
        <sz val="9"/>
        <color rgb="FFFFFFFF"/>
        <rFont val="Noto Sans CJK SC"/>
        <family val="2"/>
      </rPr>
      <t xml:space="preserve">涵蓋領域 </t>
    </r>
    <r>
      <rPr>
        <b val="true"/>
        <sz val="9"/>
        <color rgb="FFFFFFFF"/>
        <rFont val="微軟正黑體"/>
        <family val="0"/>
        <charset val="1"/>
      </rPr>
      <t xml:space="preserve">Domains</t>
    </r>
  </si>
  <si>
    <r>
      <rPr>
        <b val="true"/>
        <sz val="9"/>
        <color rgb="FFFFFFFF"/>
        <rFont val="Noto Sans CJK SC"/>
        <family val="2"/>
      </rPr>
      <t xml:space="preserve">群晶主導</t>
    </r>
    <r>
      <rPr>
        <b val="true"/>
        <sz val="9"/>
        <color rgb="FFFFFFFF"/>
        <rFont val="微軟正黑體"/>
        <family val="0"/>
        <charset val="1"/>
      </rPr>
      <t xml:space="preserve">CAP</t>
    </r>
    <r>
      <rPr>
        <b val="true"/>
        <sz val="9"/>
        <color rgb="FFFFFFFF"/>
        <rFont val="Noto Sans CJK SC"/>
        <family val="2"/>
      </rPr>
      <t xml:space="preserve">數</t>
    </r>
  </si>
  <si>
    <r>
      <rPr>
        <sz val="9"/>
        <color rgb="FF404050"/>
        <rFont val="Noto Sans CJK SC"/>
        <family val="2"/>
      </rPr>
      <t xml:space="preserve">怎麼用：① 想知道某個能力可以賣進哪些商機 → 看該列最右邊的「對應商機」欄。② 想把新能力歸類 → 在該列對應商機欄位的下拉選「✓」（可以勾好幾個，這就是多對多）。③ 想新增商機類型 → 到 </t>
    </r>
    <r>
      <rPr>
        <sz val="9"/>
        <color rgb="FF404050"/>
        <rFont val="微軟正黑體"/>
        <family val="0"/>
        <charset val="1"/>
      </rPr>
      <t xml:space="preserve">15 </t>
    </r>
    <r>
      <rPr>
        <sz val="9"/>
        <color rgb="FF404050"/>
        <rFont val="Noto Sans CJK SC"/>
        <family val="2"/>
      </rPr>
      <t xml:space="preserve">商機字典最下方新增一列，本頁對應那一欄的代號與名稱會自動出現（已預留 </t>
    </r>
    <r>
      <rPr>
        <sz val="9"/>
        <color rgb="FF404050"/>
        <rFont val="微軟正黑體"/>
        <family val="0"/>
        <charset val="1"/>
      </rPr>
      <t xml:space="preserve">90 </t>
    </r>
    <r>
      <rPr>
        <sz val="9"/>
        <color rgb="FF404050"/>
        <rFont val="Noto Sans CJK SC"/>
        <family val="2"/>
      </rPr>
      <t xml:space="preserve">欄）。④ 欄位標題的顏色＝商機族群：深藍</t>
    </r>
    <r>
      <rPr>
        <sz val="9"/>
        <color rgb="FF404050"/>
        <rFont val="微軟正黑體"/>
        <family val="0"/>
        <charset val="1"/>
      </rPr>
      <t xml:space="preserve">A</t>
    </r>
    <r>
      <rPr>
        <sz val="9"/>
        <color rgb="FF404050"/>
        <rFont val="Noto Sans CJK SC"/>
        <family val="2"/>
      </rPr>
      <t xml:space="preserve">規劃投資／綠</t>
    </r>
    <r>
      <rPr>
        <sz val="9"/>
        <color rgb="FF404050"/>
        <rFont val="微軟正黑體"/>
        <family val="0"/>
        <charset val="1"/>
      </rPr>
      <t xml:space="preserve">B</t>
    </r>
    <r>
      <rPr>
        <sz val="9"/>
        <color rgb="FF404050"/>
        <rFont val="Noto Sans CJK SC"/>
        <family val="2"/>
      </rPr>
      <t xml:space="preserve">工程設施／紅</t>
    </r>
    <r>
      <rPr>
        <sz val="9"/>
        <color rgb="FF404050"/>
        <rFont val="微軟正黑體"/>
        <family val="0"/>
        <charset val="1"/>
      </rPr>
      <t xml:space="preserve">C</t>
    </r>
    <r>
      <rPr>
        <sz val="9"/>
        <color rgb="FF404050"/>
        <rFont val="Noto Sans CJK SC"/>
        <family val="2"/>
      </rPr>
      <t xml:space="preserve">醫材設備／藍</t>
    </r>
    <r>
      <rPr>
        <sz val="9"/>
        <color rgb="FF404050"/>
        <rFont val="微軟正黑體"/>
        <family val="0"/>
        <charset val="1"/>
      </rPr>
      <t xml:space="preserve">D</t>
    </r>
    <r>
      <rPr>
        <sz val="9"/>
        <color rgb="FF404050"/>
        <rFont val="Noto Sans CJK SC"/>
        <family val="2"/>
      </rPr>
      <t xml:space="preserve">數位基建／青</t>
    </r>
    <r>
      <rPr>
        <sz val="9"/>
        <color rgb="FF404050"/>
        <rFont val="微軟正黑體"/>
        <family val="0"/>
        <charset val="1"/>
      </rPr>
      <t xml:space="preserve">E</t>
    </r>
    <r>
      <rPr>
        <sz val="9"/>
        <color rgb="FF404050"/>
        <rFont val="Noto Sans CJK SC"/>
        <family val="2"/>
      </rPr>
      <t xml:space="preserve">醫療資訊／紫</t>
    </r>
    <r>
      <rPr>
        <sz val="9"/>
        <color rgb="FF404050"/>
        <rFont val="微軟正黑體"/>
        <family val="0"/>
        <charset val="1"/>
      </rPr>
      <t xml:space="preserve">F AI</t>
    </r>
    <r>
      <rPr>
        <sz val="9"/>
        <color rgb="FF404050"/>
        <rFont val="Noto Sans CJK SC"/>
        <family val="2"/>
      </rPr>
      <t xml:space="preserve">智慧醫療／橘</t>
    </r>
    <r>
      <rPr>
        <sz val="9"/>
        <color rgb="FF404050"/>
        <rFont val="微軟正黑體"/>
        <family val="0"/>
        <charset val="1"/>
      </rPr>
      <t xml:space="preserve">G</t>
    </r>
    <r>
      <rPr>
        <sz val="9"/>
        <color rgb="FF404050"/>
        <rFont val="Noto Sans CJK SC"/>
        <family val="2"/>
      </rPr>
      <t xml:space="preserve">品質人才／墨綠</t>
    </r>
    <r>
      <rPr>
        <sz val="9"/>
        <color rgb="FF404050"/>
        <rFont val="微軟正黑體"/>
        <family val="0"/>
        <charset val="1"/>
      </rPr>
      <t xml:space="preserve">H</t>
    </r>
    <r>
      <rPr>
        <sz val="9"/>
        <color rgb="FF404050"/>
        <rFont val="Noto Sans CJK SC"/>
        <family val="2"/>
      </rPr>
      <t xml:space="preserve">供應鏈維運／磚紅</t>
    </r>
    <r>
      <rPr>
        <sz val="9"/>
        <color rgb="FF404050"/>
        <rFont val="微軟正黑體"/>
        <family val="0"/>
        <charset val="1"/>
      </rPr>
      <t xml:space="preserve">I</t>
    </r>
    <r>
      <rPr>
        <sz val="9"/>
        <color rgb="FF404050"/>
        <rFont val="Noto Sans CJK SC"/>
        <family val="2"/>
      </rPr>
      <t xml:space="preserve">照護服務／金</t>
    </r>
    <r>
      <rPr>
        <sz val="9"/>
        <color rgb="FF404050"/>
        <rFont val="微軟正黑體"/>
        <family val="0"/>
        <charset val="1"/>
      </rPr>
      <t xml:space="preserve">J</t>
    </r>
    <r>
      <rPr>
        <sz val="9"/>
        <color rgb="FF404050"/>
        <rFont val="Noto Sans CJK SC"/>
        <family val="2"/>
      </rPr>
      <t xml:space="preserve">商模支付。★ 本頁左邊三欄與最右邊兩欄都是公式，請不要手動打字覆蓋；只要動中間的「✓」就好。★★ 目前的✓為 </t>
    </r>
    <r>
      <rPr>
        <sz val="9"/>
        <color rgb="FF404050"/>
        <rFont val="微軟正黑體"/>
        <family val="0"/>
        <charset val="1"/>
      </rPr>
      <t xml:space="preserve">PI </t>
    </r>
    <r>
      <rPr>
        <sz val="9"/>
        <color rgb="FF404050"/>
        <rFont val="Noto Sans CJK SC"/>
        <family val="2"/>
      </rPr>
      <t xml:space="preserve">初判（</t>
    </r>
    <r>
      <rPr>
        <sz val="9"/>
        <color rgb="FF404050"/>
        <rFont val="微軟正黑體"/>
        <family val="0"/>
        <charset val="1"/>
      </rPr>
      <t xml:space="preserve">v1.0</t>
    </r>
    <r>
      <rPr>
        <sz val="9"/>
        <color rgb="FF404050"/>
        <rFont val="Noto Sans CJK SC"/>
        <family val="2"/>
      </rPr>
      <t xml:space="preserve">，</t>
    </r>
    <r>
      <rPr>
        <sz val="9"/>
        <color rgb="FF404050"/>
        <rFont val="微軟正黑體"/>
        <family val="0"/>
        <charset val="1"/>
      </rPr>
      <t xml:space="preserve">2026-08</t>
    </r>
    <r>
      <rPr>
        <sz val="9"/>
        <color rgb="FF404050"/>
        <rFont val="Noto Sans CJK SC"/>
        <family val="2"/>
      </rPr>
      <t xml:space="preserve">，依產業邏輯預填），對外引用統計數字前請逐商機覆核；覆核完成請在 </t>
    </r>
    <r>
      <rPr>
        <sz val="9"/>
        <color rgb="FF404050"/>
        <rFont val="微軟正黑體"/>
        <family val="0"/>
        <charset val="1"/>
      </rPr>
      <t xml:space="preserve">10 </t>
    </r>
    <r>
      <rPr>
        <sz val="9"/>
        <color rgb="FF404050"/>
        <rFont val="Noto Sans CJK SC"/>
        <family val="2"/>
      </rPr>
      <t xml:space="preserve">決策紀錄補記錄。</t>
    </r>
  </si>
  <si>
    <r>
      <rPr>
        <b val="true"/>
        <sz val="15"/>
        <color rgb="FFFFFFFF"/>
        <rFont val="微軟正黑體"/>
        <family val="0"/>
        <charset val="1"/>
      </rPr>
      <t xml:space="preserve">02 </t>
    </r>
    <r>
      <rPr>
        <b val="true"/>
        <sz val="15"/>
        <color rgb="FFFFFFFF"/>
        <rFont val="Noto Sans CJK SC"/>
        <family val="2"/>
      </rPr>
      <t xml:space="preserve">情境權重｜</t>
    </r>
    <r>
      <rPr>
        <b val="true"/>
        <sz val="15"/>
        <color rgb="FFFFFFFF"/>
        <rFont val="微軟正黑體"/>
        <family val="0"/>
        <charset val="1"/>
      </rPr>
      <t xml:space="preserve">Scenario, Weights &amp; Baseline</t>
    </r>
  </si>
  <si>
    <r>
      <rPr>
        <i val="true"/>
        <sz val="9.5"/>
        <color rgb="FF404040"/>
        <rFont val="Noto Sans CJK SC"/>
        <family val="2"/>
      </rPr>
      <t xml:space="preserve">❓ 這頁在回答：這個專案看重什麼？分數怎麼算出來的？　　▸ 黃色儲存格＝可編輯。本頁的權重驅動</t>
    </r>
    <r>
      <rPr>
        <i val="true"/>
        <sz val="9.5"/>
        <color rgb="FF404040"/>
        <rFont val="微軟正黑體"/>
        <family val="0"/>
        <charset val="1"/>
      </rPr>
      <t xml:space="preserve">03</t>
    </r>
    <r>
      <rPr>
        <i val="true"/>
        <sz val="9.5"/>
        <color rgb="FF404040"/>
        <rFont val="Noto Sans CJK SC"/>
        <family val="2"/>
      </rPr>
      <t xml:space="preserve">能力總表的價值分</t>
    </r>
    <r>
      <rPr>
        <i val="true"/>
        <sz val="9.5"/>
        <color rgb="FF404040"/>
        <rFont val="微軟正黑體"/>
        <family val="0"/>
        <charset val="1"/>
      </rPr>
      <t xml:space="preserve">/</t>
    </r>
    <r>
      <rPr>
        <i val="true"/>
        <sz val="9.5"/>
        <color rgb="FF404040"/>
        <rFont val="Noto Sans CJK SC"/>
        <family val="2"/>
      </rPr>
      <t xml:space="preserve">準備分；基線診斷供</t>
    </r>
    <r>
      <rPr>
        <i val="true"/>
        <sz val="9.5"/>
        <color rgb="FF404040"/>
        <rFont val="微軟正黑體"/>
        <family val="0"/>
        <charset val="1"/>
      </rPr>
      <t xml:space="preserve">KPI</t>
    </r>
    <r>
      <rPr>
        <i val="true"/>
        <sz val="9.5"/>
        <color rgb="FF404040"/>
        <rFont val="Noto Sans CJK SC"/>
        <family val="2"/>
      </rPr>
      <t xml:space="preserve">成熟度追蹤。</t>
    </r>
  </si>
  <si>
    <r>
      <rPr>
        <b val="true"/>
        <sz val="11"/>
        <color rgb="FF1F3864"/>
        <rFont val="微軟正黑體"/>
        <family val="0"/>
        <charset val="1"/>
      </rPr>
      <t xml:space="preserve">A. </t>
    </r>
    <r>
      <rPr>
        <b val="true"/>
        <sz val="11"/>
        <color rgb="FF1F3864"/>
        <rFont val="Noto Sans CJK SC"/>
        <family val="2"/>
      </rPr>
      <t xml:space="preserve">專案輪廓 </t>
    </r>
    <r>
      <rPr>
        <b val="true"/>
        <sz val="11"/>
        <color rgb="FF1F3864"/>
        <rFont val="微軟正黑體"/>
        <family val="0"/>
        <charset val="1"/>
      </rPr>
      <t xml:space="preserve">Engagement profile</t>
    </r>
  </si>
  <si>
    <r>
      <rPr>
        <b val="true"/>
        <sz val="10"/>
        <color rgb="FFFFFFFF"/>
        <rFont val="Noto Sans CJK SC"/>
        <family val="2"/>
      </rPr>
      <t xml:space="preserve">欄位 </t>
    </r>
    <r>
      <rPr>
        <b val="true"/>
        <sz val="10"/>
        <color rgb="FFFFFFFF"/>
        <rFont val="微軟正黑體"/>
        <family val="0"/>
        <charset val="1"/>
      </rPr>
      <t xml:space="preserve">Field</t>
    </r>
  </si>
  <si>
    <r>
      <rPr>
        <b val="true"/>
        <sz val="10"/>
        <color rgb="FFFFFFFF"/>
        <rFont val="Noto Sans CJK SC"/>
        <family val="2"/>
      </rPr>
      <t xml:space="preserve">目前設定 </t>
    </r>
    <r>
      <rPr>
        <b val="true"/>
        <sz val="10"/>
        <color rgb="FFFFFFFF"/>
        <rFont val="微軟正黑體"/>
        <family val="0"/>
        <charset val="1"/>
      </rPr>
      <t xml:space="preserve">Input</t>
    </r>
  </si>
  <si>
    <r>
      <rPr>
        <b val="true"/>
        <sz val="10"/>
        <color rgb="FFFFFFFF"/>
        <rFont val="Noto Sans CJK SC"/>
        <family val="2"/>
      </rPr>
      <t xml:space="preserve">顧問說明 </t>
    </r>
    <r>
      <rPr>
        <b val="true"/>
        <sz val="10"/>
        <color rgb="FFFFFFFF"/>
        <rFont val="微軟正黑體"/>
        <family val="0"/>
        <charset val="1"/>
      </rPr>
      <t xml:space="preserve">Note</t>
    </r>
  </si>
  <si>
    <r>
      <rPr>
        <b val="true"/>
        <sz val="9.5"/>
        <color rgb="FF000000"/>
        <rFont val="微軟正黑體"/>
        <family val="0"/>
        <charset val="1"/>
      </rPr>
      <t xml:space="preserve">Project name</t>
    </r>
    <r>
      <rPr>
        <b val="true"/>
        <sz val="9.5"/>
        <color rgb="FF000000"/>
        <rFont val="Noto Sans CJK SC"/>
        <family val="2"/>
      </rPr>
      <t xml:space="preserve">｜專案名稱</t>
    </r>
  </si>
  <si>
    <r>
      <rPr>
        <sz val="9.5"/>
        <color rgb="FF000000"/>
        <rFont val="微軟正黑體"/>
        <family val="0"/>
        <charset val="1"/>
      </rPr>
      <t xml:space="preserve">Vietnam Modern Hospital Ecosystem / </t>
    </r>
    <r>
      <rPr>
        <sz val="9.5"/>
        <color rgb="FF000000"/>
        <rFont val="Noto Sans CJK SC"/>
        <family val="2"/>
      </rPr>
      <t xml:space="preserve">越南現代醫院生態計畫</t>
    </r>
  </si>
  <si>
    <t xml:space="preserve">Working title; update after sponsor confirmation</t>
  </si>
  <si>
    <r>
      <rPr>
        <b val="true"/>
        <sz val="9.5"/>
        <color rgb="FF000000"/>
        <rFont val="微軟正黑體"/>
        <family val="0"/>
        <charset val="1"/>
      </rPr>
      <t xml:space="preserve">Primary location</t>
    </r>
    <r>
      <rPr>
        <b val="true"/>
        <sz val="9.5"/>
        <color rgb="FF000000"/>
        <rFont val="Noto Sans CJK SC"/>
        <family val="2"/>
      </rPr>
      <t xml:space="preserve">｜主要地點</t>
    </r>
  </si>
  <si>
    <r>
      <rPr>
        <sz val="9.5"/>
        <color rgb="FF000000"/>
        <rFont val="微軟正黑體"/>
        <family val="0"/>
        <charset val="1"/>
      </rPr>
      <t xml:space="preserve">Hanoi candidate / </t>
    </r>
    <r>
      <rPr>
        <sz val="9.5"/>
        <color rgb="FF000000"/>
        <rFont val="Noto Sans CJK SC"/>
        <family val="2"/>
      </rPr>
      <t xml:space="preserve">河內候選</t>
    </r>
  </si>
  <si>
    <t xml:space="preserve">Capital-level opportunity; exact site TBD</t>
  </si>
  <si>
    <r>
      <rPr>
        <b val="true"/>
        <sz val="9.5"/>
        <color rgb="FF000000"/>
        <rFont val="微軟正黑體"/>
        <family val="0"/>
        <charset val="1"/>
      </rPr>
      <t xml:space="preserve">Opportunity scenario</t>
    </r>
    <r>
      <rPr>
        <b val="true"/>
        <sz val="9.5"/>
        <color rgb="FF000000"/>
        <rFont val="Noto Sans CJK SC"/>
        <family val="2"/>
      </rPr>
      <t xml:space="preserve">｜商機情境</t>
    </r>
  </si>
  <si>
    <r>
      <rPr>
        <sz val="9.5"/>
        <color rgb="FF000000"/>
        <rFont val="微軟正黑體"/>
        <family val="0"/>
        <charset val="1"/>
      </rPr>
      <t xml:space="preserve">Portfolio - All / </t>
    </r>
    <r>
      <rPr>
        <sz val="9.5"/>
        <color rgb="FF000000"/>
        <rFont val="Noto Sans CJK SC"/>
        <family val="2"/>
      </rPr>
      <t xml:space="preserve">組合型（全納入）</t>
    </r>
  </si>
  <si>
    <t xml:space="preserve">Do not exclude viable business models at screening stage</t>
  </si>
  <si>
    <r>
      <rPr>
        <b val="true"/>
        <sz val="9.5"/>
        <color rgb="FF000000"/>
        <rFont val="微軟正黑體"/>
        <family val="0"/>
        <charset val="1"/>
      </rPr>
      <t xml:space="preserve">Hospital type</t>
    </r>
    <r>
      <rPr>
        <b val="true"/>
        <sz val="9.5"/>
        <color rgb="FF000000"/>
        <rFont val="Noto Sans CJK SC"/>
        <family val="2"/>
      </rPr>
      <t xml:space="preserve">｜醫院定位</t>
    </r>
  </si>
  <si>
    <r>
      <rPr>
        <sz val="9.5"/>
        <color rgb="FF000000"/>
        <rFont val="微軟正黑體"/>
        <family val="0"/>
        <charset val="1"/>
      </rPr>
      <t xml:space="preserve">Custom / </t>
    </r>
    <r>
      <rPr>
        <sz val="9.5"/>
        <color rgb="FF000000"/>
        <rFont val="Noto Sans CJK SC"/>
        <family val="2"/>
      </rPr>
      <t xml:space="preserve">客製</t>
    </r>
  </si>
  <si>
    <t xml:space="preserve">Each opportunity requires its own clinical and commercial plan</t>
  </si>
  <si>
    <r>
      <rPr>
        <b val="true"/>
        <sz val="9.5"/>
        <color rgb="FF000000"/>
        <rFont val="微軟正黑體"/>
        <family val="0"/>
        <charset val="1"/>
      </rPr>
      <t xml:space="preserve">Delivery scope</t>
    </r>
    <r>
      <rPr>
        <b val="true"/>
        <sz val="9.5"/>
        <color rgb="FF000000"/>
        <rFont val="Noto Sans CJK SC"/>
        <family val="2"/>
      </rPr>
      <t xml:space="preserve">｜交付範圍</t>
    </r>
  </si>
  <si>
    <r>
      <rPr>
        <sz val="9.5"/>
        <color rgb="FF000000"/>
        <rFont val="微軟正黑體"/>
        <family val="0"/>
        <charset val="1"/>
      </rPr>
      <t xml:space="preserve">Advisory + Build + Operate / </t>
    </r>
    <r>
      <rPr>
        <sz val="9.5"/>
        <color rgb="FF000000"/>
        <rFont val="Noto Sans CJK SC"/>
        <family val="2"/>
      </rPr>
      <t xml:space="preserve">顧問＋建置＋營運</t>
    </r>
  </si>
  <si>
    <t xml:space="preserve">Consortium must evidence all three capabilities</t>
  </si>
  <si>
    <r>
      <rPr>
        <b val="true"/>
        <sz val="9.5"/>
        <color rgb="FF000000"/>
        <rFont val="微軟正黑體"/>
        <family val="0"/>
        <charset val="1"/>
      </rPr>
      <t xml:space="preserve">Alliance convener</t>
    </r>
    <r>
      <rPr>
        <b val="true"/>
        <sz val="9.5"/>
        <color rgb="FF000000"/>
        <rFont val="Noto Sans CJK SC"/>
        <family val="2"/>
      </rPr>
      <t xml:space="preserve">｜聯盟召集人</t>
    </r>
  </si>
  <si>
    <r>
      <rPr>
        <sz val="9.5"/>
        <color rgb="FF000000"/>
        <rFont val="Noto Sans CJK SC"/>
        <family val="2"/>
      </rPr>
      <t xml:space="preserve">群晶科技 </t>
    </r>
    <r>
      <rPr>
        <sz val="9.5"/>
        <color rgb="FF000000"/>
        <rFont val="微軟正黑體"/>
        <family val="0"/>
        <charset val="1"/>
      </rPr>
      <t xml:space="preserve">(English legal name TBD)</t>
    </r>
  </si>
  <si>
    <t xml:space="preserve">Convener and digital-infrastructure workstream lead</t>
  </si>
  <si>
    <r>
      <rPr>
        <b val="true"/>
        <sz val="9.5"/>
        <color rgb="FF000000"/>
        <rFont val="微軟正黑體"/>
        <family val="0"/>
        <charset val="1"/>
      </rPr>
      <t xml:space="preserve">Transaction model</t>
    </r>
    <r>
      <rPr>
        <b val="true"/>
        <sz val="9.5"/>
        <color rgb="FF000000"/>
        <rFont val="Noto Sans CJK SC"/>
        <family val="2"/>
      </rPr>
      <t xml:space="preserve">｜交易模式</t>
    </r>
  </si>
  <si>
    <r>
      <rPr>
        <sz val="9.5"/>
        <color rgb="FF000000"/>
        <rFont val="微軟正黑體"/>
        <family val="0"/>
        <charset val="1"/>
      </rPr>
      <t xml:space="preserve">TBD / </t>
    </r>
    <r>
      <rPr>
        <sz val="9.5"/>
        <color rgb="FF000000"/>
        <rFont val="Noto Sans CJK SC"/>
        <family val="2"/>
      </rPr>
      <t xml:space="preserve">未定</t>
    </r>
  </si>
  <si>
    <t xml:space="preserve">Compare procurement, PPP, JV and private investment</t>
  </si>
  <si>
    <r>
      <rPr>
        <b val="true"/>
        <sz val="9.5"/>
        <color rgb="FF000000"/>
        <rFont val="微軟正黑體"/>
        <family val="0"/>
        <charset val="1"/>
      </rPr>
      <t xml:space="preserve">Government sponsor</t>
    </r>
    <r>
      <rPr>
        <b val="true"/>
        <sz val="9.5"/>
        <color rgb="FF000000"/>
        <rFont val="Noto Sans CJK SC"/>
        <family val="2"/>
      </rPr>
      <t xml:space="preserve">｜政府贊助</t>
    </r>
  </si>
  <si>
    <r>
      <rPr>
        <sz val="9.5"/>
        <color rgb="FF000000"/>
        <rFont val="微軟正黑體"/>
        <family val="0"/>
        <charset val="1"/>
      </rPr>
      <t xml:space="preserve">Capital-level political sponsor / </t>
    </r>
    <r>
      <rPr>
        <sz val="9.5"/>
        <color rgb="FF000000"/>
        <rFont val="Noto Sans CJK SC"/>
        <family val="2"/>
      </rPr>
      <t xml:space="preserve">首都層級政治贊助</t>
    </r>
  </si>
  <si>
    <t xml:space="preserve">Secretary assistance; formal mandate still required</t>
  </si>
  <si>
    <r>
      <rPr>
        <b val="true"/>
        <sz val="9.5"/>
        <color rgb="FF000000"/>
        <rFont val="微軟正黑體"/>
        <family val="0"/>
        <charset val="1"/>
      </rPr>
      <t xml:space="preserve">Workbook language</t>
    </r>
    <r>
      <rPr>
        <b val="true"/>
        <sz val="9.5"/>
        <color rgb="FF000000"/>
        <rFont val="Noto Sans CJK SC"/>
        <family val="2"/>
      </rPr>
      <t xml:space="preserve">｜活頁簿語言</t>
    </r>
  </si>
  <si>
    <r>
      <rPr>
        <sz val="9.5"/>
        <color rgb="FF000000"/>
        <rFont val="微軟正黑體"/>
        <family val="0"/>
        <charset val="1"/>
      </rPr>
      <t xml:space="preserve">Chinese / English</t>
    </r>
    <r>
      <rPr>
        <sz val="9.5"/>
        <color rgb="FF000000"/>
        <rFont val="Noto Sans CJK SC"/>
        <family val="2"/>
      </rPr>
      <t xml:space="preserve">｜中／英文</t>
    </r>
  </si>
  <si>
    <t xml:space="preserve">Vietnamese version can be generated after official terminology review</t>
  </si>
  <si>
    <r>
      <rPr>
        <b val="true"/>
        <sz val="9.5"/>
        <color rgb="FF000000"/>
        <rFont val="微軟正黑體"/>
        <family val="0"/>
        <charset val="1"/>
      </rPr>
      <t xml:space="preserve">Illustrative start</t>
    </r>
    <r>
      <rPr>
        <b val="true"/>
        <sz val="9.5"/>
        <color rgb="FF000000"/>
        <rFont val="Noto Sans CJK SC"/>
        <family val="2"/>
      </rPr>
      <t xml:space="preserve">｜示意起始</t>
    </r>
  </si>
  <si>
    <t xml:space="preserve">Replace with authorized programme start</t>
  </si>
  <si>
    <r>
      <rPr>
        <b val="true"/>
        <sz val="9.5"/>
        <color rgb="FF000000"/>
        <rFont val="微軟正黑體"/>
        <family val="0"/>
        <charset val="1"/>
      </rPr>
      <t xml:space="preserve">Planning horizon (months)</t>
    </r>
    <r>
      <rPr>
        <b val="true"/>
        <sz val="9.5"/>
        <color rgb="FF000000"/>
        <rFont val="Noto Sans CJK SC"/>
        <family val="2"/>
      </rPr>
      <t xml:space="preserve">｜規劃月數</t>
    </r>
  </si>
  <si>
    <t xml:space="preserve">Scenario driver for the roadmap</t>
  </si>
  <si>
    <r>
      <rPr>
        <b val="true"/>
        <sz val="11"/>
        <color rgb="FF1F3864"/>
        <rFont val="微軟正黑體"/>
        <family val="0"/>
        <charset val="1"/>
      </rPr>
      <t xml:space="preserve">B. </t>
    </r>
    <r>
      <rPr>
        <b val="true"/>
        <sz val="11"/>
        <color rgb="FF1F3864"/>
        <rFont val="Noto Sans CJK SC"/>
        <family val="2"/>
      </rPr>
      <t xml:space="preserve">價值評分權重 </t>
    </r>
    <r>
      <rPr>
        <b val="true"/>
        <sz val="11"/>
        <color rgb="FF1F3864"/>
        <rFont val="微軟正黑體"/>
        <family val="0"/>
        <charset val="1"/>
      </rPr>
      <t xml:space="preserve">Value weights</t>
    </r>
    <r>
      <rPr>
        <b val="true"/>
        <sz val="11"/>
        <color rgb="FF1F3864"/>
        <rFont val="Noto Sans CJK SC"/>
        <family val="2"/>
      </rPr>
      <t xml:space="preserve">（合計須</t>
    </r>
    <r>
      <rPr>
        <b val="true"/>
        <sz val="11"/>
        <color rgb="FF1F3864"/>
        <rFont val="微軟正黑體"/>
        <family val="0"/>
        <charset val="1"/>
      </rPr>
      <t xml:space="preserve">=1</t>
    </r>
    <r>
      <rPr>
        <b val="true"/>
        <sz val="11"/>
        <color rgb="FF1F3864"/>
        <rFont val="Noto Sans CJK SC"/>
        <family val="2"/>
      </rPr>
      <t xml:space="preserve">）</t>
    </r>
  </si>
  <si>
    <t xml:space="preserve">準則</t>
  </si>
  <si>
    <t xml:space="preserve">定義</t>
  </si>
  <si>
    <t xml:space="preserve">權重</t>
  </si>
  <si>
    <t xml:space="preserve">政府與政策</t>
  </si>
  <si>
    <t xml:space="preserve">政府契合、政策優先性與贊助授權</t>
  </si>
  <si>
    <t xml:space="preserve">臨床價值</t>
  </si>
  <si>
    <t xml:space="preserve">安全、品質與健康成果貢獻</t>
  </si>
  <si>
    <t xml:space="preserve">商業潛力</t>
  </si>
  <si>
    <t xml:space="preserve">收入、可簽約性、可擴散與重複生意</t>
  </si>
  <si>
    <t xml:space="preserve">權重檢查</t>
  </si>
  <si>
    <r>
      <rPr>
        <b val="true"/>
        <sz val="11"/>
        <color rgb="FF1F3864"/>
        <rFont val="微軟正黑體"/>
        <family val="0"/>
        <charset val="1"/>
      </rPr>
      <t xml:space="preserve">C. </t>
    </r>
    <r>
      <rPr>
        <b val="true"/>
        <sz val="11"/>
        <color rgb="FF1F3864"/>
        <rFont val="Noto Sans CJK SC"/>
        <family val="2"/>
      </rPr>
      <t xml:space="preserve">準備度評分權重 </t>
    </r>
    <r>
      <rPr>
        <b val="true"/>
        <sz val="11"/>
        <color rgb="FF1F3864"/>
        <rFont val="微軟正黑體"/>
        <family val="0"/>
        <charset val="1"/>
      </rPr>
      <t xml:space="preserve">Readiness weights</t>
    </r>
    <r>
      <rPr>
        <b val="true"/>
        <sz val="11"/>
        <color rgb="FF1F3864"/>
        <rFont val="Noto Sans CJK SC"/>
        <family val="2"/>
      </rPr>
      <t xml:space="preserve">（合計須</t>
    </r>
    <r>
      <rPr>
        <b val="true"/>
        <sz val="11"/>
        <color rgb="FF1F3864"/>
        <rFont val="微軟正黑體"/>
        <family val="0"/>
        <charset val="1"/>
      </rPr>
      <t xml:space="preserve">=1</t>
    </r>
    <r>
      <rPr>
        <b val="true"/>
        <sz val="11"/>
        <color rgb="FF1F3864"/>
        <rFont val="Noto Sans CJK SC"/>
        <family val="2"/>
      </rPr>
      <t xml:space="preserve">）</t>
    </r>
  </si>
  <si>
    <t xml:space="preserve">法規就緒</t>
  </si>
  <si>
    <t xml:space="preserve">執照、資料合規與採購可行性</t>
  </si>
  <si>
    <t xml:space="preserve">夥伴與技術</t>
  </si>
  <si>
    <t xml:space="preserve">夥伴實績、技術成熟度與在地交付</t>
  </si>
  <si>
    <t xml:space="preserve">資金與依賴</t>
  </si>
  <si>
    <t xml:space="preserve">預算融資、場址與前置決策</t>
  </si>
  <si>
    <r>
      <rPr>
        <b val="true"/>
        <sz val="11"/>
        <color rgb="FF1F3864"/>
        <rFont val="微軟正黑體"/>
        <family val="0"/>
        <charset val="1"/>
      </rPr>
      <t xml:space="preserve">D. </t>
    </r>
    <r>
      <rPr>
        <b val="true"/>
        <sz val="11"/>
        <color rgb="FF1F3864"/>
        <rFont val="Noto Sans CJK SC"/>
        <family val="2"/>
      </rPr>
      <t xml:space="preserve">基線診斷 </t>
    </r>
    <r>
      <rPr>
        <b val="true"/>
        <sz val="11"/>
        <color rgb="FF1F3864"/>
        <rFont val="微軟正黑體"/>
        <family val="0"/>
        <charset val="1"/>
      </rPr>
      <t xml:space="preserve">Baseline</t>
    </r>
    <r>
      <rPr>
        <b val="true"/>
        <sz val="11"/>
        <color rgb="FF1F3864"/>
        <rFont val="Noto Sans CJK SC"/>
        <family val="2"/>
      </rPr>
      <t xml:space="preserve">（</t>
    </r>
    <r>
      <rPr>
        <b val="true"/>
        <sz val="11"/>
        <color rgb="FF1F3864"/>
        <rFont val="微軟正黑體"/>
        <family val="0"/>
        <charset val="1"/>
      </rPr>
      <t xml:space="preserve">0-5</t>
    </r>
    <r>
      <rPr>
        <b val="true"/>
        <sz val="11"/>
        <color rgb="FF1F3864"/>
        <rFont val="Noto Sans CJK SC"/>
        <family val="2"/>
      </rPr>
      <t xml:space="preserve">；有證據才評分，未知≠</t>
    </r>
    <r>
      <rPr>
        <b val="true"/>
        <sz val="11"/>
        <color rgb="FF1F3864"/>
        <rFont val="微軟正黑體"/>
        <family val="0"/>
        <charset val="1"/>
      </rPr>
      <t xml:space="preserve">0</t>
    </r>
    <r>
      <rPr>
        <b val="true"/>
        <sz val="11"/>
        <color rgb="FF1F3864"/>
        <rFont val="Noto Sans CJK SC"/>
        <family val="2"/>
      </rPr>
      <t xml:space="preserve">）</t>
    </r>
  </si>
  <si>
    <t xml:space="preserve">診斷問題</t>
  </si>
  <si>
    <t xml:space="preserve">現況</t>
  </si>
  <si>
    <t xml:space="preserve">目標</t>
  </si>
  <si>
    <t xml:space="preserve">差距</t>
  </si>
  <si>
    <r>
      <rPr>
        <b val="true"/>
        <sz val="10"/>
        <color rgb="FFFFFFFF"/>
        <rFont val="Noto Sans CJK SC"/>
        <family val="2"/>
      </rPr>
      <t xml:space="preserve">證據</t>
    </r>
    <r>
      <rPr>
        <b val="true"/>
        <sz val="10"/>
        <color rgb="FFFFFFFF"/>
        <rFont val="微軟正黑體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信心</t>
    </r>
  </si>
  <si>
    <r>
      <rPr>
        <b val="true"/>
        <sz val="9"/>
        <color rgb="FF000000"/>
        <rFont val="微軟正黑體"/>
        <family val="0"/>
        <charset val="1"/>
      </rPr>
      <t xml:space="preserve">D01 </t>
    </r>
    <r>
      <rPr>
        <b val="true"/>
        <sz val="9"/>
        <color rgb="FF000000"/>
        <rFont val="Noto Sans CJK SC"/>
        <family val="2"/>
      </rPr>
      <t xml:space="preserve">治理與投資</t>
    </r>
  </si>
  <si>
    <t xml:space="preserve">是否已有正式政府授權、業主與交易路徑？</t>
  </si>
  <si>
    <r>
      <rPr>
        <sz val="11"/>
        <color theme="1"/>
        <rFont val="Noto Sans CJK SC"/>
        <family val="2"/>
      </rPr>
      <t xml:space="preserve">待補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低</t>
    </r>
  </si>
  <si>
    <r>
      <rPr>
        <b val="true"/>
        <sz val="9"/>
        <color rgb="FF000000"/>
        <rFont val="微軟正黑體"/>
        <family val="0"/>
        <charset val="1"/>
      </rPr>
      <t xml:space="preserve">D02 </t>
    </r>
    <r>
      <rPr>
        <b val="true"/>
        <sz val="9"/>
        <color rgb="FF000000"/>
        <rFont val="Noto Sans CJK SC"/>
        <family val="2"/>
      </rPr>
      <t xml:space="preserve">臨床服務模式</t>
    </r>
  </si>
  <si>
    <t xml:space="preserve">是否以人口需求與轉診角色定義醫院服務？</t>
  </si>
  <si>
    <r>
      <rPr>
        <b val="true"/>
        <sz val="9"/>
        <color rgb="FF000000"/>
        <rFont val="微軟正黑體"/>
        <family val="0"/>
        <charset val="1"/>
      </rPr>
      <t xml:space="preserve">D03 </t>
    </r>
    <r>
      <rPr>
        <b val="true"/>
        <sz val="9"/>
        <color rgb="FF000000"/>
        <rFont val="Noto Sans CJK SC"/>
        <family val="2"/>
      </rPr>
      <t xml:space="preserve">醫院設施與機電</t>
    </r>
  </si>
  <si>
    <t xml:space="preserve">場址、建築、機電與感染控制是否可支持目標服務？</t>
  </si>
  <si>
    <r>
      <rPr>
        <b val="true"/>
        <sz val="9"/>
        <color rgb="FF000000"/>
        <rFont val="微軟正黑體"/>
        <family val="0"/>
        <charset val="1"/>
      </rPr>
      <t xml:space="preserve">D04 </t>
    </r>
    <r>
      <rPr>
        <b val="true"/>
        <sz val="9"/>
        <color rgb="FF000000"/>
        <rFont val="Noto Sans CJK SC"/>
        <family val="2"/>
      </rPr>
      <t xml:space="preserve">數位基建與物聯網</t>
    </r>
  </si>
  <si>
    <r>
      <rPr>
        <sz val="9"/>
        <color rgb="FF000000"/>
        <rFont val="微軟正黑體"/>
        <family val="0"/>
        <charset val="1"/>
      </rPr>
      <t xml:space="preserve">IDC</t>
    </r>
    <r>
      <rPr>
        <sz val="9"/>
        <color rgb="FF000000"/>
        <rFont val="Noto Sans CJK SC"/>
        <family val="2"/>
      </rPr>
      <t xml:space="preserve">、網路、資安與</t>
    </r>
    <r>
      <rPr>
        <sz val="9"/>
        <color rgb="FF000000"/>
        <rFont val="微軟正黑體"/>
        <family val="0"/>
        <charset val="1"/>
      </rPr>
      <t xml:space="preserve">IoT</t>
    </r>
    <r>
      <rPr>
        <sz val="9"/>
        <color rgb="FF000000"/>
        <rFont val="Noto Sans CJK SC"/>
        <family val="2"/>
      </rPr>
      <t xml:space="preserve">是否具高可用與維運能力？</t>
    </r>
  </si>
  <si>
    <r>
      <rPr>
        <b val="true"/>
        <sz val="9"/>
        <color rgb="FF000000"/>
        <rFont val="微軟正黑體"/>
        <family val="0"/>
        <charset val="1"/>
      </rPr>
      <t xml:space="preserve">D05 </t>
    </r>
    <r>
      <rPr>
        <b val="true"/>
        <sz val="9"/>
        <color rgb="FF000000"/>
        <rFont val="Noto Sans CJK SC"/>
        <family val="2"/>
      </rPr>
      <t xml:space="preserve">醫材與診斷</t>
    </r>
  </si>
  <si>
    <t xml:space="preserve">醫材是否完成需求、法規、介接與全生命週期規劃？</t>
  </si>
  <si>
    <r>
      <rPr>
        <b val="true"/>
        <sz val="9"/>
        <color rgb="FF000000"/>
        <rFont val="微軟正黑體"/>
        <family val="0"/>
        <charset val="1"/>
      </rPr>
      <t xml:space="preserve">D06 </t>
    </r>
    <r>
      <rPr>
        <b val="true"/>
        <sz val="9"/>
        <color rgb="FF000000"/>
        <rFont val="Noto Sans CJK SC"/>
        <family val="2"/>
      </rPr>
      <t xml:space="preserve">醫療資訊與資料</t>
    </r>
  </si>
  <si>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、資料標準、主索引與介接治理是否明確？</t>
    </r>
  </si>
  <si>
    <r>
      <rPr>
        <b val="true"/>
        <sz val="9"/>
        <color rgb="FF000000"/>
        <rFont val="微軟正黑體"/>
        <family val="0"/>
        <charset val="1"/>
      </rPr>
      <t xml:space="preserve">D07 </t>
    </r>
    <r>
      <rPr>
        <b val="true"/>
        <sz val="9"/>
        <color rgb="FF000000"/>
        <rFont val="Noto Sans CJK SC"/>
        <family val="2"/>
      </rPr>
      <t xml:space="preserve">品質與病安</t>
    </r>
  </si>
  <si>
    <t xml:space="preserve">是否存在可量測的品質、病安與持續改善制度？</t>
  </si>
  <si>
    <r>
      <rPr>
        <b val="true"/>
        <sz val="9"/>
        <color rgb="FF000000"/>
        <rFont val="微軟正黑體"/>
        <family val="0"/>
        <charset val="1"/>
      </rPr>
      <t xml:space="preserve">D08 </t>
    </r>
    <r>
      <rPr>
        <b val="true"/>
        <sz val="9"/>
        <color rgb="FF000000"/>
        <rFont val="Noto Sans CJK SC"/>
        <family val="2"/>
      </rPr>
      <t xml:space="preserve">人才與技轉</t>
    </r>
  </si>
  <si>
    <t xml:space="preserve">是否有足夠人才、能力標準與技術移轉計畫？</t>
  </si>
  <si>
    <r>
      <rPr>
        <b val="true"/>
        <sz val="9"/>
        <color rgb="FF000000"/>
        <rFont val="微軟正黑體"/>
        <family val="0"/>
        <charset val="1"/>
      </rPr>
      <t xml:space="preserve">D09 </t>
    </r>
    <r>
      <rPr>
        <b val="true"/>
        <sz val="9"/>
        <color rgb="FF000000"/>
        <rFont val="Noto Sans CJK SC"/>
        <family val="2"/>
      </rPr>
      <t xml:space="preserve">供應鏈與維運</t>
    </r>
  </si>
  <si>
    <t xml:space="preserve">供應鏈、維護、備品與設施管理是否可長期運作？</t>
  </si>
  <si>
    <r>
      <rPr>
        <b val="true"/>
        <sz val="9"/>
        <color rgb="FF000000"/>
        <rFont val="微軟正黑體"/>
        <family val="0"/>
        <charset val="1"/>
      </rPr>
      <t xml:space="preserve">D10 </t>
    </r>
    <r>
      <rPr>
        <b val="true"/>
        <sz val="9"/>
        <color rgb="FF000000"/>
        <rFont val="Noto Sans CJK SC"/>
        <family val="2"/>
      </rPr>
      <t xml:space="preserve">商模與病人生態</t>
    </r>
  </si>
  <si>
    <t xml:space="preserve">收入、支付、投資與風險分配是否具可行性？</t>
  </si>
  <si>
    <r>
      <rPr>
        <b val="true"/>
        <sz val="15"/>
        <color rgb="FFFFFFFF"/>
        <rFont val="微軟正黑體"/>
        <family val="0"/>
        <charset val="1"/>
      </rPr>
      <t xml:space="preserve">03 </t>
    </r>
    <r>
      <rPr>
        <b val="true"/>
        <sz val="15"/>
        <color rgb="FFFFFFFF"/>
        <rFont val="Noto Sans CJK SC"/>
        <family val="2"/>
      </rPr>
      <t xml:space="preserve">能力總表｜</t>
    </r>
    <r>
      <rPr>
        <b val="true"/>
        <sz val="15"/>
        <color rgb="FFFFFFFF"/>
        <rFont val="微軟正黑體"/>
        <family val="0"/>
        <charset val="1"/>
      </rPr>
      <t xml:space="preserve">Capability Master</t>
    </r>
    <r>
      <rPr>
        <b val="true"/>
        <sz val="15"/>
        <color rgb="FFFFFFFF"/>
        <rFont val="Noto Sans CJK SC"/>
        <family val="2"/>
      </rPr>
      <t xml:space="preserve">（單一資料源 </t>
    </r>
    <r>
      <rPr>
        <b val="true"/>
        <sz val="15"/>
        <color rgb="FFFFFFFF"/>
        <rFont val="微軟正黑體"/>
        <family val="0"/>
        <charset val="1"/>
      </rPr>
      <t xml:space="preserve">Single Source of Truth</t>
    </r>
    <r>
      <rPr>
        <b val="true"/>
        <sz val="15"/>
        <color rgb="FFFFFFFF"/>
        <rFont val="Noto Sans CJK SC"/>
        <family val="2"/>
      </rPr>
      <t xml:space="preserve">）</t>
    </r>
  </si>
  <si>
    <r>
      <rPr>
        <i val="true"/>
        <sz val="9.5"/>
        <color rgb="FF404040"/>
        <rFont val="Noto Sans CJK SC"/>
        <family val="2"/>
      </rPr>
      <t xml:space="preserve">❓ 這頁在回答：我們會做什麼、缺什麼、誰能做、值多少？（★全檔資料源）　　▸ 本表是全工具唯一的資料輸入處（</t>
    </r>
    <r>
      <rPr>
        <i val="true"/>
        <sz val="9.5"/>
        <color rgb="FF404040"/>
        <rFont val="微軟正黑體"/>
        <family val="0"/>
        <charset val="1"/>
      </rPr>
      <t xml:space="preserve">C</t>
    </r>
    <r>
      <rPr>
        <i val="true"/>
        <sz val="9.5"/>
        <color rgb="FF404040"/>
        <rFont val="Noto Sans CJK SC"/>
        <family val="2"/>
      </rPr>
      <t xml:space="preserve">軸：能做什麼</t>
    </r>
    <r>
      <rPr>
        <i val="true"/>
        <sz val="9.5"/>
        <color rgb="FF404040"/>
        <rFont val="微軟正黑體"/>
        <family val="0"/>
        <charset val="1"/>
      </rPr>
      <t xml:space="preserve">/</t>
    </r>
    <r>
      <rPr>
        <i val="true"/>
        <sz val="9.5"/>
        <color rgb="FF404040"/>
        <rFont val="Noto Sans CJK SC"/>
        <family val="2"/>
      </rPr>
      <t xml:space="preserve">缺什麼</t>
    </r>
    <r>
      <rPr>
        <i val="true"/>
        <sz val="9.5"/>
        <color rgb="FF404040"/>
        <rFont val="微軟正黑體"/>
        <family val="0"/>
        <charset val="1"/>
      </rPr>
      <t xml:space="preserve">/</t>
    </r>
    <r>
      <rPr>
        <i val="true"/>
        <sz val="9.5"/>
        <color rgb="FF404040"/>
        <rFont val="Noto Sans CJK SC"/>
        <family val="2"/>
      </rPr>
      <t xml:space="preserve">誰能做）。黃色儲存格＝可編輯；藍字＝公式勿改。「拼圖狀態」＝聯盟拼圖：●群晶主導 ◆夥伴已確認 ◐夥伴洽談中 ○缺口</t>
    </r>
    <r>
      <rPr>
        <i val="true"/>
        <sz val="9.5"/>
        <color rgb="FF404040"/>
        <rFont val="微軟正黑體"/>
        <family val="0"/>
        <charset val="1"/>
      </rPr>
      <t xml:space="preserve">-</t>
    </r>
    <r>
      <rPr>
        <i val="true"/>
        <sz val="9.5"/>
        <color rgb="FF404040"/>
        <rFont val="Noto Sans CJK SC"/>
        <family val="2"/>
      </rPr>
      <t xml:space="preserve">待尋找（＝要去找的產品</t>
    </r>
    <r>
      <rPr>
        <i val="true"/>
        <sz val="9.5"/>
        <color rgb="FF404040"/>
        <rFont val="微軟正黑體"/>
        <family val="0"/>
        <charset val="1"/>
      </rPr>
      <t xml:space="preserve">/</t>
    </r>
    <r>
      <rPr>
        <i val="true"/>
        <sz val="9.5"/>
        <color rgb="FF404040"/>
        <rFont val="Noto Sans CJK SC"/>
        <family val="2"/>
      </rPr>
      <t xml:space="preserve">資源</t>
    </r>
    <r>
      <rPr>
        <i val="true"/>
        <sz val="9.5"/>
        <color rgb="FF404040"/>
        <rFont val="微軟正黑體"/>
        <family val="0"/>
        <charset val="1"/>
      </rPr>
      <t xml:space="preserve">/</t>
    </r>
    <r>
      <rPr>
        <i val="true"/>
        <sz val="9.5"/>
        <color rgb="FF404040"/>
        <rFont val="Noto Sans CJK SC"/>
        <family val="2"/>
      </rPr>
      <t xml:space="preserve">技術）。</t>
    </r>
    <r>
      <rPr>
        <i val="true"/>
        <sz val="9.5"/>
        <color rgb="FF404040"/>
        <rFont val="微軟正黑體"/>
        <family val="0"/>
        <charset val="1"/>
      </rPr>
      <t xml:space="preserve">AB-AE</t>
    </r>
    <r>
      <rPr>
        <i val="true"/>
        <sz val="9.5"/>
        <color rgb="FF404040"/>
        <rFont val="Noto Sans CJK SC"/>
        <family val="2"/>
      </rPr>
      <t xml:space="preserve">為擴充追蹤欄位（能力成熟度</t>
    </r>
    <r>
      <rPr>
        <i val="true"/>
        <sz val="9.5"/>
        <color rgb="FF404040"/>
        <rFont val="微軟正黑體"/>
        <family val="0"/>
        <charset val="1"/>
      </rPr>
      <t xml:space="preserve">/</t>
    </r>
    <r>
      <rPr>
        <i val="true"/>
        <sz val="9.5"/>
        <color rgb="FF404040"/>
        <rFont val="Noto Sans CJK SC"/>
        <family val="2"/>
      </rPr>
      <t xml:space="preserve">驗收指標</t>
    </r>
    <r>
      <rPr>
        <i val="true"/>
        <sz val="9.5"/>
        <color rgb="FF404040"/>
        <rFont val="微軟正黑體"/>
        <family val="0"/>
        <charset val="1"/>
      </rPr>
      <t xml:space="preserve">/</t>
    </r>
    <r>
      <rPr>
        <i val="true"/>
        <sz val="9.5"/>
        <color rgb="FF404040"/>
        <rFont val="Noto Sans CJK SC"/>
        <family val="2"/>
      </rPr>
      <t xml:space="preserve">資料依賴</t>
    </r>
    <r>
      <rPr>
        <i val="true"/>
        <sz val="9.5"/>
        <color rgb="FF404040"/>
        <rFont val="微軟正黑體"/>
        <family val="0"/>
        <charset val="1"/>
      </rPr>
      <t xml:space="preserve">/</t>
    </r>
    <r>
      <rPr>
        <i val="true"/>
        <sz val="9.5"/>
        <color rgb="FF404040"/>
        <rFont val="Noto Sans CJK SC"/>
        <family val="2"/>
      </rPr>
      <t xml:space="preserve">證據成熟度）；</t>
    </r>
    <r>
      <rPr>
        <i val="true"/>
        <sz val="9.5"/>
        <color rgb="FF404040"/>
        <rFont val="微軟正黑體"/>
        <family val="0"/>
        <charset val="1"/>
      </rPr>
      <t xml:space="preserve">AF</t>
    </r>
    <r>
      <rPr>
        <i val="true"/>
        <sz val="9.5"/>
        <color rgb="FF404040"/>
        <rFont val="Noto Sans CJK SC"/>
        <family val="2"/>
      </rPr>
      <t xml:space="preserve">「所屬商機」是公式自動帶入，要改請到 </t>
    </r>
    <r>
      <rPr>
        <i val="true"/>
        <sz val="9.5"/>
        <color rgb="FF404040"/>
        <rFont val="微軟正黑體"/>
        <family val="0"/>
        <charset val="1"/>
      </rPr>
      <t xml:space="preserve">16_</t>
    </r>
    <r>
      <rPr>
        <i val="true"/>
        <sz val="9.5"/>
        <color rgb="FF404040"/>
        <rFont val="Noto Sans CJK SC"/>
        <family val="2"/>
      </rPr>
      <t xml:space="preserve">能力商機矩陣 勾選（一個能力可以同時屬於好幾個商機）。不影響前</t>
    </r>
    <r>
      <rPr>
        <i val="true"/>
        <sz val="9.5"/>
        <color rgb="FF404040"/>
        <rFont val="微軟正黑體"/>
        <family val="0"/>
        <charset val="1"/>
      </rPr>
      <t xml:space="preserve">27</t>
    </r>
    <r>
      <rPr>
        <i val="true"/>
        <sz val="9.5"/>
        <color rgb="FF404040"/>
        <rFont val="Noto Sans CJK SC"/>
        <family val="2"/>
      </rPr>
      <t xml:space="preserve">欄的既有公式。</t>
    </r>
  </si>
  <si>
    <r>
      <rPr>
        <b val="true"/>
        <sz val="10"/>
        <color rgb="FFFFFFFF"/>
        <rFont val="Noto Sans CJK SC"/>
        <family val="2"/>
      </rPr>
      <t xml:space="preserve">階段
</t>
    </r>
    <r>
      <rPr>
        <b val="true"/>
        <sz val="10"/>
        <color rgb="FFFFFFFF"/>
        <rFont val="微軟正黑體"/>
        <family val="0"/>
        <charset val="1"/>
      </rPr>
      <t xml:space="preserve">Stage</t>
    </r>
  </si>
  <si>
    <r>
      <rPr>
        <b val="true"/>
        <sz val="10"/>
        <color rgb="FFFFFFFF"/>
        <rFont val="Noto Sans CJK SC"/>
        <family val="2"/>
      </rPr>
      <t xml:space="preserve">業務線
</t>
    </r>
    <r>
      <rPr>
        <b val="true"/>
        <sz val="10"/>
        <color rgb="FFFFFFFF"/>
        <rFont val="微軟正黑體"/>
        <family val="0"/>
        <charset val="1"/>
      </rPr>
      <t xml:space="preserve">Biz line</t>
    </r>
  </si>
  <si>
    <r>
      <rPr>
        <b val="true"/>
        <sz val="10"/>
        <color rgb="FFFFFFFF"/>
        <rFont val="Noto Sans CJK SC"/>
        <family val="2"/>
      </rPr>
      <t xml:space="preserve">能力項目
</t>
    </r>
    <r>
      <rPr>
        <b val="true"/>
        <sz val="10"/>
        <color rgb="FFFFFFFF"/>
        <rFont val="微軟正黑體"/>
        <family val="0"/>
        <charset val="1"/>
      </rPr>
      <t xml:space="preserve">Capability(</t>
    </r>
    <r>
      <rPr>
        <b val="true"/>
        <sz val="10"/>
        <color rgb="FFFFFFFF"/>
        <rFont val="Noto Sans CJK SC"/>
        <family val="2"/>
      </rPr>
      <t xml:space="preserve">中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</si>
  <si>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t xml:space="preserve">Capability (EN)</t>
  </si>
  <si>
    <r>
      <rPr>
        <b val="true"/>
        <sz val="10"/>
        <color rgb="FFFFFFFF"/>
        <rFont val="Noto Sans CJK SC"/>
        <family val="2"/>
      </rPr>
      <t xml:space="preserve">預期成果
</t>
    </r>
    <r>
      <rPr>
        <b val="true"/>
        <sz val="10"/>
        <color rgb="FFFFFFFF"/>
        <rFont val="微軟正黑體"/>
        <family val="0"/>
        <charset val="1"/>
      </rPr>
      <t xml:space="preserve">Outcome</t>
    </r>
  </si>
  <si>
    <r>
      <rPr>
        <b val="true"/>
        <sz val="10"/>
        <color rgb="FFFFFFFF"/>
        <rFont val="Noto Sans CJK SC"/>
        <family val="2"/>
      </rPr>
      <t xml:space="preserve">拼圖狀態
</t>
    </r>
    <r>
      <rPr>
        <b val="true"/>
        <sz val="10"/>
        <color rgb="FFFFFFFF"/>
        <rFont val="微軟正黑體"/>
        <family val="0"/>
        <charset val="1"/>
      </rPr>
      <t xml:space="preserve">Puzzle</t>
    </r>
  </si>
  <si>
    <r>
      <rPr>
        <b val="true"/>
        <sz val="10"/>
        <color rgb="FFFFFFFF"/>
        <rFont val="Noto Sans CJK SC"/>
        <family val="2"/>
      </rPr>
      <t xml:space="preserve">主責角色
</t>
    </r>
    <r>
      <rPr>
        <b val="true"/>
        <sz val="10"/>
        <color rgb="FFFFFFFF"/>
        <rFont val="微軟正黑體"/>
        <family val="0"/>
        <charset val="1"/>
      </rPr>
      <t xml:space="preserve">Lead</t>
    </r>
  </si>
  <si>
    <r>
      <rPr>
        <b val="true"/>
        <sz val="10"/>
        <color rgb="FFFFFFFF"/>
        <rFont val="Noto Sans CJK SC"/>
        <family val="2"/>
      </rPr>
      <t xml:space="preserve">候選夥伴
</t>
    </r>
    <r>
      <rPr>
        <b val="true"/>
        <sz val="10"/>
        <color rgb="FFFFFFFF"/>
        <rFont val="微軟正黑體"/>
        <family val="0"/>
        <charset val="1"/>
      </rPr>
      <t xml:space="preserve">Candidate</t>
    </r>
  </si>
  <si>
    <r>
      <rPr>
        <b val="true"/>
        <sz val="10"/>
        <color rgb="FFFFFFFF"/>
        <rFont val="Noto Sans CJK SC"/>
        <family val="2"/>
      </rPr>
      <t xml:space="preserve">缺什麼</t>
    </r>
    <r>
      <rPr>
        <b val="true"/>
        <sz val="10"/>
        <color rgb="FFFFFFFF"/>
        <rFont val="微軟正黑體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下一步
</t>
    </r>
    <r>
      <rPr>
        <b val="true"/>
        <sz val="10"/>
        <color rgb="FFFFFFFF"/>
        <rFont val="微軟正黑體"/>
        <family val="0"/>
        <charset val="1"/>
      </rPr>
      <t xml:space="preserve">Gap &amp; next</t>
    </r>
  </si>
  <si>
    <r>
      <rPr>
        <b val="true"/>
        <sz val="10"/>
        <color rgb="FFFFFFFF"/>
        <rFont val="Noto Sans CJK SC"/>
        <family val="2"/>
      </rPr>
      <t xml:space="preserve">關鍵門檻
</t>
    </r>
    <r>
      <rPr>
        <b val="true"/>
        <sz val="10"/>
        <color rgb="FFFFFFFF"/>
        <rFont val="微軟正黑體"/>
        <family val="0"/>
        <charset val="1"/>
      </rPr>
      <t xml:space="preserve">Gate refs</t>
    </r>
  </si>
  <si>
    <r>
      <rPr>
        <b val="true"/>
        <sz val="10"/>
        <color rgb="FFFFFFFF"/>
        <rFont val="Noto Sans CJK SC"/>
        <family val="2"/>
      </rPr>
      <t xml:space="preserve">門檻狀態
</t>
    </r>
    <r>
      <rPr>
        <b val="true"/>
        <sz val="10"/>
        <color rgb="FFFFFFFF"/>
        <rFont val="微軟正黑體"/>
        <family val="0"/>
        <charset val="1"/>
      </rPr>
      <t xml:space="preserve">Gate</t>
    </r>
  </si>
  <si>
    <r>
      <rPr>
        <b val="true"/>
        <sz val="10"/>
        <color rgb="FFFFFFFF"/>
        <rFont val="Noto Sans CJK SC"/>
        <family val="2"/>
      </rPr>
      <t xml:space="preserve">價</t>
    </r>
    <r>
      <rPr>
        <b val="true"/>
        <sz val="10"/>
        <color rgb="FFFFFFFF"/>
        <rFont val="微軟正黑體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政府</t>
    </r>
  </si>
  <si>
    <r>
      <rPr>
        <b val="true"/>
        <sz val="10"/>
        <color rgb="FFFFFFFF"/>
        <rFont val="Noto Sans CJK SC"/>
        <family val="2"/>
      </rPr>
      <t xml:space="preserve">價</t>
    </r>
    <r>
      <rPr>
        <b val="true"/>
        <sz val="10"/>
        <color rgb="FFFFFFFF"/>
        <rFont val="微軟正黑體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臨床</t>
    </r>
  </si>
  <si>
    <r>
      <rPr>
        <b val="true"/>
        <sz val="10"/>
        <color rgb="FFFFFFFF"/>
        <rFont val="Noto Sans CJK SC"/>
        <family val="2"/>
      </rPr>
      <t xml:space="preserve">價</t>
    </r>
    <r>
      <rPr>
        <b val="true"/>
        <sz val="10"/>
        <color rgb="FFFFFFFF"/>
        <rFont val="微軟正黑體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商業</t>
    </r>
  </si>
  <si>
    <r>
      <rPr>
        <b val="true"/>
        <sz val="10"/>
        <color rgb="FFFFFFFF"/>
        <rFont val="Noto Sans CJK SC"/>
        <family val="2"/>
      </rPr>
      <t xml:space="preserve">價值分
</t>
    </r>
    <r>
      <rPr>
        <b val="true"/>
        <sz val="10"/>
        <color rgb="FFFFFFFF"/>
        <rFont val="微軟正黑體"/>
        <family val="0"/>
        <charset val="1"/>
      </rPr>
      <t xml:space="preserve">Value</t>
    </r>
  </si>
  <si>
    <r>
      <rPr>
        <b val="true"/>
        <sz val="10"/>
        <color rgb="FFFFFFFF"/>
        <rFont val="Noto Sans CJK SC"/>
        <family val="2"/>
      </rPr>
      <t xml:space="preserve">備</t>
    </r>
    <r>
      <rPr>
        <b val="true"/>
        <sz val="10"/>
        <color rgb="FFFFFFFF"/>
        <rFont val="微軟正黑體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法規</t>
    </r>
  </si>
  <si>
    <r>
      <rPr>
        <b val="true"/>
        <sz val="10"/>
        <color rgb="FFFFFFFF"/>
        <rFont val="Noto Sans CJK SC"/>
        <family val="2"/>
      </rPr>
      <t xml:space="preserve">備</t>
    </r>
    <r>
      <rPr>
        <b val="true"/>
        <sz val="10"/>
        <color rgb="FFFFFFFF"/>
        <rFont val="微軟正黑體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夥伴</t>
    </r>
  </si>
  <si>
    <r>
      <rPr>
        <b val="true"/>
        <sz val="10"/>
        <color rgb="FFFFFFFF"/>
        <rFont val="Noto Sans CJK SC"/>
        <family val="2"/>
      </rPr>
      <t xml:space="preserve">備</t>
    </r>
    <r>
      <rPr>
        <b val="true"/>
        <sz val="10"/>
        <color rgb="FFFFFFFF"/>
        <rFont val="微軟正黑體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資金</t>
    </r>
  </si>
  <si>
    <r>
      <rPr>
        <b val="true"/>
        <sz val="10"/>
        <color rgb="FFFFFFFF"/>
        <rFont val="Noto Sans CJK SC"/>
        <family val="2"/>
      </rPr>
      <t xml:space="preserve">準備分
</t>
    </r>
    <r>
      <rPr>
        <b val="true"/>
        <sz val="10"/>
        <color rgb="FFFFFFFF"/>
        <rFont val="微軟正黑體"/>
        <family val="0"/>
        <charset val="1"/>
      </rPr>
      <t xml:space="preserve">Ready</t>
    </r>
  </si>
  <si>
    <r>
      <rPr>
        <b val="true"/>
        <sz val="10"/>
        <color rgb="FFFFFFFF"/>
        <rFont val="Noto Sans CJK SC"/>
        <family val="2"/>
      </rPr>
      <t xml:space="preserve">風險
</t>
    </r>
    <r>
      <rPr>
        <b val="true"/>
        <sz val="10"/>
        <color rgb="FFFFFFFF"/>
        <rFont val="微軟正黑體"/>
        <family val="0"/>
        <charset val="1"/>
      </rPr>
      <t xml:space="preserve">Risk</t>
    </r>
  </si>
  <si>
    <r>
      <rPr>
        <b val="true"/>
        <sz val="10"/>
        <color rgb="FFFFFFFF"/>
        <rFont val="Noto Sans CJK SC"/>
        <family val="2"/>
      </rPr>
      <t xml:space="preserve">商業判斷
</t>
    </r>
    <r>
      <rPr>
        <b val="true"/>
        <sz val="10"/>
        <color rgb="FFFFFFFF"/>
        <rFont val="微軟正黑體"/>
        <family val="0"/>
        <charset val="1"/>
      </rPr>
      <t xml:space="preserve">Decision</t>
    </r>
  </si>
  <si>
    <r>
      <rPr>
        <b val="true"/>
        <sz val="10"/>
        <color rgb="FFFFFFFF"/>
        <rFont val="Noto Sans CJK SC"/>
        <family val="2"/>
      </rPr>
      <t xml:space="preserve">依賴
</t>
    </r>
    <r>
      <rPr>
        <b val="true"/>
        <sz val="10"/>
        <color rgb="FFFFFFFF"/>
        <rFont val="微軟正黑體"/>
        <family val="0"/>
        <charset val="1"/>
      </rPr>
      <t xml:space="preserve">Depends</t>
    </r>
  </si>
  <si>
    <r>
      <rPr>
        <b val="true"/>
        <sz val="10"/>
        <color rgb="FFFFFFFF"/>
        <rFont val="Noto Sans CJK SC"/>
        <family val="2"/>
      </rPr>
      <t xml:space="preserve">主要交付物
</t>
    </r>
    <r>
      <rPr>
        <b val="true"/>
        <sz val="10"/>
        <color rgb="FFFFFFFF"/>
        <rFont val="微軟正黑體"/>
        <family val="0"/>
        <charset val="1"/>
      </rPr>
      <t xml:space="preserve">Deliverable</t>
    </r>
  </si>
  <si>
    <r>
      <rPr>
        <b val="true"/>
        <sz val="10"/>
        <color rgb="FFFFFFFF"/>
        <rFont val="Noto Sans CJK SC"/>
        <family val="2"/>
      </rPr>
      <t xml:space="preserve">證據</t>
    </r>
    <r>
      <rPr>
        <b val="true"/>
        <sz val="10"/>
        <color rgb="FFFFFFFF"/>
        <rFont val="微軟正黑體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來源
</t>
    </r>
    <r>
      <rPr>
        <b val="true"/>
        <sz val="10"/>
        <color rgb="FFFFFFFF"/>
        <rFont val="微軟正黑體"/>
        <family val="0"/>
        <charset val="1"/>
      </rPr>
      <t xml:space="preserve">Evidence</t>
    </r>
  </si>
  <si>
    <r>
      <rPr>
        <b val="true"/>
        <sz val="10"/>
        <color rgb="FFFFFFFF"/>
        <rFont val="Noto Sans CJK SC"/>
        <family val="2"/>
      </rPr>
      <t xml:space="preserve">更新日
</t>
    </r>
    <r>
      <rPr>
        <b val="true"/>
        <sz val="10"/>
        <color rgb="FFFFFFFF"/>
        <rFont val="微軟正黑體"/>
        <family val="0"/>
        <charset val="1"/>
      </rPr>
      <t xml:space="preserve">Updated</t>
    </r>
  </si>
  <si>
    <r>
      <rPr>
        <b val="true"/>
        <sz val="10"/>
        <color rgb="FFFFFFFF"/>
        <rFont val="Noto Sans CJK SC"/>
        <family val="2"/>
      </rPr>
      <t xml:space="preserve">能力成熟度
</t>
    </r>
    <r>
      <rPr>
        <b val="true"/>
        <sz val="10"/>
        <color rgb="FFFFFFFF"/>
        <rFont val="微軟正黑體"/>
        <family val="0"/>
        <charset val="1"/>
      </rPr>
      <t xml:space="preserve">Maturity</t>
    </r>
  </si>
  <si>
    <r>
      <rPr>
        <b val="true"/>
        <sz val="10"/>
        <color rgb="FFFFFFFF"/>
        <rFont val="Noto Sans CJK SC"/>
        <family val="2"/>
      </rPr>
      <t xml:space="preserve">驗收指標／</t>
    </r>
    <r>
      <rPr>
        <b val="true"/>
        <sz val="10"/>
        <color rgb="FFFFFFFF"/>
        <rFont val="微軟正黑體"/>
        <family val="0"/>
        <charset val="1"/>
      </rPr>
      <t xml:space="preserve">KPI
Acceptance/KPI</t>
    </r>
  </si>
  <si>
    <r>
      <rPr>
        <b val="true"/>
        <sz val="10"/>
        <color rgb="FFFFFFFF"/>
        <rFont val="Noto Sans CJK SC"/>
        <family val="2"/>
      </rPr>
      <t xml:space="preserve">資料／系統依賴
</t>
    </r>
    <r>
      <rPr>
        <b val="true"/>
        <sz val="10"/>
        <color rgb="FFFFFFFF"/>
        <rFont val="微軟正黑體"/>
        <family val="0"/>
        <charset val="1"/>
      </rPr>
      <t xml:space="preserve">Data/Sys dep.</t>
    </r>
  </si>
  <si>
    <r>
      <rPr>
        <b val="true"/>
        <sz val="10"/>
        <color rgb="FFFFFFFF"/>
        <rFont val="Noto Sans CJK SC"/>
        <family val="2"/>
      </rPr>
      <t xml:space="preserve">證據成熟度
</t>
    </r>
    <r>
      <rPr>
        <b val="true"/>
        <sz val="10"/>
        <color rgb="FFFFFFFF"/>
        <rFont val="微軟正黑體"/>
        <family val="0"/>
        <charset val="1"/>
      </rPr>
      <t xml:space="preserve">Evidence maturity</t>
    </r>
  </si>
  <si>
    <r>
      <rPr>
        <b val="true"/>
        <sz val="10"/>
        <color rgb="FFFFFFFF"/>
        <rFont val="Noto Sans CJK SC"/>
        <family val="2"/>
      </rPr>
      <t xml:space="preserve">所屬商機（自動）
</t>
    </r>
    <r>
      <rPr>
        <b val="true"/>
        <sz val="10"/>
        <color rgb="FFFFFFFF"/>
        <rFont val="微軟正黑體"/>
        <family val="0"/>
        <charset val="1"/>
      </rPr>
      <t xml:space="preserve">Opportunities</t>
    </r>
  </si>
  <si>
    <t xml:space="preserve">CAP-001</t>
  </si>
  <si>
    <r>
      <rPr>
        <sz val="9"/>
        <color rgb="FF000000"/>
        <rFont val="微軟正黑體"/>
        <family val="0"/>
        <charset val="1"/>
      </rPr>
      <t xml:space="preserve">D01 </t>
    </r>
    <r>
      <rPr>
        <sz val="9"/>
        <color rgb="FF000000"/>
        <rFont val="Noto Sans CJK SC"/>
        <family val="2"/>
      </rPr>
      <t xml:space="preserve">治理與投資</t>
    </r>
  </si>
  <si>
    <r>
      <rPr>
        <sz val="9"/>
        <color rgb="FF000000"/>
        <rFont val="Noto Sans CJK SC"/>
        <family val="2"/>
      </rPr>
      <t xml:space="preserve">治理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顧問</t>
    </r>
  </si>
  <si>
    <t xml:space="preserve">政府授權與計畫章程</t>
  </si>
  <si>
    <t xml:space="preserve">Government mandate and programme charter</t>
  </si>
  <si>
    <t xml:space="preserve">建立正式贊助、業主、決策權與公共價值</t>
  </si>
  <si>
    <t xml:space="preserve">夥伴洽談中</t>
  </si>
  <si>
    <r>
      <rPr>
        <sz val="9"/>
        <color rgb="FF000000"/>
        <rFont val="微軟正黑體"/>
        <family val="0"/>
        <charset val="1"/>
      </rPr>
      <t xml:space="preserve">P-002 </t>
    </r>
    <r>
      <rPr>
        <sz val="9"/>
        <color rgb="FF000000"/>
        <rFont val="Noto Sans CJK SC"/>
        <family val="2"/>
      </rPr>
      <t xml:space="preserve">越南政府贊助單位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</si>
  <si>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Vietnam Government</t>
    </r>
  </si>
  <si>
    <t xml:space="preserve">VN-LAW-15; WHO-DIIG</t>
  </si>
  <si>
    <t xml:space="preserve">待確認</t>
  </si>
  <si>
    <t xml:space="preserve">高</t>
  </si>
  <si>
    <t xml:space="preserve">Approved programme charter</t>
  </si>
  <si>
    <t xml:space="preserve">待盤點</t>
  </si>
  <si>
    <t xml:space="preserve">2026-08-11</t>
  </si>
  <si>
    <r>
      <rPr>
        <sz val="9"/>
        <color rgb="FF000000"/>
        <rFont val="Noto Sans CJK SC"/>
        <family val="2"/>
      </rPr>
      <t xml:space="preserve">推測 </t>
    </r>
    <r>
      <rPr>
        <sz val="9"/>
        <color rgb="FF000000"/>
        <rFont val="微軟正黑體"/>
        <family val="0"/>
        <charset val="1"/>
      </rPr>
      <t xml:space="preserve">Assumption</t>
    </r>
  </si>
  <si>
    <r>
      <rPr>
        <sz val="9"/>
        <rFont val="Microsoft JhengHei"/>
        <family val="0"/>
        <charset val="1"/>
      </rPr>
      <t xml:space="preserve">PPP</t>
    </r>
    <r>
      <rPr>
        <sz val="9"/>
        <rFont val="Noto Sans CJK SC"/>
        <family val="2"/>
      </rPr>
      <t xml:space="preserve">國家資本參與上限原則</t>
    </r>
    <r>
      <rPr>
        <sz val="9"/>
        <rFont val="Microsoft JhengHei"/>
        <family val="0"/>
        <charset val="1"/>
      </rPr>
      <t xml:space="preserve">50%</t>
    </r>
    <r>
      <rPr>
        <sz val="9"/>
        <rFont val="Noto Sans CJK SC"/>
        <family val="2"/>
      </rPr>
      <t xml:space="preserve">；</t>
    </r>
    <r>
      <rPr>
        <sz val="9"/>
        <rFont val="Microsoft JhengHei"/>
        <family val="0"/>
        <charset val="1"/>
      </rPr>
      <t xml:space="preserve">Law 57/2024</t>
    </r>
    <r>
      <rPr>
        <sz val="9"/>
        <rFont val="Noto Sans CJK SC"/>
        <family val="2"/>
      </rPr>
      <t xml:space="preserve">後授權框架鬆綁（</t>
    </r>
    <r>
      <rPr>
        <sz val="9"/>
        <rFont val="Microsoft JhengHei"/>
        <family val="0"/>
        <charset val="1"/>
      </rPr>
      <t xml:space="preserve">Decree 71/2025</t>
    </r>
    <r>
      <rPr>
        <sz val="9"/>
        <rFont val="Noto Sans CJK SC"/>
        <family val="2"/>
      </rPr>
      <t xml:space="preserve">已被</t>
    </r>
    <r>
      <rPr>
        <sz val="9"/>
        <rFont val="Microsoft JhengHei"/>
        <family val="0"/>
        <charset val="1"/>
      </rPr>
      <t xml:space="preserve">Nghị định 243/2025</t>
    </r>
    <r>
      <rPr>
        <sz val="9"/>
        <rFont val="Noto Sans CJK SC"/>
        <family val="2"/>
      </rPr>
      <t xml:space="preserve">廢止，改用</t>
    </r>
    <r>
      <rPr>
        <sz val="9"/>
        <rFont val="Microsoft JhengHei"/>
        <family val="0"/>
        <charset val="1"/>
      </rPr>
      <t xml:space="preserve">243/2025</t>
    </r>
    <r>
      <rPr>
        <sz val="9"/>
        <rFont val="Noto Sans CJK SC"/>
        <family val="2"/>
      </rPr>
      <t xml:space="preserve">體系）；省級合併（</t>
    </r>
    <r>
      <rPr>
        <sz val="9"/>
        <rFont val="Microsoft JhengHei"/>
        <family val="0"/>
        <charset val="1"/>
      </rPr>
      <t xml:space="preserve">63→34</t>
    </r>
    <r>
      <rPr>
        <sz val="9"/>
        <rFont val="Noto Sans CJK SC"/>
        <family val="2"/>
      </rPr>
      <t xml:space="preserve">）後對口全面更換。</t>
    </r>
  </si>
  <si>
    <r>
      <rPr>
        <sz val="9"/>
        <rFont val="Microsoft JhengHei"/>
        <family val="0"/>
        <charset val="1"/>
      </rPr>
      <t xml:space="preserve">Decree 96/2023</t>
    </r>
    <r>
      <rPr>
        <sz val="9"/>
        <rFont val="Noto Sans CJK SC"/>
        <family val="2"/>
      </rPr>
      <t xml:space="preserve">為醫院執照核心法規；外資</t>
    </r>
    <r>
      <rPr>
        <sz val="9"/>
        <rFont val="Microsoft JhengHei"/>
        <family val="0"/>
        <charset val="1"/>
      </rPr>
      <t xml:space="preserve">100%/JV/BCC</t>
    </r>
    <r>
      <rPr>
        <sz val="9"/>
        <rFont val="Noto Sans CJK SC"/>
        <family val="2"/>
      </rPr>
      <t xml:space="preserve">三種形式、醫院門檻</t>
    </r>
    <r>
      <rPr>
        <sz val="9"/>
        <rFont val="Microsoft JhengHei"/>
        <family val="0"/>
        <charset val="1"/>
      </rPr>
      <t xml:space="preserve">2,000</t>
    </r>
    <r>
      <rPr>
        <sz val="9"/>
        <rFont val="Noto Sans CJK SC"/>
        <family val="2"/>
      </rPr>
      <t xml:space="preserve">萬美元；</t>
    </r>
    <r>
      <rPr>
        <sz val="9"/>
        <rFont val="Microsoft JhengHei"/>
        <family val="0"/>
        <charset val="1"/>
      </rPr>
      <t xml:space="preserve">PPP</t>
    </r>
    <r>
      <rPr>
        <sz val="9"/>
        <rFont val="Noto Sans CJK SC"/>
        <family val="2"/>
      </rPr>
      <t xml:space="preserve">審議會改由財政部主導；</t>
    </r>
    <r>
      <rPr>
        <sz val="9"/>
        <rFont val="Microsoft JhengHei"/>
        <family val="0"/>
        <charset val="1"/>
      </rPr>
      <t xml:space="preserve">BT</t>
    </r>
    <r>
      <rPr>
        <sz val="9"/>
        <rFont val="Noto Sans CJK SC"/>
        <family val="2"/>
      </rPr>
      <t xml:space="preserve">復活。三種交易模式均有成例：控股併購（</t>
    </r>
    <r>
      <rPr>
        <sz val="9"/>
        <rFont val="Microsoft JhengHei"/>
        <family val="0"/>
        <charset val="1"/>
      </rPr>
      <t xml:space="preserve">Thomson/FV</t>
    </r>
    <r>
      <rPr>
        <sz val="9"/>
        <rFont val="Noto Sans CJK SC"/>
        <family val="2"/>
      </rPr>
      <t xml:space="preserve">）、多數股權＋管理合約（</t>
    </r>
    <r>
      <rPr>
        <sz val="9"/>
        <rFont val="Microsoft JhengHei"/>
        <family val="0"/>
        <charset val="1"/>
      </rPr>
      <t xml:space="preserve">Raffles/AIH</t>
    </r>
    <r>
      <rPr>
        <sz val="9"/>
        <rFont val="Noto Sans CJK SC"/>
        <family val="2"/>
      </rPr>
      <t xml:space="preserve">）、少數股權（</t>
    </r>
    <r>
      <rPr>
        <sz val="9"/>
        <rFont val="Microsoft JhengHei"/>
        <family val="0"/>
        <charset val="1"/>
      </rPr>
      <t xml:space="preserve">GIC/Vinmec</t>
    </r>
    <r>
      <rPr>
        <sz val="9"/>
        <rFont val="Noto Sans CJK SC"/>
        <family val="2"/>
      </rPr>
      <t xml:space="preserve">）。</t>
    </r>
  </si>
  <si>
    <t xml:space="preserve">CAP-002</t>
  </si>
  <si>
    <t xml:space="preserve">利害關係人與權力地圖</t>
  </si>
  <si>
    <t xml:space="preserve">Stakeholder and power map</t>
  </si>
  <si>
    <t xml:space="preserve">辨識中央、首都、衛生、投資與公立醫院決策者</t>
  </si>
  <si>
    <r>
      <rPr>
        <sz val="9"/>
        <color rgb="FF000000"/>
        <rFont val="微軟正黑體"/>
        <family val="0"/>
        <charset val="1"/>
      </rPr>
      <t xml:space="preserve">P-017 </t>
    </r>
    <r>
      <rPr>
        <sz val="9"/>
        <color rgb="FF000000"/>
        <rFont val="Noto Sans CJK SC"/>
        <family val="2"/>
      </rPr>
      <t xml:space="preserve">越南公共事務顧問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</si>
  <si>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Local public affairs advisor</t>
    </r>
  </si>
  <si>
    <t xml:space="preserve">WHO-DIIG</t>
  </si>
  <si>
    <t xml:space="preserve">Stakeholder map and engagement plan</t>
  </si>
  <si>
    <t xml:space="preserve">CAP-003</t>
  </si>
  <si>
    <t xml:space="preserve">交易模式選擇</t>
  </si>
  <si>
    <t xml:space="preserve">Transaction model selection</t>
  </si>
  <si>
    <r>
      <rPr>
        <sz val="9"/>
        <color rgb="FF000000"/>
        <rFont val="Noto Sans CJK SC"/>
        <family val="2"/>
      </rPr>
      <t xml:space="preserve">比較採購、</t>
    </r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、合資與民營投資</t>
    </r>
  </si>
  <si>
    <r>
      <rPr>
        <sz val="9"/>
        <color rgb="FF000000"/>
        <rFont val="微軟正黑體"/>
        <family val="0"/>
        <charset val="1"/>
      </rPr>
      <t xml:space="preserve">P-011 </t>
    </r>
    <r>
      <rPr>
        <sz val="9"/>
        <color rgb="FF000000"/>
        <rFont val="Noto Sans CJK SC"/>
        <family val="2"/>
      </rPr>
      <t xml:space="preserve">財務與</t>
    </r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顧問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</si>
  <si>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Government + Investors</t>
    </r>
  </si>
  <si>
    <t xml:space="preserve">WB-VN-PPP</t>
  </si>
  <si>
    <t xml:space="preserve">Options appraisal and preferred model</t>
  </si>
  <si>
    <t xml:space="preserve">CAP-004</t>
  </si>
  <si>
    <t xml:space="preserve">法規與執照路徑</t>
  </si>
  <si>
    <t xml:space="preserve">Regulatory and licensing pathway</t>
  </si>
  <si>
    <t xml:space="preserve">整合醫院、建築、醫材、資料與外籍專業人員要求</t>
  </si>
  <si>
    <r>
      <rPr>
        <sz val="9"/>
        <color rgb="FF000000"/>
        <rFont val="微軟正黑體"/>
        <family val="0"/>
        <charset val="1"/>
      </rPr>
      <t xml:space="preserve">P-012 </t>
    </r>
    <r>
      <rPr>
        <sz val="9"/>
        <color rgb="FF000000"/>
        <rFont val="Noto Sans CJK SC"/>
        <family val="2"/>
      </rPr>
      <t xml:space="preserve">越南法律與法規顧問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</si>
  <si>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Vietnam Legal Counsel</t>
    </r>
  </si>
  <si>
    <t xml:space="preserve">VN-LAW-15; VN-DEC-96; VN-MD-98</t>
  </si>
  <si>
    <t xml:space="preserve">Licensing register and critical path</t>
  </si>
  <si>
    <r>
      <rPr>
        <sz val="9"/>
        <rFont val="Noto Sans CJK SC"/>
        <family val="2"/>
      </rPr>
      <t xml:space="preserve">執照路徑：</t>
    </r>
    <r>
      <rPr>
        <sz val="9"/>
        <rFont val="Microsoft JhengHei"/>
        <family val="0"/>
        <charset val="1"/>
      </rPr>
      <t xml:space="preserve">IRC/ERC→</t>
    </r>
    <r>
      <rPr>
        <sz val="9"/>
        <rFont val="Noto Sans CJK SC"/>
        <family val="2"/>
      </rPr>
      <t xml:space="preserve">衛生部營運執照（</t>
    </r>
    <r>
      <rPr>
        <sz val="9"/>
        <rFont val="Microsoft JhengHei"/>
        <family val="0"/>
        <charset val="1"/>
      </rPr>
      <t xml:space="preserve">Decree 96/2023</t>
    </r>
    <r>
      <rPr>
        <sz val="9"/>
        <rFont val="Noto Sans CJK SC"/>
        <family val="2"/>
      </rPr>
      <t xml:space="preserve">）；醫院</t>
    </r>
    <r>
      <rPr>
        <sz val="9"/>
        <rFont val="Microsoft JhengHei"/>
        <family val="0"/>
        <charset val="1"/>
      </rPr>
      <t xml:space="preserve">2,000</t>
    </r>
    <r>
      <rPr>
        <sz val="9"/>
        <rFont val="Noto Sans CJK SC"/>
        <family val="2"/>
      </rPr>
      <t xml:space="preserve">萬美元門檻；</t>
    </r>
    <r>
      <rPr>
        <sz val="9"/>
        <rFont val="Microsoft JhengHei"/>
        <family val="0"/>
        <charset val="1"/>
      </rPr>
      <t xml:space="preserve">2025-07-01</t>
    </r>
    <r>
      <rPr>
        <sz val="9"/>
        <rFont val="Noto Sans CJK SC"/>
        <family val="2"/>
      </rPr>
      <t xml:space="preserve">起醫材過渡全面終止。</t>
    </r>
  </si>
  <si>
    <t xml:space="preserve">CAP-005</t>
  </si>
  <si>
    <t xml:space="preserve">聯盟治理與利益衝突</t>
  </si>
  <si>
    <t xml:space="preserve">Consortium governance and conflicts</t>
  </si>
  <si>
    <r>
      <rPr>
        <sz val="9"/>
        <color rgb="FF000000"/>
        <rFont val="Noto Sans CJK SC"/>
        <family val="2"/>
      </rPr>
      <t xml:space="preserve">定義召集人、</t>
    </r>
    <r>
      <rPr>
        <sz val="9"/>
        <color rgb="FF000000"/>
        <rFont val="微軟正黑體"/>
        <family val="0"/>
        <charset val="1"/>
      </rPr>
      <t xml:space="preserve">PI</t>
    </r>
    <r>
      <rPr>
        <sz val="9"/>
        <color rgb="FF000000"/>
        <rFont val="Noto Sans CJK SC"/>
        <family val="2"/>
      </rPr>
      <t xml:space="preserve">、臨床營運方與獨立驗證責任</t>
    </r>
  </si>
  <si>
    <r>
      <rPr>
        <sz val="9"/>
        <color rgb="FF000000"/>
        <rFont val="微軟正黑體"/>
        <family val="0"/>
        <charset val="1"/>
      </rPr>
      <t xml:space="preserve">P-016 PI </t>
    </r>
    <r>
      <rPr>
        <sz val="9"/>
        <color rgb="FF000000"/>
        <rFont val="Noto Sans CJK SC"/>
        <family val="2"/>
      </rPr>
      <t xml:space="preserve">計畫辦公室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</si>
  <si>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Alliance Members</t>
    </r>
  </si>
  <si>
    <t xml:space="preserve">Consortium charter and conflict policy</t>
  </si>
  <si>
    <t xml:space="preserve">CAP-006</t>
  </si>
  <si>
    <t xml:space="preserve">績效契約與變更控制</t>
  </si>
  <si>
    <t xml:space="preserve">Performance contract and change control</t>
  </si>
  <si>
    <t xml:space="preserve">以可量測成果、服務水準與變更程序管理長約</t>
  </si>
  <si>
    <r>
      <rPr>
        <sz val="9"/>
        <color rgb="FF000000"/>
        <rFont val="微軟正黑體"/>
        <family val="0"/>
        <charset val="1"/>
      </rPr>
      <t xml:space="preserve">P-003 </t>
    </r>
    <r>
      <rPr>
        <sz val="9"/>
        <color rgb="FF000000"/>
        <rFont val="Noto Sans CJK SC"/>
        <family val="2"/>
      </rPr>
      <t xml:space="preserve">越南在地醫院營運者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</si>
  <si>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Government + Operator</t>
    </r>
  </si>
  <si>
    <t xml:space="preserve">KPI schedule and change protocol</t>
  </si>
  <si>
    <t xml:space="preserve">CAP-007</t>
  </si>
  <si>
    <r>
      <rPr>
        <sz val="9"/>
        <color rgb="FF000000"/>
        <rFont val="微軟正黑體"/>
        <family val="0"/>
        <charset val="1"/>
      </rPr>
      <t xml:space="preserve">D02 </t>
    </r>
    <r>
      <rPr>
        <sz val="9"/>
        <color rgb="FF000000"/>
        <rFont val="Noto Sans CJK SC"/>
        <family val="2"/>
      </rPr>
      <t xml:space="preserve">臨床服務模式</t>
    </r>
  </si>
  <si>
    <r>
      <rPr>
        <sz val="9"/>
        <color rgb="FF000000"/>
        <rFont val="Noto Sans CJK SC"/>
        <family val="2"/>
      </rPr>
      <t xml:space="preserve">臨床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營運</t>
    </r>
  </si>
  <si>
    <t xml:space="preserve">人口需求與病例量預測</t>
  </si>
  <si>
    <t xml:space="preserve">Demand and caseload forecast</t>
  </si>
  <si>
    <t xml:space="preserve">以人口、疾病負擔、支付與競爭估算需求</t>
  </si>
  <si>
    <r>
      <rPr>
        <sz val="9"/>
        <color rgb="FF000000"/>
        <rFont val="微軟正黑體"/>
        <family val="0"/>
        <charset val="1"/>
      </rPr>
      <t xml:space="preserve">P-004 </t>
    </r>
    <r>
      <rPr>
        <sz val="9"/>
        <color rgb="FF000000"/>
        <rFont val="Noto Sans CJK SC"/>
        <family val="2"/>
      </rPr>
      <t xml:space="preserve">台灣參考醫院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</si>
  <si>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Reference Hospital</t>
    </r>
  </si>
  <si>
    <t xml:space="preserve">WHO-HOSPITAL</t>
  </si>
  <si>
    <t xml:space="preserve">Demand model by service line</t>
  </si>
  <si>
    <r>
      <rPr>
        <sz val="9"/>
        <rFont val="Microsoft JhengHei"/>
        <family val="0"/>
        <charset val="1"/>
      </rPr>
      <t xml:space="preserve">2024-02</t>
    </r>
    <r>
      <rPr>
        <sz val="9"/>
        <rFont val="Noto Sans CJK SC"/>
        <family val="2"/>
      </rPr>
      <t xml:space="preserve">總理核定醫療網總體規劃：</t>
    </r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35</t>
    </r>
    <r>
      <rPr>
        <sz val="9"/>
        <rFont val="Noto Sans CJK SC"/>
        <family val="2"/>
      </rPr>
      <t xml:space="preserve">床</t>
    </r>
    <r>
      <rPr>
        <sz val="9"/>
        <rFont val="Microsoft JhengHei"/>
        <family val="0"/>
        <charset val="1"/>
      </rPr>
      <t xml:space="preserve">/19</t>
    </r>
    <r>
      <rPr>
        <sz val="9"/>
        <rFont val="Noto Sans CJK SC"/>
        <family val="2"/>
      </rPr>
      <t xml:space="preserve">醫師</t>
    </r>
    <r>
      <rPr>
        <sz val="9"/>
        <rFont val="Microsoft JhengHei"/>
        <family val="0"/>
        <charset val="1"/>
      </rPr>
      <t xml:space="preserve">/33</t>
    </r>
    <r>
      <rPr>
        <sz val="9"/>
        <rFont val="Noto Sans CJK SC"/>
        <family val="2"/>
      </rPr>
      <t xml:space="preserve">護理</t>
    </r>
    <r>
      <rPr>
        <sz val="9"/>
        <rFont val="Microsoft JhengHei"/>
        <family val="0"/>
        <charset val="1"/>
      </rPr>
      <t xml:space="preserve">per</t>
    </r>
    <r>
      <rPr>
        <sz val="9"/>
        <rFont val="Noto Sans CJK SC"/>
        <family val="2"/>
      </rPr>
      <t xml:space="preserve">萬人。</t>
    </r>
    <r>
      <rPr>
        <sz val="9"/>
        <rFont val="Microsoft JhengHei"/>
        <family val="0"/>
        <charset val="1"/>
      </rPr>
      <t xml:space="preserve">Law 15/2023</t>
    </r>
    <r>
      <rPr>
        <sz val="9"/>
        <rFont val="Noto Sans CJK SC"/>
        <family val="2"/>
      </rPr>
      <t xml:space="preserve">改三層專業技術層級；</t>
    </r>
    <r>
      <rPr>
        <sz val="9"/>
        <rFont val="Microsoft JhengHei"/>
        <family val="0"/>
        <charset val="1"/>
      </rPr>
      <t xml:space="preserve">2025-07</t>
    </r>
    <r>
      <rPr>
        <sz val="9"/>
        <rFont val="Noto Sans CJK SC"/>
        <family val="2"/>
      </rPr>
      <t xml:space="preserve">起取消行政界線、重症直達專深層全額給付——短期恐加劇大醫院虹吸，倒逼分流設計。</t>
    </r>
  </si>
  <si>
    <t xml:space="preserve">CAP-008</t>
  </si>
  <si>
    <t xml:space="preserve">醫院定位與服務組合</t>
  </si>
  <si>
    <t xml:space="preserve">Hospital positioning and service portfolio</t>
  </si>
  <si>
    <t xml:space="preserve">依城市、規模與轉診角色客製醫院模式</t>
  </si>
  <si>
    <t xml:space="preserve">VN-LAW-15</t>
  </si>
  <si>
    <t xml:space="preserve">Approved service portfolio</t>
  </si>
  <si>
    <t xml:space="preserve">CAP-009</t>
  </si>
  <si>
    <t xml:space="preserve">重點專科優先化</t>
  </si>
  <si>
    <t xml:space="preserve">Priority service-line selection</t>
  </si>
  <si>
    <t xml:space="preserve">選擇具需求、臨床價值與商業可行性的專科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</si>
  <si>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Taiwan Reference Hospital</t>
    </r>
  </si>
  <si>
    <t xml:space="preserve">CAP-007; CAP-008</t>
  </si>
  <si>
    <t xml:space="preserve">Prioritized service-line roadmap</t>
  </si>
  <si>
    <t xml:space="preserve">CAP-010</t>
  </si>
  <si>
    <t xml:space="preserve">病人流程與容量設計</t>
  </si>
  <si>
    <t xml:space="preserve">Patient flow and capacity design</t>
  </si>
  <si>
    <t xml:space="preserve">將門診、急診、住院、手術與出院流程量化</t>
  </si>
  <si>
    <r>
      <rPr>
        <sz val="9"/>
        <color rgb="FF000000"/>
        <rFont val="微軟正黑體"/>
        <family val="0"/>
        <charset val="1"/>
      </rPr>
      <t xml:space="preserve">P-013 </t>
    </r>
    <r>
      <rPr>
        <sz val="9"/>
        <color rgb="FF000000"/>
        <rFont val="Noto Sans CJK SC"/>
        <family val="2"/>
      </rPr>
      <t xml:space="preserve">品質與</t>
    </r>
    <r>
      <rPr>
        <sz val="9"/>
        <color rgb="FF000000"/>
        <rFont val="微軟正黑體"/>
        <family val="0"/>
        <charset val="1"/>
      </rPr>
      <t xml:space="preserve">JCI</t>
    </r>
    <r>
      <rPr>
        <sz val="9"/>
        <color rgb="FF000000"/>
        <rFont val="Noto Sans CJK SC"/>
        <family val="2"/>
      </rPr>
      <t xml:space="preserve">顧問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</si>
  <si>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Hospital Operations Advisor</t>
    </r>
  </si>
  <si>
    <t xml:space="preserve">JCI-HOSP</t>
  </si>
  <si>
    <t xml:space="preserve">Patient-flow model and capacity plan</t>
  </si>
  <si>
    <t xml:space="preserve">CAP-011</t>
  </si>
  <si>
    <t xml:space="preserve">轉診與區域照護網絡</t>
  </si>
  <si>
    <t xml:space="preserve">Referral and regional care network</t>
  </si>
  <si>
    <t xml:space="preserve">避免示範醫院因無分流而過載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</si>
  <si>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Vietnam Health Network</t>
    </r>
  </si>
  <si>
    <t xml:space="preserve">Referral protocol and network design</t>
  </si>
  <si>
    <t xml:space="preserve">CAP-012</t>
  </si>
  <si>
    <t xml:space="preserve">臨床治理與責任架構</t>
  </si>
  <si>
    <t xml:space="preserve">Clinical governance and accountability</t>
  </si>
  <si>
    <t xml:space="preserve">建立醫療負責人、科部、委員會與授權制度</t>
  </si>
  <si>
    <t xml:space="preserve">Clinical governance manual</t>
  </si>
  <si>
    <t xml:space="preserve">CAP-013</t>
  </si>
  <si>
    <r>
      <rPr>
        <sz val="9"/>
        <color rgb="FF000000"/>
        <rFont val="微軟正黑體"/>
        <family val="0"/>
        <charset val="1"/>
      </rPr>
      <t xml:space="preserve">D03 </t>
    </r>
    <r>
      <rPr>
        <sz val="9"/>
        <color rgb="FF000000"/>
        <rFont val="Noto Sans CJK SC"/>
        <family val="2"/>
      </rPr>
      <t xml:space="preserve">醫院設施與機電</t>
    </r>
  </si>
  <si>
    <r>
      <rPr>
        <sz val="9"/>
        <color rgb="FF000000"/>
        <rFont val="Noto Sans CJK SC"/>
        <family val="2"/>
      </rPr>
      <t xml:space="preserve">建築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工程</t>
    </r>
  </si>
  <si>
    <t xml:space="preserve">場址與醫院總體規劃</t>
  </si>
  <si>
    <t xml:space="preserve">Site and hospital master planning</t>
  </si>
  <si>
    <t xml:space="preserve">驗證土地、交通、擴充、基礎公用設施與風險</t>
  </si>
  <si>
    <r>
      <rPr>
        <sz val="9"/>
        <color rgb="FF000000"/>
        <rFont val="微軟正黑體"/>
        <family val="0"/>
        <charset val="1"/>
      </rPr>
      <t xml:space="preserve">P-006 </t>
    </r>
    <r>
      <rPr>
        <sz val="9"/>
        <color rgb="FF000000"/>
        <rFont val="Noto Sans CJK SC"/>
        <family val="2"/>
      </rPr>
      <t xml:space="preserve">越南</t>
    </r>
    <r>
      <rPr>
        <sz val="9"/>
        <color rgb="FF000000"/>
        <rFont val="微軟正黑體"/>
        <family val="0"/>
        <charset val="1"/>
      </rPr>
      <t xml:space="preserve">EPC</t>
    </r>
    <r>
      <rPr>
        <sz val="9"/>
        <color rgb="FF000000"/>
        <rFont val="Noto Sans CJK SC"/>
        <family val="2"/>
      </rPr>
      <t xml:space="preserve">／機電夥伴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</si>
  <si>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Vietnam EPC Partner</t>
    </r>
  </si>
  <si>
    <t xml:space="preserve">VN-DEC-96</t>
  </si>
  <si>
    <t xml:space="preserve">CAP-001; CAP-007</t>
  </si>
  <si>
    <t xml:space="preserve">Site due diligence and master plan</t>
  </si>
  <si>
    <r>
      <rPr>
        <sz val="9"/>
        <rFont val="Noto Sans CJK SC"/>
        <family val="2"/>
      </rPr>
      <t xml:space="preserve">現行標準組合：</t>
    </r>
    <r>
      <rPr>
        <sz val="9"/>
        <rFont val="Microsoft JhengHei"/>
        <family val="0"/>
        <charset val="1"/>
      </rPr>
      <t xml:space="preserve">TCVN 4470:2012</t>
    </r>
    <r>
      <rPr>
        <sz val="9"/>
        <rFont val="Noto Sans CJK SC"/>
        <family val="2"/>
      </rPr>
      <t xml:space="preserve">＋</t>
    </r>
    <r>
      <rPr>
        <sz val="9"/>
        <rFont val="Microsoft JhengHei"/>
        <family val="0"/>
        <charset val="1"/>
      </rPr>
      <t xml:space="preserve">5687:2024</t>
    </r>
    <r>
      <rPr>
        <sz val="9"/>
        <rFont val="Noto Sans CJK SC"/>
        <family val="2"/>
      </rPr>
      <t xml:space="preserve">＋</t>
    </r>
    <r>
      <rPr>
        <sz val="9"/>
        <rFont val="Microsoft JhengHei"/>
        <family val="0"/>
        <charset val="1"/>
      </rPr>
      <t xml:space="preserve">8022</t>
    </r>
    <r>
      <rPr>
        <sz val="9"/>
        <rFont val="Noto Sans CJK SC"/>
        <family val="2"/>
      </rPr>
      <t xml:space="preserve">醫氣（等同</t>
    </r>
    <r>
      <rPr>
        <sz val="9"/>
        <rFont val="Microsoft JhengHei"/>
        <family val="0"/>
        <charset val="1"/>
      </rPr>
      <t xml:space="preserve">ISO 7396</t>
    </r>
    <r>
      <rPr>
        <sz val="9"/>
        <rFont val="Noto Sans CJK SC"/>
        <family val="2"/>
      </rPr>
      <t xml:space="preserve">）＋</t>
    </r>
    <r>
      <rPr>
        <sz val="9"/>
        <rFont val="Microsoft JhengHei"/>
        <family val="0"/>
        <charset val="1"/>
      </rPr>
      <t xml:space="preserve">Decree 96/2023 OR</t>
    </r>
    <r>
      <rPr>
        <sz val="9"/>
        <rFont val="Noto Sans CJK SC"/>
        <family val="2"/>
      </rPr>
      <t xml:space="preserve">條款＋</t>
    </r>
    <r>
      <rPr>
        <sz val="9"/>
        <rFont val="Microsoft JhengHei"/>
        <family val="0"/>
        <charset val="1"/>
      </rPr>
      <t xml:space="preserve">QCVN 28:2010</t>
    </r>
    <r>
      <rPr>
        <sz val="9"/>
        <rFont val="Noto Sans CJK SC"/>
        <family val="2"/>
      </rPr>
      <t xml:space="preserve">廢水。衛生部「綠</t>
    </r>
    <r>
      <rPr>
        <sz val="9"/>
        <rFont val="Microsoft JhengHei"/>
        <family val="0"/>
        <charset val="1"/>
      </rPr>
      <t xml:space="preserve">-</t>
    </r>
    <r>
      <rPr>
        <sz val="9"/>
        <rFont val="Noto Sans CJK SC"/>
        <family val="2"/>
      </rPr>
      <t xml:space="preserve">淨</t>
    </r>
    <r>
      <rPr>
        <sz val="9"/>
        <rFont val="Microsoft JhengHei"/>
        <family val="0"/>
        <charset val="1"/>
      </rPr>
      <t xml:space="preserve">-</t>
    </r>
    <r>
      <rPr>
        <sz val="9"/>
        <rFont val="Noto Sans CJK SC"/>
        <family val="2"/>
      </rPr>
      <t xml:space="preserve">美」運動；</t>
    </r>
    <r>
      <rPr>
        <sz val="9"/>
        <rFont val="Microsoft JhengHei"/>
        <family val="0"/>
        <charset val="1"/>
      </rPr>
      <t xml:space="preserve">WHO</t>
    </r>
    <r>
      <rPr>
        <sz val="9"/>
        <rFont val="Noto Sans CJK SC"/>
        <family val="2"/>
      </rPr>
      <t xml:space="preserve">試點醫院能源成本降</t>
    </r>
    <r>
      <rPr>
        <sz val="9"/>
        <rFont val="Microsoft JhengHei"/>
        <family val="0"/>
        <charset val="1"/>
      </rPr>
      <t xml:space="preserve">20%</t>
    </r>
    <r>
      <rPr>
        <sz val="9"/>
        <rFont val="Noto Sans CJK SC"/>
        <family val="2"/>
      </rPr>
      <t xml:space="preserve">。</t>
    </r>
    <r>
      <rPr>
        <sz val="9"/>
        <rFont val="Microsoft JhengHei"/>
        <family val="0"/>
        <charset val="1"/>
      </rPr>
      <t xml:space="preserve">Decree 58/2025</t>
    </r>
    <r>
      <rPr>
        <sz val="9"/>
        <rFont val="Noto Sans CJK SC"/>
        <family val="2"/>
      </rPr>
      <t xml:space="preserve">光電自發自用（已由</t>
    </r>
    <r>
      <rPr>
        <sz val="9"/>
        <rFont val="Microsoft JhengHei"/>
        <family val="0"/>
        <charset val="1"/>
      </rPr>
      <t xml:space="preserve">Nghị định 243/2026</t>
    </r>
    <r>
      <rPr>
        <sz val="9"/>
        <rFont val="Noto Sans CJK SC"/>
        <family val="2"/>
      </rPr>
      <t xml:space="preserve">修訂，餘電可售上限提高至</t>
    </r>
    <r>
      <rPr>
        <sz val="9"/>
        <rFont val="Microsoft JhengHei"/>
        <family val="0"/>
        <charset val="1"/>
      </rPr>
      <t xml:space="preserve">50%</t>
    </r>
    <r>
      <rPr>
        <sz val="9"/>
        <rFont val="Noto Sans CJK SC"/>
        <family val="2"/>
      </rPr>
      <t xml:space="preserve">）。</t>
    </r>
  </si>
  <si>
    <t xml:space="preserve">CAP-014</t>
  </si>
  <si>
    <t xml:space="preserve">醫療建築功能計畫</t>
  </si>
  <si>
    <t xml:space="preserve">Functional facility programme</t>
  </si>
  <si>
    <t xml:space="preserve">將服務量轉換為空間、房間與鄰接需求</t>
  </si>
  <si>
    <r>
      <rPr>
        <sz val="9"/>
        <color rgb="FF000000"/>
        <rFont val="微軟正黑體"/>
        <family val="0"/>
        <charset val="1"/>
      </rPr>
      <t xml:space="preserve">P-005 </t>
    </r>
    <r>
      <rPr>
        <sz val="9"/>
        <color rgb="FF000000"/>
        <rFont val="Noto Sans CJK SC"/>
        <family val="2"/>
      </rPr>
      <t xml:space="preserve">醫療建築與總體規劃團隊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</si>
  <si>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Clinical Planner</t>
    </r>
  </si>
  <si>
    <t xml:space="preserve">JCI-HOSP; VN-DEC-96</t>
  </si>
  <si>
    <t xml:space="preserve">CAP-010; CAP-013</t>
  </si>
  <si>
    <t xml:space="preserve">Functional programme and room data sheets</t>
  </si>
  <si>
    <t xml:space="preserve">CAP-015</t>
  </si>
  <si>
    <t xml:space="preserve">感染控制與潔污動線</t>
  </si>
  <si>
    <t xml:space="preserve">IPC and clean-dirty flows</t>
  </si>
  <si>
    <t xml:space="preserve">把感染控制需求納入建築與營運設計</t>
  </si>
  <si>
    <t xml:space="preserve">IPC Lead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</si>
  <si>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Healthcare Architect</t>
    </r>
  </si>
  <si>
    <t xml:space="preserve">JCI-HOSP; WHO-IPC</t>
  </si>
  <si>
    <t xml:space="preserve">IPC design review and zoning plan</t>
  </si>
  <si>
    <r>
      <rPr>
        <sz val="9"/>
        <rFont val="Noto Sans CJK SC"/>
        <family val="2"/>
      </rPr>
      <t xml:space="preserve">無專屬強制潔淨室</t>
    </r>
    <r>
      <rPr>
        <sz val="9"/>
        <rFont val="Microsoft JhengHei"/>
        <family val="0"/>
        <charset val="1"/>
      </rPr>
      <t xml:space="preserve">QCVN</t>
    </r>
    <r>
      <rPr>
        <sz val="9"/>
        <rFont val="Noto Sans CJK SC"/>
        <family val="2"/>
      </rPr>
      <t xml:space="preserve">；</t>
    </r>
    <r>
      <rPr>
        <sz val="9"/>
        <rFont val="Microsoft JhengHei"/>
        <family val="0"/>
        <charset val="1"/>
      </rPr>
      <t xml:space="preserve">ISO 14644</t>
    </r>
    <r>
      <rPr>
        <sz val="9"/>
        <rFont val="Noto Sans CJK SC"/>
        <family val="2"/>
      </rPr>
      <t xml:space="preserve">＋</t>
    </r>
    <r>
      <rPr>
        <sz val="9"/>
        <rFont val="Microsoft JhengHei"/>
        <family val="0"/>
        <charset val="1"/>
      </rPr>
      <t xml:space="preserve">TCVN 5687:2024</t>
    </r>
    <r>
      <rPr>
        <sz val="9"/>
        <rFont val="Noto Sans CJK SC"/>
        <family val="2"/>
      </rPr>
      <t xml:space="preserve">＋</t>
    </r>
    <r>
      <rPr>
        <sz val="9"/>
        <rFont val="Microsoft JhengHei"/>
        <family val="0"/>
        <charset val="1"/>
      </rPr>
      <t xml:space="preserve">Decree 96/2023</t>
    </r>
    <r>
      <rPr>
        <sz val="9"/>
        <rFont val="Noto Sans CJK SC"/>
        <family val="2"/>
      </rPr>
      <t xml:space="preserve">第</t>
    </r>
    <r>
      <rPr>
        <sz val="9"/>
        <rFont val="Microsoft JhengHei"/>
        <family val="0"/>
        <charset val="1"/>
      </rPr>
      <t xml:space="preserve">40-41</t>
    </r>
    <r>
      <rPr>
        <sz val="9"/>
        <rFont val="Noto Sans CJK SC"/>
        <family val="2"/>
      </rPr>
      <t xml:space="preserve">條。</t>
    </r>
  </si>
  <si>
    <t xml:space="preserve">CAP-016</t>
  </si>
  <si>
    <r>
      <rPr>
        <sz val="9"/>
        <color rgb="FF000000"/>
        <rFont val="Noto Sans CJK SC"/>
        <family val="2"/>
      </rPr>
      <t xml:space="preserve">機房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能源</t>
    </r>
  </si>
  <si>
    <t xml:space="preserve">電力、備援與微電網</t>
  </si>
  <si>
    <t xml:space="preserve">Power resilience and microgrid</t>
  </si>
  <si>
    <r>
      <rPr>
        <sz val="9"/>
        <color rgb="FF000000"/>
        <rFont val="Noto Sans CJK SC"/>
        <family val="2"/>
      </rPr>
      <t xml:space="preserve">支援手術、</t>
    </r>
    <r>
      <rPr>
        <sz val="9"/>
        <color rgb="FF000000"/>
        <rFont val="微軟正黑體"/>
        <family val="0"/>
        <charset val="1"/>
      </rPr>
      <t xml:space="preserve">ICU</t>
    </r>
    <r>
      <rPr>
        <sz val="9"/>
        <color rgb="FF000000"/>
        <rFont val="Noto Sans CJK SC"/>
        <family val="2"/>
      </rPr>
      <t xml:space="preserve">、資料中心與生命支持連續運作</t>
    </r>
  </si>
  <si>
    <r>
      <rPr>
        <sz val="9"/>
        <color rgb="FF000000"/>
        <rFont val="微軟正黑體"/>
        <family val="0"/>
        <charset val="1"/>
      </rPr>
      <t xml:space="preserve">P-001 </t>
    </r>
    <r>
      <rPr>
        <sz val="9"/>
        <color rgb="FF000000"/>
        <rFont val="Noto Sans CJK SC"/>
        <family val="2"/>
      </rPr>
      <t xml:space="preserve">群晶科技</t>
    </r>
  </si>
  <si>
    <t xml:space="preserve">群晶提出方案書與實績</t>
  </si>
  <si>
    <t xml:space="preserve">HIMSS-INFRAM; ISO-22301</t>
  </si>
  <si>
    <t xml:space="preserve">Electrical resilience design and test plan</t>
  </si>
  <si>
    <r>
      <rPr>
        <sz val="9"/>
        <rFont val="Noto Sans CJK SC"/>
        <family val="2"/>
      </rPr>
      <t xml:space="preserve">醫院備援電力專屬強制標準未查得（</t>
    </r>
    <r>
      <rPr>
        <sz val="9"/>
        <rFont val="Microsoft JhengHei"/>
        <family val="0"/>
        <charset val="1"/>
      </rPr>
      <t xml:space="preserve">N+1/UPS/</t>
    </r>
    <r>
      <rPr>
        <sz val="9"/>
        <rFont val="Noto Sans CJK SC"/>
        <family val="2"/>
      </rPr>
      <t xml:space="preserve">切換時間）——標準空窗。</t>
    </r>
    <r>
      <rPr>
        <sz val="9"/>
        <rFont val="Microsoft JhengHei"/>
        <family val="0"/>
        <charset val="1"/>
      </rPr>
      <t xml:space="preserve">Decree 58/2025</t>
    </r>
    <r>
      <rPr>
        <sz val="9"/>
        <rFont val="Noto Sans CJK SC"/>
        <family val="2"/>
      </rPr>
      <t xml:space="preserve">（經</t>
    </r>
    <r>
      <rPr>
        <sz val="9"/>
        <rFont val="Microsoft JhengHei"/>
        <family val="0"/>
        <charset val="1"/>
      </rPr>
      <t xml:space="preserve">Nghị định 243/2026</t>
    </r>
    <r>
      <rPr>
        <sz val="9"/>
        <rFont val="Noto Sans CJK SC"/>
        <family val="2"/>
      </rPr>
      <t xml:space="preserve">修訂，餘電可售上限</t>
    </r>
    <r>
      <rPr>
        <sz val="9"/>
        <rFont val="Microsoft JhengHei"/>
        <family val="0"/>
        <charset val="1"/>
      </rPr>
      <t xml:space="preserve">50%</t>
    </r>
    <r>
      <rPr>
        <sz val="9"/>
        <rFont val="Noto Sans CJK SC"/>
        <family val="2"/>
      </rPr>
      <t xml:space="preserve">）光電自發自用可入微電網設計。</t>
    </r>
  </si>
  <si>
    <t xml:space="preserve">CAP-017</t>
  </si>
  <si>
    <t xml:space="preserve">醫療氣體與關鍵公用系統</t>
  </si>
  <si>
    <t xml:space="preserve">Medical gases and critical utilities</t>
  </si>
  <si>
    <r>
      <rPr>
        <sz val="9"/>
        <color rgb="FF000000"/>
        <rFont val="Noto Sans CJK SC"/>
        <family val="2"/>
      </rPr>
      <t xml:space="preserve">確保氧氣、真空、壓縮空氣、水與</t>
    </r>
    <r>
      <rPr>
        <sz val="9"/>
        <color rgb="FF000000"/>
        <rFont val="微軟正黑體"/>
        <family val="0"/>
        <charset val="1"/>
      </rPr>
      <t xml:space="preserve">HVAC</t>
    </r>
    <r>
      <rPr>
        <sz val="9"/>
        <color rgb="FF000000"/>
        <rFont val="Noto Sans CJK SC"/>
        <family val="2"/>
      </rPr>
      <t xml:space="preserve">容量及監控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</si>
  <si>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Specialist Contractor</t>
    </r>
  </si>
  <si>
    <t xml:space="preserve">Utility design, alarms and acceptance tests</t>
  </si>
  <si>
    <r>
      <rPr>
        <sz val="9"/>
        <rFont val="Microsoft JhengHei"/>
        <family val="0"/>
        <charset val="1"/>
      </rPr>
      <t xml:space="preserve">TCVN 8022=ISO 7396</t>
    </r>
    <r>
      <rPr>
        <sz val="9"/>
        <rFont val="Noto Sans CJK SC"/>
        <family val="2"/>
      </rPr>
      <t xml:space="preserve">直接對接。</t>
    </r>
  </si>
  <si>
    <t xml:space="preserve">CAP-018</t>
  </si>
  <si>
    <t xml:space="preserve">醫療廢棄物與水資源</t>
  </si>
  <si>
    <t xml:space="preserve">Healthcare waste and water</t>
  </si>
  <si>
    <t xml:space="preserve">符合法規並提高水、廢棄物與感染韌性</t>
  </si>
  <si>
    <r>
      <rPr>
        <sz val="9"/>
        <color rgb="FF000000"/>
        <rFont val="微軟正黑體"/>
        <family val="0"/>
        <charset val="1"/>
      </rPr>
      <t xml:space="preserve">P-018 </t>
    </r>
    <r>
      <rPr>
        <sz val="9"/>
        <color rgb="FF000000"/>
        <rFont val="Noto Sans CJK SC"/>
        <family val="2"/>
      </rPr>
      <t xml:space="preserve">越南環保與廢棄物處理商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</si>
  <si>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Local Environmental Partner</t>
    </r>
  </si>
  <si>
    <t xml:space="preserve">WHO-CLIMATE</t>
  </si>
  <si>
    <t xml:space="preserve">Waste and water management system</t>
  </si>
  <si>
    <r>
      <rPr>
        <sz val="9"/>
        <rFont val="Microsoft JhengHei"/>
        <family val="0"/>
        <charset val="1"/>
      </rPr>
      <t xml:space="preserve">QCVN 28:2010</t>
    </r>
    <r>
      <rPr>
        <sz val="9"/>
        <rFont val="Noto Sans CJK SC"/>
        <family val="2"/>
      </rPr>
      <t xml:space="preserve">廢水強制；院內醫廢</t>
    </r>
    <r>
      <rPr>
        <sz val="9"/>
        <rFont val="Microsoft JhengHei"/>
        <family val="0"/>
        <charset val="1"/>
      </rPr>
      <t xml:space="preserve">Circular 20/2021</t>
    </r>
    <r>
      <rPr>
        <sz val="9"/>
        <rFont val="Noto Sans CJK SC"/>
        <family val="2"/>
      </rPr>
      <t xml:space="preserve">；量能區域錯配。</t>
    </r>
  </si>
  <si>
    <t xml:space="preserve">CAP-019</t>
  </si>
  <si>
    <t xml:space="preserve">綠色與氣候韌性醫院</t>
  </si>
  <si>
    <t xml:space="preserve">Green and climate-resilient hospital</t>
  </si>
  <si>
    <t xml:space="preserve">納入節能、熱風險、洪水、供水與碳管理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</si>
  <si>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EPC + Energy Partner</t>
    </r>
  </si>
  <si>
    <t xml:space="preserve">Climate resilience and energy plan</t>
  </si>
  <si>
    <r>
      <rPr>
        <sz val="9"/>
        <rFont val="Microsoft JhengHei"/>
        <family val="0"/>
        <charset val="1"/>
      </rPr>
      <t xml:space="preserve">WHO CRESHCF</t>
    </r>
    <r>
      <rPr>
        <sz val="9"/>
        <rFont val="Noto Sans CJK SC"/>
        <family val="2"/>
      </rPr>
      <t xml:space="preserve">框架（越南</t>
    </r>
    <r>
      <rPr>
        <sz val="9"/>
        <rFont val="Microsoft JhengHei"/>
        <family val="0"/>
        <charset val="1"/>
      </rPr>
      <t xml:space="preserve">3</t>
    </r>
    <r>
      <rPr>
        <sz val="9"/>
        <rFont val="Noto Sans CJK SC"/>
        <family val="2"/>
      </rPr>
      <t xml:space="preserve">醫院試點、能源成本降</t>
    </r>
    <r>
      <rPr>
        <sz val="9"/>
        <rFont val="Microsoft JhengHei"/>
        <family val="0"/>
        <charset val="1"/>
      </rPr>
      <t xml:space="preserve">20%</t>
    </r>
    <r>
      <rPr>
        <sz val="9"/>
        <rFont val="Noto Sans CJK SC"/>
        <family val="2"/>
      </rPr>
      <t xml:space="preserve">）；</t>
    </r>
    <r>
      <rPr>
        <sz val="9"/>
        <rFont val="Microsoft JhengHei"/>
        <family val="0"/>
        <charset val="1"/>
      </rPr>
      <t xml:space="preserve">ATACH</t>
    </r>
    <r>
      <rPr>
        <sz val="9"/>
        <rFont val="Noto Sans CJK SC"/>
        <family val="2"/>
      </rPr>
      <t xml:space="preserve">成員；「綠</t>
    </r>
    <r>
      <rPr>
        <sz val="9"/>
        <rFont val="Microsoft JhengHei"/>
        <family val="0"/>
        <charset val="1"/>
      </rPr>
      <t xml:space="preserve">-</t>
    </r>
    <r>
      <rPr>
        <sz val="9"/>
        <rFont val="Noto Sans CJK SC"/>
        <family val="2"/>
      </rPr>
      <t xml:space="preserve">淨</t>
    </r>
    <r>
      <rPr>
        <sz val="9"/>
        <rFont val="Microsoft JhengHei"/>
        <family val="0"/>
        <charset val="1"/>
      </rPr>
      <t xml:space="preserve">-</t>
    </r>
    <r>
      <rPr>
        <sz val="9"/>
        <rFont val="Noto Sans CJK SC"/>
        <family val="2"/>
      </rPr>
      <t xml:space="preserve">美」運動</t>
    </r>
    <r>
      <rPr>
        <sz val="9"/>
        <rFont val="Microsoft JhengHei"/>
        <family val="0"/>
        <charset val="1"/>
      </rPr>
      <t xml:space="preserve">2025</t>
    </r>
    <r>
      <rPr>
        <sz val="9"/>
        <rFont val="Noto Sans CJK SC"/>
        <family val="2"/>
      </rPr>
      <t xml:space="preserve">年表彰</t>
    </r>
    <r>
      <rPr>
        <sz val="9"/>
        <rFont val="Microsoft JhengHei"/>
        <family val="0"/>
        <charset val="1"/>
      </rPr>
      <t xml:space="preserve">20</t>
    </r>
    <r>
      <rPr>
        <sz val="9"/>
        <rFont val="Noto Sans CJK SC"/>
        <family val="2"/>
      </rPr>
      <t xml:space="preserve">家——用語與國際框架一致，能力定義正確。</t>
    </r>
  </si>
  <si>
    <t xml:space="preserve">CAP-020</t>
  </si>
  <si>
    <r>
      <rPr>
        <sz val="9"/>
        <color rgb="FF000000"/>
        <rFont val="微軟正黑體"/>
        <family val="0"/>
        <charset val="1"/>
      </rPr>
      <t xml:space="preserve">D04 </t>
    </r>
    <r>
      <rPr>
        <sz val="9"/>
        <color rgb="FF000000"/>
        <rFont val="Noto Sans CJK SC"/>
        <family val="2"/>
      </rPr>
      <t xml:space="preserve">數位基建與物聯網</t>
    </r>
  </si>
  <si>
    <r>
      <rPr>
        <sz val="9"/>
        <color rgb="FF000000"/>
        <rFont val="微軟正黑體"/>
        <family val="0"/>
        <charset val="1"/>
      </rPr>
      <t xml:space="preserve">IDC/</t>
    </r>
    <r>
      <rPr>
        <sz val="9"/>
        <color rgb="FF000000"/>
        <rFont val="Noto Sans CJK SC"/>
        <family val="2"/>
      </rPr>
      <t xml:space="preserve">機房</t>
    </r>
  </si>
  <si>
    <r>
      <rPr>
        <sz val="9"/>
        <color rgb="FF000000"/>
        <rFont val="微軟正黑體"/>
        <family val="0"/>
        <charset val="1"/>
      </rPr>
      <t xml:space="preserve">IDC</t>
    </r>
    <r>
      <rPr>
        <sz val="9"/>
        <color rgb="FF000000"/>
        <rFont val="Noto Sans CJK SC"/>
        <family val="2"/>
      </rPr>
      <t xml:space="preserve">與邊緣運算底座</t>
    </r>
  </si>
  <si>
    <t xml:space="preserve">Hospital IDC and edge platform</t>
  </si>
  <si>
    <t xml:space="preserve">建立醫療級高可用機房、運算、儲存與監控</t>
  </si>
  <si>
    <t xml:space="preserve">HIMSS-INFRAM; ISO-27001</t>
  </si>
  <si>
    <t xml:space="preserve">中</t>
  </si>
  <si>
    <t xml:space="preserve">CAP-013; CAP-016</t>
  </si>
  <si>
    <t xml:space="preserve">IDC design, capacity and commissioning report</t>
  </si>
  <si>
    <r>
      <rPr>
        <sz val="9"/>
        <rFont val="Microsoft JhengHei"/>
        <family val="0"/>
        <charset val="1"/>
      </rPr>
      <t xml:space="preserve">EN</t>
    </r>
    <r>
      <rPr>
        <sz val="9"/>
        <rFont val="Noto Sans CJK SC"/>
        <family val="2"/>
      </rPr>
      <t xml:space="preserve">建議：</t>
    </r>
    <r>
      <rPr>
        <sz val="9"/>
        <rFont val="Microsoft JhengHei"/>
        <family val="0"/>
        <charset val="1"/>
      </rPr>
      <t xml:space="preserve">Hospital data centre (IDC) and edge platform</t>
    </r>
    <r>
      <rPr>
        <sz val="9"/>
        <rFont val="Noto Sans CJK SC"/>
        <family val="2"/>
      </rPr>
      <t xml:space="preserve">。外資</t>
    </r>
    <r>
      <rPr>
        <sz val="9"/>
        <rFont val="Microsoft JhengHei"/>
        <family val="0"/>
        <charset val="1"/>
      </rPr>
      <t xml:space="preserve">100%DC</t>
    </r>
    <r>
      <rPr>
        <sz val="9"/>
        <rFont val="Noto Sans CJK SC"/>
        <family val="2"/>
      </rPr>
      <t xml:space="preserve">已開放；本土四強格局。</t>
    </r>
  </si>
  <si>
    <r>
      <rPr>
        <sz val="9"/>
        <rFont val="Noto Sans CJK SC"/>
        <family val="2"/>
      </rPr>
      <t xml:space="preserve">電信法</t>
    </r>
    <r>
      <rPr>
        <sz val="9"/>
        <rFont val="Microsoft JhengHei"/>
        <family val="0"/>
        <charset val="1"/>
      </rPr>
      <t xml:space="preserve">2024-07</t>
    </r>
    <r>
      <rPr>
        <sz val="9"/>
        <rFont val="Noto Sans CJK SC"/>
        <family val="2"/>
      </rPr>
      <t xml:space="preserve">生效開放外資</t>
    </r>
    <r>
      <rPr>
        <sz val="9"/>
        <rFont val="Microsoft JhengHei"/>
        <family val="0"/>
        <charset val="1"/>
      </rPr>
      <t xml:space="preserve">100%</t>
    </r>
    <r>
      <rPr>
        <sz val="9"/>
        <rFont val="Noto Sans CJK SC"/>
        <family val="2"/>
      </rPr>
      <t xml:space="preserve">資料中心；</t>
    </r>
    <r>
      <rPr>
        <sz val="9"/>
        <rFont val="Microsoft JhengHei"/>
        <family val="0"/>
        <charset val="1"/>
      </rPr>
      <t xml:space="preserve">DC</t>
    </r>
    <r>
      <rPr>
        <sz val="9"/>
        <rFont val="Noto Sans CJK SC"/>
        <family val="2"/>
      </rPr>
      <t xml:space="preserve">市場</t>
    </r>
    <r>
      <rPr>
        <sz val="9"/>
        <rFont val="Microsoft JhengHei"/>
        <family val="0"/>
        <charset val="1"/>
      </rPr>
      <t xml:space="preserve">22</t>
    </r>
    <r>
      <rPr>
        <sz val="9"/>
        <rFont val="Noto Sans CJK SC"/>
        <family val="2"/>
      </rPr>
      <t xml:space="preserve">億美元</t>
    </r>
    <r>
      <rPr>
        <sz val="9"/>
        <rFont val="Microsoft JhengHei"/>
        <family val="0"/>
        <charset val="1"/>
      </rPr>
      <t xml:space="preserve">/41</t>
    </r>
    <r>
      <rPr>
        <sz val="9"/>
        <rFont val="Noto Sans CJK SC"/>
        <family val="2"/>
      </rPr>
      <t xml:space="preserve">座</t>
    </r>
    <r>
      <rPr>
        <sz val="9"/>
        <rFont val="Microsoft JhengHei"/>
        <family val="0"/>
        <charset val="1"/>
      </rPr>
      <t xml:space="preserve">/221MW</t>
    </r>
    <r>
      <rPr>
        <sz val="9"/>
        <rFont val="Noto Sans CJK SC"/>
        <family val="2"/>
      </rPr>
      <t xml:space="preserve">；資料主權三法（</t>
    </r>
    <r>
      <rPr>
        <sz val="9"/>
        <rFont val="Microsoft JhengHei"/>
        <family val="0"/>
        <charset val="1"/>
      </rPr>
      <t xml:space="preserve">53/2022</t>
    </r>
    <r>
      <rPr>
        <sz val="9"/>
        <rFont val="Noto Sans CJK SC"/>
        <family val="2"/>
      </rPr>
      <t xml:space="preserve">＋</t>
    </r>
    <r>
      <rPr>
        <sz val="9"/>
        <rFont val="Microsoft JhengHei"/>
        <family val="0"/>
        <charset val="1"/>
      </rPr>
      <t xml:space="preserve">60/2024</t>
    </r>
    <r>
      <rPr>
        <sz val="9"/>
        <rFont val="Noto Sans CJK SC"/>
        <family val="2"/>
      </rPr>
      <t xml:space="preserve">＋</t>
    </r>
    <r>
      <rPr>
        <sz val="9"/>
        <rFont val="Microsoft JhengHei"/>
        <family val="0"/>
        <charset val="1"/>
      </rPr>
      <t xml:space="preserve">PDPL</t>
    </r>
    <r>
      <rPr>
        <sz val="9"/>
        <rFont val="Noto Sans CJK SC"/>
        <family val="2"/>
      </rPr>
      <t xml:space="preserve">）把醫療核心系統推向本土雲；</t>
    </r>
    <r>
      <rPr>
        <sz val="9"/>
        <rFont val="Microsoft JhengHei"/>
        <family val="0"/>
        <charset val="1"/>
      </rPr>
      <t xml:space="preserve">Circular 13/2025</t>
    </r>
    <r>
      <rPr>
        <sz val="9"/>
        <rFont val="Noto Sans CJK SC"/>
        <family val="2"/>
      </rPr>
      <t xml:space="preserve">的</t>
    </r>
    <r>
      <rPr>
        <sz val="9"/>
        <rFont val="Microsoft JhengHei"/>
        <family val="0"/>
        <charset val="1"/>
      </rPr>
      <t xml:space="preserve">EMR</t>
    </r>
    <r>
      <rPr>
        <sz val="9"/>
        <rFont val="Noto Sans CJK SC"/>
        <family val="2"/>
      </rPr>
      <t xml:space="preserve">備援要求是</t>
    </r>
    <r>
      <rPr>
        <sz val="9"/>
        <rFont val="Microsoft JhengHei"/>
        <family val="0"/>
        <charset val="1"/>
      </rPr>
      <t xml:space="preserve">DR</t>
    </r>
    <r>
      <rPr>
        <sz val="9"/>
        <rFont val="Noto Sans CJK SC"/>
        <family val="2"/>
      </rPr>
      <t xml:space="preserve">採購直接法源。零信任</t>
    </r>
    <r>
      <rPr>
        <sz val="9"/>
        <rFont val="Microsoft JhengHei"/>
        <family val="0"/>
        <charset val="1"/>
      </rPr>
      <t xml:space="preserve">/RTLS/BMS</t>
    </r>
    <r>
      <rPr>
        <sz val="9"/>
        <rFont val="Noto Sans CJK SC"/>
        <family val="2"/>
      </rPr>
      <t xml:space="preserve">無醫療專門規範。</t>
    </r>
  </si>
  <si>
    <t xml:space="preserve">CAP-021</t>
  </si>
  <si>
    <r>
      <rPr>
        <sz val="9"/>
        <color rgb="FF000000"/>
        <rFont val="Noto Sans CJK SC"/>
        <family val="2"/>
      </rPr>
      <t xml:space="preserve">網路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資安</t>
    </r>
  </si>
  <si>
    <t xml:space="preserve">有線無線網路與分區</t>
  </si>
  <si>
    <t xml:space="preserve">Wired, wireless and segmented network</t>
  </si>
  <si>
    <r>
      <rPr>
        <sz val="9"/>
        <color rgb="FF000000"/>
        <rFont val="Noto Sans CJK SC"/>
        <family val="2"/>
      </rPr>
      <t xml:space="preserve">支援臨床、醫材、</t>
    </r>
    <r>
      <rPr>
        <sz val="9"/>
        <color rgb="FF000000"/>
        <rFont val="微軟正黑體"/>
        <family val="0"/>
        <charset val="1"/>
      </rPr>
      <t xml:space="preserve">IoT</t>
    </r>
    <r>
      <rPr>
        <sz val="9"/>
        <color rgb="FF000000"/>
        <rFont val="Noto Sans CJK SC"/>
        <family val="2"/>
      </rPr>
      <t xml:space="preserve">、訪客與管理網路分區</t>
    </r>
  </si>
  <si>
    <t xml:space="preserve">Network Lead</t>
  </si>
  <si>
    <t xml:space="preserve">Network architecture and coverage test</t>
  </si>
  <si>
    <t xml:space="preserve">CAP-022</t>
  </si>
  <si>
    <t xml:space="preserve">資安營運與零信任</t>
  </si>
  <si>
    <t xml:space="preserve">Cybersecurity operations and zero trust</t>
  </si>
  <si>
    <t xml:space="preserve">建立身分、存取、監控、弱點、備援與事件應變</t>
  </si>
  <si>
    <r>
      <rPr>
        <sz val="9"/>
        <color rgb="FF000000"/>
        <rFont val="微軟正黑體"/>
        <family val="0"/>
        <charset val="1"/>
      </rPr>
      <t xml:space="preserve">P-010 </t>
    </r>
    <r>
      <rPr>
        <sz val="9"/>
        <color rgb="FF000000"/>
        <rFont val="Noto Sans CJK SC"/>
        <family val="2"/>
      </rPr>
      <t xml:space="preserve">資安與隱私獨立驗證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</si>
  <si>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Security Assurance Partner</t>
    </r>
  </si>
  <si>
    <t xml:space="preserve">ISO-27001; ISO-27799</t>
  </si>
  <si>
    <t xml:space="preserve">CAP-019; CAP-020</t>
  </si>
  <si>
    <t xml:space="preserve">Security control baseline and SOC operating model</t>
  </si>
  <si>
    <r>
      <rPr>
        <sz val="9"/>
        <rFont val="Noto Sans CJK SC"/>
        <family val="2"/>
      </rPr>
      <t xml:space="preserve">定級</t>
    </r>
    <r>
      <rPr>
        <sz val="9"/>
        <rFont val="Microsoft JhengHei"/>
        <family val="0"/>
        <charset val="1"/>
      </rPr>
      <t xml:space="preserve">=Decree 85/2016</t>
    </r>
    <r>
      <rPr>
        <sz val="9"/>
        <rFont val="Noto Sans CJK SC"/>
        <family val="2"/>
      </rPr>
      <t xml:space="preserve">五級制；醫療專用零信任指引未查得；</t>
    </r>
    <r>
      <rPr>
        <sz val="9"/>
        <rFont val="Microsoft JhengHei"/>
        <family val="0"/>
        <charset val="1"/>
      </rPr>
      <t xml:space="preserve">2026-2028</t>
    </r>
    <r>
      <rPr>
        <sz val="9"/>
        <rFont val="Noto Sans CJK SC"/>
        <family val="2"/>
      </rPr>
      <t xml:space="preserve">補課窗口。</t>
    </r>
  </si>
  <si>
    <t xml:space="preserve">CAP-023</t>
  </si>
  <si>
    <r>
      <rPr>
        <sz val="9"/>
        <color rgb="FF000000"/>
        <rFont val="微軟正黑體"/>
        <family val="0"/>
        <charset val="1"/>
      </rPr>
      <t xml:space="preserve">AIOT/</t>
    </r>
    <r>
      <rPr>
        <sz val="9"/>
        <color rgb="FF000000"/>
        <rFont val="Noto Sans CJK SC"/>
        <family val="2"/>
      </rPr>
      <t xml:space="preserve">智慧院區</t>
    </r>
  </si>
  <si>
    <r>
      <rPr>
        <sz val="9"/>
        <color rgb="FF000000"/>
        <rFont val="微軟正黑體"/>
        <family val="0"/>
        <charset val="1"/>
      </rPr>
      <t xml:space="preserve">BMS</t>
    </r>
    <r>
      <rPr>
        <sz val="9"/>
        <color rgb="FF000000"/>
        <rFont val="Noto Sans CJK SC"/>
        <family val="2"/>
      </rPr>
      <t xml:space="preserve">與能源管理</t>
    </r>
  </si>
  <si>
    <t xml:space="preserve">Building and energy management</t>
  </si>
  <si>
    <t xml:space="preserve">整合機電、環境、告警與能源資料</t>
  </si>
  <si>
    <t xml:space="preserve">HIMSS-INFRAM</t>
  </si>
  <si>
    <t xml:space="preserve">CAP-016; CAP-020</t>
  </si>
  <si>
    <t xml:space="preserve">BMS integration and command dashboard</t>
  </si>
  <si>
    <r>
      <rPr>
        <sz val="9"/>
        <rFont val="Microsoft JhengHei"/>
        <family val="0"/>
        <charset val="1"/>
      </rPr>
      <t xml:space="preserve">BMS </t>
    </r>
    <r>
      <rPr>
        <sz val="9"/>
        <rFont val="Noto Sans CJK SC"/>
        <family val="2"/>
      </rPr>
      <t xml:space="preserve">首次有法規槓桿：</t>
    </r>
    <r>
      <rPr>
        <sz val="9"/>
        <rFont val="Microsoft JhengHei"/>
        <family val="0"/>
        <charset val="1"/>
      </rPr>
      <t xml:space="preserve">QCVN 04-3:2026/BXD 2027-02-01 </t>
    </r>
    <r>
      <rPr>
        <sz val="9"/>
        <rFont val="Noto Sans CJK SC"/>
        <family val="2"/>
      </rPr>
      <t xml:space="preserve">生效，≥</t>
    </r>
    <r>
      <rPr>
        <sz val="9"/>
        <rFont val="Microsoft JhengHei"/>
        <family val="0"/>
        <charset val="1"/>
      </rPr>
      <t xml:space="preserve">2,500m² </t>
    </r>
    <r>
      <rPr>
        <sz val="9"/>
        <rFont val="Noto Sans CJK SC"/>
        <family val="2"/>
      </rPr>
      <t xml:space="preserve">醫院強制能效監控。在地實證：</t>
    </r>
    <r>
      <rPr>
        <sz val="9"/>
        <rFont val="Microsoft JhengHei"/>
        <family val="0"/>
        <charset val="1"/>
      </rPr>
      <t xml:space="preserve">Tâm Anh </t>
    </r>
    <r>
      <rPr>
        <sz val="9"/>
        <rFont val="Noto Sans CJK SC"/>
        <family val="2"/>
      </rPr>
      <t xml:space="preserve">胡志明市 </t>
    </r>
    <r>
      <rPr>
        <sz val="9"/>
        <rFont val="Microsoft JhengHei"/>
        <family val="0"/>
        <charset val="1"/>
      </rPr>
      <t xml:space="preserve">C2/C3 </t>
    </r>
    <r>
      <rPr>
        <sz val="9"/>
        <rFont val="Noto Sans CJK SC"/>
        <family val="2"/>
      </rPr>
      <t xml:space="preserve">住院大樓（</t>
    </r>
    <r>
      <rPr>
        <sz val="9"/>
        <rFont val="Microsoft JhengHei"/>
        <family val="0"/>
        <charset val="1"/>
      </rPr>
      <t xml:space="preserve">84,000m²</t>
    </r>
    <r>
      <rPr>
        <sz val="9"/>
        <rFont val="Noto Sans CJK SC"/>
        <family val="2"/>
      </rPr>
      <t xml:space="preserve">）</t>
    </r>
    <r>
      <rPr>
        <sz val="9"/>
        <rFont val="Microsoft JhengHei"/>
        <family val="0"/>
        <charset val="1"/>
      </rPr>
      <t xml:space="preserve">BMS </t>
    </r>
    <r>
      <rPr>
        <sz val="9"/>
        <rFont val="Noto Sans CJK SC"/>
        <family val="2"/>
      </rPr>
      <t xml:space="preserve">中央監控節能 </t>
    </r>
    <r>
      <rPr>
        <sz val="9"/>
        <rFont val="Microsoft JhengHei"/>
        <family val="0"/>
        <charset val="1"/>
      </rPr>
      <t xml:space="preserve">20-30%</t>
    </r>
    <r>
      <rPr>
        <sz val="9"/>
        <rFont val="Noto Sans CJK SC"/>
        <family val="2"/>
      </rPr>
      <t xml:space="preserve">，獲 </t>
    </r>
    <r>
      <rPr>
        <sz val="9"/>
        <rFont val="Microsoft JhengHei"/>
        <family val="0"/>
        <charset val="1"/>
      </rPr>
      <t xml:space="preserve">2025 </t>
    </r>
    <r>
      <rPr>
        <sz val="9"/>
        <rFont val="Noto Sans CJK SC"/>
        <family val="2"/>
      </rPr>
      <t xml:space="preserve">年建築能效獎二等獎（</t>
    </r>
    <r>
      <rPr>
        <sz val="9"/>
        <rFont val="Microsoft JhengHei"/>
        <family val="0"/>
        <charset val="1"/>
      </rPr>
      <t xml:space="preserve">16 </t>
    </r>
    <r>
      <rPr>
        <sz val="9"/>
        <rFont val="Noto Sans CJK SC"/>
        <family val="2"/>
      </rPr>
      <t xml:space="preserve">件得獎中唯一醫療類）。★但商業陷阱：醫院適用優惠電價 </t>
    </r>
    <r>
      <rPr>
        <sz val="9"/>
        <rFont val="Microsoft JhengHei"/>
        <family val="0"/>
        <charset val="1"/>
      </rPr>
      <t xml:space="preserve">1,984-2,116 VND/kWh</t>
    </r>
    <r>
      <rPr>
        <sz val="9"/>
        <rFont val="Noto Sans CJK SC"/>
        <family val="2"/>
      </rPr>
      <t xml:space="preserve">（商業正常時段 </t>
    </r>
    <r>
      <rPr>
        <sz val="9"/>
        <rFont val="Microsoft JhengHei"/>
        <family val="0"/>
        <charset val="1"/>
      </rPr>
      <t xml:space="preserve">3,152</t>
    </r>
    <r>
      <rPr>
        <sz val="9"/>
        <rFont val="Noto Sans CJK SC"/>
        <family val="2"/>
      </rPr>
      <t xml:space="preserve">、尖峰 </t>
    </r>
    <r>
      <rPr>
        <sz val="9"/>
        <rFont val="Microsoft JhengHei"/>
        <family val="0"/>
        <charset val="1"/>
      </rPr>
      <t xml:space="preserve">5,422</t>
    </r>
    <r>
      <rPr>
        <sz val="9"/>
        <rFont val="Noto Sans CJK SC"/>
        <family val="2"/>
      </rPr>
      <t xml:space="preserve">），且無尖離峰差別——</t>
    </r>
    <r>
      <rPr>
        <sz val="9"/>
        <rFont val="Microsoft JhengHei"/>
        <family val="0"/>
        <charset val="1"/>
      </rPr>
      <t xml:space="preserve">BMS </t>
    </r>
    <r>
      <rPr>
        <sz val="9"/>
        <rFont val="Noto Sans CJK SC"/>
        <family val="2"/>
      </rPr>
      <t xml:space="preserve">的「尖峰削減、負載移轉」賣點在越南醫院失效，價值主張必須轉向絕對節電量與法遵。≥</t>
    </r>
    <r>
      <rPr>
        <sz val="9"/>
        <rFont val="Microsoft JhengHei"/>
        <family val="0"/>
        <charset val="1"/>
      </rPr>
      <t xml:space="preserve">500 TOE/</t>
    </r>
    <r>
      <rPr>
        <sz val="9"/>
        <rFont val="Noto Sans CJK SC"/>
        <family val="2"/>
      </rPr>
      <t xml:space="preserve">年的醫院屬「重點用能單位」，須設能源管理人員、做能源審計與年報——</t>
    </r>
    <r>
      <rPr>
        <sz val="9"/>
        <rFont val="Microsoft JhengHei"/>
        <family val="0"/>
        <charset val="1"/>
      </rPr>
      <t xml:space="preserve">BMS </t>
    </r>
    <r>
      <rPr>
        <sz val="9"/>
        <rFont val="Noto Sans CJK SC"/>
        <family val="2"/>
      </rPr>
      <t xml:space="preserve">可自動產出這些報表。</t>
    </r>
  </si>
  <si>
    <t xml:space="preserve">CAP-024</t>
  </si>
  <si>
    <r>
      <rPr>
        <sz val="9"/>
        <color rgb="FF000000"/>
        <rFont val="微軟正黑體"/>
        <family val="0"/>
        <charset val="1"/>
      </rPr>
      <t xml:space="preserve">RTLS</t>
    </r>
    <r>
      <rPr>
        <sz val="9"/>
        <color rgb="FF000000"/>
        <rFont val="Noto Sans CJK SC"/>
        <family val="2"/>
      </rPr>
      <t xml:space="preserve">與資產／人員定位</t>
    </r>
  </si>
  <si>
    <t xml:space="preserve">RTLS and asset/personnel location</t>
  </si>
  <si>
    <t xml:space="preserve">提高設備利用、病人流程與緊急定位效率</t>
  </si>
  <si>
    <t xml:space="preserve">ISO-27001</t>
  </si>
  <si>
    <t xml:space="preserve">RTLS coverage and use-case validation</t>
  </si>
  <si>
    <r>
      <rPr>
        <sz val="9"/>
        <rFont val="Noto Sans CJK SC"/>
        <family val="2"/>
      </rPr>
      <t xml:space="preserve">★合規風險等級最高的一項能力。越南 </t>
    </r>
    <r>
      <rPr>
        <sz val="9"/>
        <rFont val="Microsoft JhengHei"/>
        <family val="0"/>
        <charset val="1"/>
      </rPr>
      <t xml:space="preserve">PDPL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Law 91/2025/QH15</t>
    </r>
    <r>
      <rPr>
        <sz val="9"/>
        <rFont val="Noto Sans CJK SC"/>
        <family val="2"/>
      </rPr>
      <t xml:space="preserve">，</t>
    </r>
    <r>
      <rPr>
        <sz val="9"/>
        <rFont val="Microsoft JhengHei"/>
        <family val="0"/>
        <charset val="1"/>
      </rPr>
      <t xml:space="preserve">2026-01-01 </t>
    </r>
    <r>
      <rPr>
        <sz val="9"/>
        <rFont val="Noto Sans CJK SC"/>
        <family val="2"/>
      </rPr>
      <t xml:space="preserve">生效）第 </t>
    </r>
    <r>
      <rPr>
        <sz val="9"/>
        <rFont val="Microsoft JhengHei"/>
        <family val="0"/>
        <charset val="1"/>
      </rPr>
      <t xml:space="preserve">31.3.a </t>
    </r>
    <r>
      <rPr>
        <sz val="9"/>
        <rFont val="Noto Sans CJK SC"/>
        <family val="2"/>
      </rPr>
      <t xml:space="preserve">條直接點名「透過射頻識別卡及其他技術進行位置追蹤，除經個資主體同意外，不得施行」，第 </t>
    </r>
    <r>
      <rPr>
        <sz val="9"/>
        <rFont val="Microsoft JhengHei"/>
        <family val="0"/>
        <charset val="1"/>
      </rPr>
      <t xml:space="preserve">31.3.b </t>
    </r>
    <r>
      <rPr>
        <sz val="9"/>
        <rFont val="Noto Sans CJK SC"/>
        <family val="2"/>
      </rPr>
      <t xml:space="preserve">條要求「提供使用者追蹤選項」——這是產品功能需求不是政策文件，系統必須內建可暫停／可解綁。第 </t>
    </r>
    <r>
      <rPr>
        <sz val="9"/>
        <rFont val="Microsoft JhengHei"/>
        <family val="0"/>
        <charset val="1"/>
      </rPr>
      <t xml:space="preserve">25.3 </t>
    </r>
    <r>
      <rPr>
        <sz val="9"/>
        <rFont val="Noto Sans CJK SC"/>
        <family val="2"/>
      </rPr>
      <t xml:space="preserve">條規範員工監控。更嚴重的是資料法門檻：敏感個資（位置資料屬之）累計 </t>
    </r>
    <r>
      <rPr>
        <sz val="9"/>
        <rFont val="Microsoft JhengHei"/>
        <family val="0"/>
        <charset val="1"/>
      </rPr>
      <t xml:space="preserve">1 </t>
    </r>
    <r>
      <rPr>
        <sz val="9"/>
        <rFont val="Noto Sans CJK SC"/>
        <family val="2"/>
      </rPr>
      <t xml:space="preserve">萬人以上構成「重要資料」、</t>
    </r>
    <r>
      <rPr>
        <sz val="9"/>
        <rFont val="Microsoft JhengHei"/>
        <family val="0"/>
        <charset val="1"/>
      </rPr>
      <t xml:space="preserve">10 </t>
    </r>
    <r>
      <rPr>
        <sz val="9"/>
        <rFont val="Noto Sans CJK SC"/>
        <family val="2"/>
      </rPr>
      <t xml:space="preserve">萬人以上構成「核心資料」，核心資料跨境傳輸須公安部書面核准——一家大型醫院年門診遠超 </t>
    </r>
    <r>
      <rPr>
        <sz val="9"/>
        <rFont val="Microsoft JhengHei"/>
        <family val="0"/>
        <charset val="1"/>
      </rPr>
      <t xml:space="preserve">10 </t>
    </r>
    <r>
      <rPr>
        <sz val="9"/>
        <rFont val="Noto Sans CJK SC"/>
        <family val="2"/>
      </rPr>
      <t xml:space="preserve">萬人次，若平台放境外是專案級法律風險。技術選型建議 </t>
    </r>
    <r>
      <rPr>
        <sz val="9"/>
        <rFont val="Microsoft JhengHei"/>
        <family val="0"/>
        <charset val="1"/>
      </rPr>
      <t xml:space="preserve">BLE </t>
    </r>
    <r>
      <rPr>
        <sz val="9"/>
        <rFont val="Noto Sans CJK SC"/>
        <family val="2"/>
      </rPr>
      <t xml:space="preserve">為主（房間級 </t>
    </r>
    <r>
      <rPr>
        <sz val="9"/>
        <rFont val="Microsoft JhengHei"/>
        <family val="0"/>
        <charset val="1"/>
      </rPr>
      <t xml:space="preserve">2-3m </t>
    </r>
    <r>
      <rPr>
        <sz val="9"/>
        <rFont val="Noto Sans CJK SC"/>
        <family val="2"/>
      </rPr>
      <t xml:space="preserve">已滿足多數流程、成本低 </t>
    </r>
    <r>
      <rPr>
        <sz val="9"/>
        <rFont val="Microsoft JhengHei"/>
        <family val="0"/>
        <charset val="1"/>
      </rPr>
      <t xml:space="preserve">65-90%</t>
    </r>
    <r>
      <rPr>
        <sz val="9"/>
        <rFont val="Noto Sans CJK SC"/>
        <family val="2"/>
      </rPr>
      <t xml:space="preserve">）、</t>
    </r>
    <r>
      <rPr>
        <sz val="9"/>
        <rFont val="Microsoft JhengHei"/>
        <family val="0"/>
        <charset val="1"/>
      </rPr>
      <t xml:space="preserve">UWB </t>
    </r>
    <r>
      <rPr>
        <sz val="9"/>
        <rFont val="Noto Sans CJK SC"/>
        <family val="2"/>
      </rPr>
      <t xml:space="preserve">僅用於手術室與藥局。市場：越南零具名案例；單價參考 </t>
    </r>
    <r>
      <rPr>
        <sz val="9"/>
        <rFont val="Microsoft JhengHei"/>
        <family val="0"/>
        <charset val="1"/>
      </rPr>
      <t xml:space="preserve">200 </t>
    </r>
    <r>
      <rPr>
        <sz val="9"/>
        <rFont val="Noto Sans CJK SC"/>
        <family val="2"/>
      </rPr>
      <t xml:space="preserve">床 </t>
    </r>
    <r>
      <rPr>
        <sz val="9"/>
        <rFont val="Microsoft JhengHei"/>
        <family val="0"/>
        <charset val="1"/>
      </rPr>
      <t xml:space="preserve">BLE </t>
    </r>
    <r>
      <rPr>
        <sz val="9"/>
        <rFont val="Noto Sans CJK SC"/>
        <family val="2"/>
      </rPr>
      <t xml:space="preserve">全案 </t>
    </r>
    <r>
      <rPr>
        <sz val="9"/>
        <rFont val="Microsoft JhengHei"/>
        <family val="0"/>
        <charset val="1"/>
      </rPr>
      <t xml:space="preserve">USD 30-50 </t>
    </r>
    <r>
      <rPr>
        <sz val="9"/>
        <rFont val="Noto Sans CJK SC"/>
        <family val="2"/>
      </rPr>
      <t xml:space="preserve">萬（每床 </t>
    </r>
    <r>
      <rPr>
        <sz val="9"/>
        <rFont val="Microsoft JhengHei"/>
        <family val="0"/>
        <charset val="1"/>
      </rPr>
      <t xml:space="preserve">1,500-2,500</t>
    </r>
    <r>
      <rPr>
        <sz val="9"/>
        <rFont val="Noto Sans CJK SC"/>
        <family val="2"/>
      </rPr>
      <t xml:space="preserve">）。</t>
    </r>
  </si>
  <si>
    <t xml:space="preserve">CAP-025</t>
  </si>
  <si>
    <t xml:space="preserve">智慧病房、護理呼叫與感測</t>
  </si>
  <si>
    <t xml:space="preserve">Smart ward, nurse call and sensing</t>
  </si>
  <si>
    <t xml:space="preserve">整合護理呼叫、床旁、環境與安全告警</t>
  </si>
  <si>
    <t xml:space="preserve">IEC-80001</t>
  </si>
  <si>
    <t xml:space="preserve">CAP-020; CAP-034</t>
  </si>
  <si>
    <t xml:space="preserve">Smart ward blueprint and pilot acceptance</t>
  </si>
  <si>
    <r>
      <rPr>
        <sz val="9"/>
        <rFont val="Noto Sans CJK SC"/>
        <family val="2"/>
      </rPr>
      <t xml:space="preserve">在地實證：</t>
    </r>
    <r>
      <rPr>
        <sz val="9"/>
        <rFont val="Microsoft JhengHei"/>
        <family val="0"/>
        <charset val="1"/>
      </rPr>
      <t xml:space="preserve">Vinmec Ocean Park 2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31,000m²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114 </t>
    </r>
    <r>
      <rPr>
        <sz val="9"/>
        <rFont val="Noto Sans CJK SC"/>
        <family val="2"/>
      </rPr>
      <t xml:space="preserve">床，</t>
    </r>
    <r>
      <rPr>
        <sz val="9"/>
        <rFont val="Microsoft JhengHei"/>
        <family val="0"/>
        <charset val="1"/>
      </rPr>
      <t xml:space="preserve">2026-03 </t>
    </r>
    <r>
      <rPr>
        <sz val="9"/>
        <rFont val="Noto Sans CJK SC"/>
        <family val="2"/>
      </rPr>
      <t xml:space="preserve">報導）配置智慧病床與自動控制系統，但無供應商、無規格、無金額。護士呼叫在越南市場成熟且分散：</t>
    </r>
    <r>
      <rPr>
        <sz val="9"/>
        <rFont val="Microsoft JhengHei"/>
        <family val="0"/>
        <charset val="1"/>
      </rPr>
      <t xml:space="preserve">Ackermann/Honeywell</t>
    </r>
    <r>
      <rPr>
        <sz val="9"/>
        <rFont val="Noto Sans CJK SC"/>
        <family val="2"/>
      </rPr>
      <t xml:space="preserve">（高端私立）對上 </t>
    </r>
    <r>
      <rPr>
        <sz val="9"/>
        <rFont val="Microsoft JhengHei"/>
        <family val="0"/>
        <charset val="1"/>
      </rPr>
      <t xml:space="preserve">Commax/Aiphone/Syscall</t>
    </r>
    <r>
      <rPr>
        <sz val="9"/>
        <rFont val="Noto Sans CJK SC"/>
        <family val="2"/>
      </rPr>
      <t xml:space="preserve">（中階主流）；在地報價 </t>
    </r>
    <r>
      <rPr>
        <sz val="9"/>
        <rFont val="Microsoft JhengHei"/>
        <family val="0"/>
        <charset val="1"/>
      </rPr>
      <t xml:space="preserve">500,000-1,500,000 VND/</t>
    </r>
    <r>
      <rPr>
        <sz val="9"/>
        <rFont val="Noto Sans CJK SC"/>
        <family val="2"/>
      </rPr>
      <t xml:space="preserve">床（約 </t>
    </r>
    <r>
      <rPr>
        <sz val="9"/>
        <rFont val="Microsoft JhengHei"/>
        <family val="0"/>
        <charset val="1"/>
      </rPr>
      <t xml:space="preserve">USD 19-58</t>
    </r>
    <r>
      <rPr>
        <sz val="9"/>
        <rFont val="Noto Sans CJK SC"/>
        <family val="2"/>
      </rPr>
      <t xml:space="preserve">）——★這個價格帶顯示越南護士呼叫是紅海低價市場，不宜當主打。標準體系須先確認：</t>
    </r>
    <r>
      <rPr>
        <sz val="9"/>
        <rFont val="Microsoft JhengHei"/>
        <family val="0"/>
        <charset val="1"/>
      </rPr>
      <t xml:space="preserve">UL 1069</t>
    </r>
    <r>
      <rPr>
        <sz val="9"/>
        <rFont val="Noto Sans CJK SC"/>
        <family val="2"/>
      </rPr>
      <t xml:space="preserve">（美系）與 </t>
    </r>
    <r>
      <rPr>
        <sz val="9"/>
        <rFont val="Microsoft JhengHei"/>
        <family val="0"/>
        <charset val="1"/>
      </rPr>
      <t xml:space="preserve">VDE 0834</t>
    </r>
    <r>
      <rPr>
        <sz val="9"/>
        <rFont val="Noto Sans CJK SC"/>
        <family val="2"/>
      </rPr>
      <t xml:space="preserve">（德系）互不相容，越南是否有本國標準或指定體系未查得，選錯無法驗收。規格對標基準：市兒童醫院 </t>
    </r>
    <r>
      <rPr>
        <sz val="9"/>
        <rFont val="Microsoft JhengHei"/>
        <family val="0"/>
        <charset val="1"/>
      </rPr>
      <t xml:space="preserve">2017 </t>
    </r>
    <r>
      <rPr>
        <sz val="9"/>
        <rFont val="Noto Sans CJK SC"/>
        <family val="2"/>
      </rPr>
      <t xml:space="preserve">年公告（區域控制器 ≥</t>
    </r>
    <r>
      <rPr>
        <sz val="9"/>
        <rFont val="Microsoft JhengHei"/>
        <family val="0"/>
        <charset val="1"/>
      </rPr>
      <t xml:space="preserve">50 </t>
    </r>
    <r>
      <rPr>
        <sz val="9"/>
        <rFont val="Noto Sans CJK SC"/>
        <family val="2"/>
      </rPr>
      <t xml:space="preserve">房、可擴至 </t>
    </r>
    <r>
      <rPr>
        <sz val="9"/>
        <rFont val="Microsoft JhengHei"/>
        <family val="0"/>
        <charset val="1"/>
      </rPr>
      <t xml:space="preserve">127 </t>
    </r>
    <r>
      <rPr>
        <sz val="9"/>
        <rFont val="Noto Sans CJK SC"/>
        <family val="2"/>
      </rPr>
      <t xml:space="preserve">房</t>
    </r>
    <r>
      <rPr>
        <sz val="9"/>
        <rFont val="Microsoft JhengHei"/>
        <family val="0"/>
        <charset val="1"/>
      </rPr>
      <t xml:space="preserve">/255 </t>
    </r>
    <r>
      <rPr>
        <sz val="9"/>
        <rFont val="Noto Sans CJK SC"/>
        <family val="2"/>
      </rPr>
      <t xml:space="preserve">鈕、支援 </t>
    </r>
    <r>
      <rPr>
        <sz val="9"/>
        <rFont val="Microsoft JhengHei"/>
        <family val="0"/>
        <charset val="1"/>
      </rPr>
      <t xml:space="preserve">16 </t>
    </r>
    <r>
      <rPr>
        <sz val="9"/>
        <rFont val="Noto Sans CJK SC"/>
        <family val="2"/>
      </rPr>
      <t xml:space="preserve">區域控制器）。</t>
    </r>
  </si>
  <si>
    <t xml:space="preserve">CAP-026</t>
  </si>
  <si>
    <t xml:space="preserve">災難復原與營運持續</t>
  </si>
  <si>
    <t xml:space="preserve">Disaster recovery and continuity</t>
  </si>
  <si>
    <t xml:space="preserve">確保重大故障或災害下維持必要醫療服務</t>
  </si>
  <si>
    <t xml:space="preserve">ISO-22301; ISO-27001</t>
  </si>
  <si>
    <t xml:space="preserve">CAP-019; CAP-021</t>
  </si>
  <si>
    <t xml:space="preserve">DR architecture and tested runbook</t>
  </si>
  <si>
    <r>
      <rPr>
        <sz val="9"/>
        <rFont val="Microsoft JhengHei"/>
        <family val="0"/>
        <charset val="1"/>
      </rPr>
      <t xml:space="preserve">Circular 13/2025 EMR</t>
    </r>
    <r>
      <rPr>
        <sz val="9"/>
        <rFont val="Noto Sans CJK SC"/>
        <family val="2"/>
      </rPr>
      <t xml:space="preserve">備援要求＝直接法源，</t>
    </r>
    <r>
      <rPr>
        <sz val="9"/>
        <rFont val="Microsoft JhengHei"/>
        <family val="0"/>
        <charset val="1"/>
      </rPr>
      <t xml:space="preserve">D04</t>
    </r>
    <r>
      <rPr>
        <sz val="9"/>
        <rFont val="Noto Sans CJK SC"/>
        <family val="2"/>
      </rPr>
      <t xml:space="preserve">中合規驅動最強。</t>
    </r>
  </si>
  <si>
    <t xml:space="preserve">CAP-027</t>
  </si>
  <si>
    <r>
      <rPr>
        <sz val="9"/>
        <color rgb="FF000000"/>
        <rFont val="微軟正黑體"/>
        <family val="0"/>
        <charset val="1"/>
      </rPr>
      <t xml:space="preserve">D05 </t>
    </r>
    <r>
      <rPr>
        <sz val="9"/>
        <color rgb="FF000000"/>
        <rFont val="Noto Sans CJK SC"/>
        <family val="2"/>
      </rPr>
      <t xml:space="preserve">醫材與診斷</t>
    </r>
  </si>
  <si>
    <t xml:space="preserve">醫療器材</t>
  </si>
  <si>
    <t xml:space="preserve">醫材需求與設備計畫</t>
  </si>
  <si>
    <t xml:space="preserve">Medical equipment planning</t>
  </si>
  <si>
    <t xml:space="preserve">依服務量、空間、法規與人力規劃設備</t>
  </si>
  <si>
    <t xml:space="preserve">Medical Equipment Planner</t>
  </si>
  <si>
    <r>
      <rPr>
        <sz val="9"/>
        <color rgb="FF000000"/>
        <rFont val="微軟正黑體"/>
        <family val="0"/>
        <charset val="1"/>
      </rPr>
      <t xml:space="preserve">P-009 </t>
    </r>
    <r>
      <rPr>
        <sz val="9"/>
        <color rgb="FF000000"/>
        <rFont val="Noto Sans CJK SC"/>
        <family val="2"/>
      </rPr>
      <t xml:space="preserve">醫材整合商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</si>
  <si>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Device Integrator</t>
    </r>
  </si>
  <si>
    <t xml:space="preserve">VN-MD-98; ISO-14971</t>
  </si>
  <si>
    <t xml:space="preserve">CAP-008; CAP-014</t>
  </si>
  <si>
    <t xml:space="preserve">Equipment list and room-by-room schedule</t>
  </si>
  <si>
    <r>
      <rPr>
        <sz val="9"/>
        <rFont val="Microsoft JhengHei"/>
        <family val="0"/>
        <charset val="1"/>
      </rPr>
      <t xml:space="preserve">2025-07-01</t>
    </r>
    <r>
      <rPr>
        <sz val="9"/>
        <rFont val="Noto Sans CJK SC"/>
        <family val="2"/>
      </rPr>
      <t xml:space="preserve">起醫材全面依</t>
    </r>
    <r>
      <rPr>
        <sz val="9"/>
        <rFont val="Microsoft JhengHei"/>
        <family val="0"/>
        <charset val="1"/>
      </rPr>
      <t xml:space="preserve">Decree 98/2021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MAH</t>
    </r>
    <r>
      <rPr>
        <sz val="9"/>
        <rFont val="Noto Sans CJK SC"/>
        <family val="2"/>
      </rPr>
      <t xml:space="preserve">＋</t>
    </r>
    <r>
      <rPr>
        <sz val="9"/>
        <rFont val="Microsoft JhengHei"/>
        <family val="0"/>
        <charset val="1"/>
      </rPr>
      <t xml:space="preserve">CSDT</t>
    </r>
    <r>
      <rPr>
        <sz val="9"/>
        <rFont val="Noto Sans CJK SC"/>
        <family val="2"/>
      </rPr>
      <t xml:space="preserve">）；</t>
    </r>
    <r>
      <rPr>
        <sz val="9"/>
        <rFont val="Microsoft JhengHei"/>
        <family val="0"/>
        <charset val="1"/>
      </rPr>
      <t xml:space="preserve">EMR</t>
    </r>
    <r>
      <rPr>
        <sz val="9"/>
        <rFont val="Noto Sans CJK SC"/>
        <family val="2"/>
      </rPr>
      <t xml:space="preserve">推進中但</t>
    </r>
    <r>
      <rPr>
        <sz val="9"/>
        <rFont val="Microsoft JhengHei"/>
        <family val="0"/>
        <charset val="1"/>
      </rPr>
      <t xml:space="preserve">PACS</t>
    </r>
    <r>
      <rPr>
        <sz val="9"/>
        <rFont val="Noto Sans CJK SC"/>
        <family val="2"/>
      </rPr>
      <t xml:space="preserve">滲透仍低（僅</t>
    </r>
    <r>
      <rPr>
        <sz val="9"/>
        <rFont val="Microsoft JhengHei"/>
        <family val="0"/>
        <charset val="1"/>
      </rPr>
      <t xml:space="preserve">23</t>
    </r>
    <r>
      <rPr>
        <sz val="9"/>
        <rFont val="Noto Sans CJK SC"/>
        <family val="2"/>
      </rPr>
      <t xml:space="preserve">家無片化）；</t>
    </r>
    <r>
      <rPr>
        <sz val="9"/>
        <rFont val="Microsoft JhengHei"/>
        <family val="0"/>
        <charset val="1"/>
      </rPr>
      <t xml:space="preserve">cost-per-test</t>
    </r>
    <r>
      <rPr>
        <sz val="9"/>
        <rFont val="Noto Sans CJK SC"/>
        <family val="2"/>
      </rPr>
      <t xml:space="preserve">入法解鎖檢驗自動化商模；</t>
    </r>
    <r>
      <rPr>
        <sz val="9"/>
        <rFont val="Microsoft JhengHei"/>
        <family val="0"/>
        <charset val="1"/>
      </rPr>
      <t xml:space="preserve">LINAC 43%</t>
    </r>
    <r>
      <rPr>
        <sz val="9"/>
        <rFont val="Noto Sans CJK SC"/>
        <family val="2"/>
      </rPr>
      <t xml:space="preserve">老舊、透析機日轉</t>
    </r>
    <r>
      <rPr>
        <sz val="9"/>
        <rFont val="Microsoft JhengHei"/>
        <family val="0"/>
        <charset val="1"/>
      </rPr>
      <t xml:space="preserve">20</t>
    </r>
    <r>
      <rPr>
        <sz val="9"/>
        <rFont val="Noto Sans CJK SC"/>
        <family val="2"/>
      </rPr>
      <t xml:space="preserve">小時（標準</t>
    </r>
    <r>
      <rPr>
        <sz val="9"/>
        <rFont val="Microsoft JhengHei"/>
        <family val="0"/>
        <charset val="1"/>
      </rPr>
      <t xml:space="preserve">8</t>
    </r>
    <r>
      <rPr>
        <sz val="9"/>
        <rFont val="Noto Sans CJK SC"/>
        <family val="2"/>
      </rPr>
      <t xml:space="preserve">小時）顯示設備過載。</t>
    </r>
  </si>
  <si>
    <t xml:space="preserve">CAP-028</t>
  </si>
  <si>
    <r>
      <rPr>
        <sz val="9"/>
        <color rgb="FF000000"/>
        <rFont val="Noto Sans CJK SC"/>
        <family val="2"/>
      </rPr>
      <t xml:space="preserve">影像設備、</t>
    </r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與報告流程</t>
    </r>
  </si>
  <si>
    <t xml:space="preserve">Imaging, PACS and reporting</t>
  </si>
  <si>
    <t xml:space="preserve">整合影像取得、儲存、判讀、遠距與計費</t>
  </si>
  <si>
    <r>
      <rPr>
        <sz val="9"/>
        <color rgb="FF000000"/>
        <rFont val="Noto Sans CJK SC"/>
        <family val="2"/>
      </rPr>
      <t xml:space="preserve">缺口</t>
    </r>
    <r>
      <rPr>
        <sz val="9"/>
        <color rgb="FF000000"/>
        <rFont val="微軟正黑體"/>
        <family val="0"/>
        <charset val="1"/>
      </rPr>
      <t xml:space="preserve">-</t>
    </r>
    <r>
      <rPr>
        <sz val="9"/>
        <color rgb="FF000000"/>
        <rFont val="Noto Sans CJK SC"/>
        <family val="2"/>
      </rPr>
      <t xml:space="preserve">待尋找</t>
    </r>
  </si>
  <si>
    <r>
      <rPr>
        <sz val="9"/>
        <color rgb="FF000000"/>
        <rFont val="微軟正黑體"/>
        <family val="0"/>
        <charset val="1"/>
      </rPr>
      <t xml:space="preserve">P-019 </t>
    </r>
    <r>
      <rPr>
        <sz val="9"/>
        <color rgb="FF000000"/>
        <rFont val="Noto Sans CJK SC"/>
        <family val="2"/>
      </rPr>
      <t xml:space="preserve">影像設備與</t>
    </r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整合商</t>
    </r>
  </si>
  <si>
    <r>
      <rPr>
        <sz val="9"/>
        <color rgb="FF000000"/>
        <rFont val="Noto Sans CJK SC"/>
        <family val="2"/>
      </rPr>
      <t xml:space="preserve">缺：影像設備原廠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代理＋</t>
    </r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整合實績</t>
    </r>
  </si>
  <si>
    <t xml:space="preserve">DICOM; IHE; VN-MD-98</t>
  </si>
  <si>
    <t xml:space="preserve">CAP-026; CAP-033</t>
  </si>
  <si>
    <t xml:space="preserve">Imaging solution and acceptance tests</t>
  </si>
  <si>
    <t xml:space="preserve">待夥伴提供</t>
  </si>
  <si>
    <r>
      <rPr>
        <sz val="9"/>
        <rFont val="Noto Sans CJK SC"/>
        <family val="2"/>
      </rPr>
      <t xml:space="preserve">僅</t>
    </r>
    <r>
      <rPr>
        <sz val="9"/>
        <rFont val="Microsoft JhengHei"/>
        <family val="0"/>
        <charset val="1"/>
      </rPr>
      <t xml:space="preserve">23</t>
    </r>
    <r>
      <rPr>
        <sz val="9"/>
        <rFont val="Noto Sans CJK SC"/>
        <family val="2"/>
      </rPr>
      <t xml:space="preserve">家無片化＝滲透低；放腫擴張帶動</t>
    </r>
    <r>
      <rPr>
        <sz val="9"/>
        <rFont val="Microsoft JhengHei"/>
        <family val="0"/>
        <charset val="1"/>
      </rPr>
      <t xml:space="preserve">PACS/OIS</t>
    </r>
    <r>
      <rPr>
        <sz val="9"/>
        <rFont val="Noto Sans CJK SC"/>
        <family val="2"/>
      </rPr>
      <t xml:space="preserve">。</t>
    </r>
  </si>
  <si>
    <t xml:space="preserve">CAP-029</t>
  </si>
  <si>
    <r>
      <rPr>
        <sz val="9"/>
        <color rgb="FF000000"/>
        <rFont val="Noto Sans CJK SC"/>
        <family val="2"/>
      </rPr>
      <t xml:space="preserve">實驗室自動化與</t>
    </r>
    <r>
      <rPr>
        <sz val="9"/>
        <color rgb="FF000000"/>
        <rFont val="微軟正黑體"/>
        <family val="0"/>
        <charset val="1"/>
      </rPr>
      <t xml:space="preserve">LIS</t>
    </r>
  </si>
  <si>
    <t xml:space="preserve">Laboratory automation and LIS</t>
  </si>
  <si>
    <t xml:space="preserve">建立檢體、分析、品質、結果與危急值閉環</t>
  </si>
  <si>
    <r>
      <rPr>
        <sz val="9"/>
        <color rgb="FF000000"/>
        <rFont val="微軟正黑體"/>
        <family val="0"/>
        <charset val="1"/>
      </rPr>
      <t xml:space="preserve">P-020 </t>
    </r>
    <r>
      <rPr>
        <sz val="9"/>
        <color rgb="FF000000"/>
        <rFont val="Noto Sans CJK SC"/>
        <family val="2"/>
      </rPr>
      <t xml:space="preserve">檢驗自動化與</t>
    </r>
    <r>
      <rPr>
        <sz val="9"/>
        <color rgb="FF000000"/>
        <rFont val="微軟正黑體"/>
        <family val="0"/>
        <charset val="1"/>
      </rPr>
      <t xml:space="preserve">LIS</t>
    </r>
    <r>
      <rPr>
        <sz val="9"/>
        <color rgb="FF000000"/>
        <rFont val="Noto Sans CJK SC"/>
        <family val="2"/>
      </rPr>
      <t xml:space="preserve">供應商</t>
    </r>
  </si>
  <si>
    <r>
      <rPr>
        <sz val="9"/>
        <color rgb="FF000000"/>
        <rFont val="Noto Sans CJK SC"/>
        <family val="2"/>
      </rPr>
      <t xml:space="preserve">缺：實驗室自動化與</t>
    </r>
    <r>
      <rPr>
        <sz val="9"/>
        <color rgb="FF000000"/>
        <rFont val="微軟正黑體"/>
        <family val="0"/>
        <charset val="1"/>
      </rPr>
      <t xml:space="preserve">LIS</t>
    </r>
    <r>
      <rPr>
        <sz val="9"/>
        <color rgb="FF000000"/>
        <rFont val="Noto Sans CJK SC"/>
        <family val="2"/>
      </rPr>
      <t xml:space="preserve">供應商</t>
    </r>
  </si>
  <si>
    <t xml:space="preserve">HL7-V2; LOINC; VN-MD-98</t>
  </si>
  <si>
    <t xml:space="preserve">Lab workflow, interfaces and quality controls</t>
  </si>
  <si>
    <r>
      <rPr>
        <sz val="9"/>
        <rFont val="Microsoft JhengHei"/>
        <family val="0"/>
        <charset val="1"/>
      </rPr>
      <t xml:space="preserve">cost-per-test</t>
    </r>
    <r>
      <rPr>
        <sz val="9"/>
        <rFont val="Noto Sans CJK SC"/>
        <family val="2"/>
      </rPr>
      <t xml:space="preserve">入法；</t>
    </r>
    <r>
      <rPr>
        <sz val="9"/>
        <rFont val="Microsoft JhengHei"/>
        <family val="0"/>
        <charset val="1"/>
      </rPr>
      <t xml:space="preserve">VILAS Med 200+</t>
    </r>
    <r>
      <rPr>
        <sz val="9"/>
        <rFont val="Noto Sans CJK SC"/>
        <family val="2"/>
      </rPr>
      <t xml:space="preserve">實驗室。</t>
    </r>
  </si>
  <si>
    <t xml:space="preserve">CAP-030</t>
  </si>
  <si>
    <t xml:space="preserve">手術室與重症整合</t>
  </si>
  <si>
    <t xml:space="preserve">OR and critical-care integration</t>
  </si>
  <si>
    <t xml:space="preserve">整合麻醉、監護、手術排程、紀錄與耗材</t>
  </si>
  <si>
    <r>
      <rPr>
        <sz val="9"/>
        <color rgb="FF000000"/>
        <rFont val="微軟正黑體"/>
        <family val="0"/>
        <charset val="1"/>
      </rPr>
      <t xml:space="preserve">P-021 </t>
    </r>
    <r>
      <rPr>
        <sz val="9"/>
        <color rgb="FF000000"/>
        <rFont val="Noto Sans CJK SC"/>
        <family val="2"/>
      </rPr>
      <t xml:space="preserve">手術室與重症設備整合商</t>
    </r>
  </si>
  <si>
    <r>
      <rPr>
        <sz val="9"/>
        <color rgb="FF000000"/>
        <rFont val="Noto Sans CJK SC"/>
        <family val="2"/>
      </rPr>
      <t xml:space="preserve">缺：手術室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重症整合設備商</t>
    </r>
  </si>
  <si>
    <t xml:space="preserve">IEC-60601; IEC-80001</t>
  </si>
  <si>
    <t xml:space="preserve">CAP-026; CAP-034</t>
  </si>
  <si>
    <t xml:space="preserve">Integrated OR/ICU design and simulation</t>
  </si>
  <si>
    <t xml:space="preserve">CAP-031</t>
  </si>
  <si>
    <t xml:space="preserve">醫材介接與裝置身分</t>
  </si>
  <si>
    <t xml:space="preserve">Device connectivity and identity</t>
  </si>
  <si>
    <t xml:space="preserve">建立設備資料自動匯入、時間同步與身分管理</t>
  </si>
  <si>
    <r>
      <rPr>
        <sz val="9"/>
        <color rgb="FF000000"/>
        <rFont val="微軟正黑體"/>
        <family val="0"/>
        <charset val="1"/>
      </rPr>
      <t xml:space="preserve">P-007 </t>
    </r>
    <r>
      <rPr>
        <sz val="9"/>
        <color rgb="FF000000"/>
        <rFont val="Noto Sans CJK SC"/>
        <family val="2"/>
      </rPr>
      <t xml:space="preserve">醫療資訊整合商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</si>
  <si>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Health IT + Device Vendors</t>
    </r>
  </si>
  <si>
    <t xml:space="preserve">IEC-80001; HL7-V2</t>
  </si>
  <si>
    <t xml:space="preserve">CAP-027; CAP-033</t>
  </si>
  <si>
    <t xml:space="preserve">Device integration catalogue</t>
  </si>
  <si>
    <t xml:space="preserve">CAP-032</t>
  </si>
  <si>
    <t xml:space="preserve">醫療工程與設備生命週期</t>
  </si>
  <si>
    <t xml:space="preserve">Clinical engineering and lifecycle</t>
  </si>
  <si>
    <t xml:space="preserve">建立驗收、校正、預防維護、備品與汰換制度</t>
  </si>
  <si>
    <r>
      <rPr>
        <sz val="9"/>
        <color rgb="FF000000"/>
        <rFont val="微軟正黑體"/>
        <family val="0"/>
        <charset val="1"/>
      </rPr>
      <t xml:space="preserve">P-028 </t>
    </r>
    <r>
      <rPr>
        <sz val="9"/>
        <color rgb="FF000000"/>
        <rFont val="Noto Sans CJK SC"/>
        <family val="2"/>
      </rPr>
      <t xml:space="preserve">越南在地維修服務網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</si>
  <si>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Local Service Partner</t>
    </r>
  </si>
  <si>
    <t xml:space="preserve">ISO-13485; ISO-14971</t>
  </si>
  <si>
    <t xml:space="preserve">CMMS-ready asset register and maintenance plan</t>
  </si>
  <si>
    <r>
      <rPr>
        <sz val="9"/>
        <rFont val="Microsoft JhengHei"/>
        <family val="0"/>
        <charset val="1"/>
      </rPr>
      <t xml:space="preserve">43% LINAC</t>
    </r>
    <r>
      <rPr>
        <sz val="9"/>
        <rFont val="Noto Sans CJK SC"/>
        <family val="2"/>
      </rPr>
      <t xml:space="preserve">老舊、透析機日轉</t>
    </r>
    <r>
      <rPr>
        <sz val="9"/>
        <rFont val="Microsoft JhengHei"/>
        <family val="0"/>
        <charset val="1"/>
      </rPr>
      <t xml:space="preserve">20</t>
    </r>
    <r>
      <rPr>
        <sz val="9"/>
        <rFont val="Noto Sans CJK SC"/>
        <family val="2"/>
      </rPr>
      <t xml:space="preserve">小時——生命週期管理是被數據證明的缺口；越南生醫工程人力統計未查得。</t>
    </r>
  </si>
  <si>
    <t xml:space="preserve">CAP-033</t>
  </si>
  <si>
    <r>
      <rPr>
        <sz val="9"/>
        <color rgb="FF000000"/>
        <rFont val="微軟正黑體"/>
        <family val="0"/>
        <charset val="1"/>
      </rPr>
      <t xml:space="preserve">D06 </t>
    </r>
    <r>
      <rPr>
        <sz val="9"/>
        <color rgb="FF000000"/>
        <rFont val="Noto Sans CJK SC"/>
        <family val="2"/>
      </rPr>
      <t xml:space="preserve">醫療資訊與資料</t>
    </r>
  </si>
  <si>
    <t xml:space="preserve">醫療資訊軟體</t>
  </si>
  <si>
    <r>
      <rPr>
        <sz val="9"/>
        <color rgb="FF000000"/>
        <rFont val="微軟正黑體"/>
        <family val="0"/>
        <charset val="1"/>
      </rPr>
      <t xml:space="preserve">HIS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核心平台</t>
    </r>
  </si>
  <si>
    <t xml:space="preserve">Core HIS and EMR platform</t>
  </si>
  <si>
    <t xml:space="preserve">支援病人行政、臨床紀錄、計費與無紙化病歷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</si>
  <si>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HIS/EMR Vendor</t>
    </r>
  </si>
  <si>
    <t xml:space="preserve">VN-EMR-13; JCI-HOSP</t>
  </si>
  <si>
    <t xml:space="preserve">CAP-008; CAP-019</t>
  </si>
  <si>
    <t xml:space="preserve">Configured HIS/EMR and adoption plan</t>
  </si>
  <si>
    <r>
      <rPr>
        <sz val="9"/>
        <rFont val="Noto Sans CJK SC"/>
        <family val="2"/>
      </rPr>
      <t xml:space="preserve">期限與完成率如</t>
    </r>
    <r>
      <rPr>
        <sz val="9"/>
        <rFont val="Microsoft JhengHei"/>
        <family val="0"/>
        <charset val="1"/>
      </rPr>
      <t xml:space="preserve">OPP-31</t>
    </r>
    <r>
      <rPr>
        <sz val="9"/>
        <rFont val="Noto Sans CJK SC"/>
        <family val="2"/>
      </rPr>
      <t xml:space="preserve">；法規已從</t>
    </r>
    <r>
      <rPr>
        <sz val="9"/>
        <rFont val="Microsoft JhengHei"/>
        <family val="0"/>
        <charset val="1"/>
      </rPr>
      <t xml:space="preserve">46/2018</t>
    </r>
    <r>
      <rPr>
        <sz val="9"/>
        <rFont val="Noto Sans CJK SC"/>
        <family val="2"/>
      </rPr>
      <t xml:space="preserve">換軌到</t>
    </r>
    <r>
      <rPr>
        <sz val="9"/>
        <rFont val="Microsoft JhengHei"/>
        <family val="0"/>
        <charset val="1"/>
      </rPr>
      <t xml:space="preserve">13/2025——</t>
    </r>
    <r>
      <rPr>
        <sz val="9"/>
        <rFont val="Noto Sans CJK SC"/>
        <family val="2"/>
      </rPr>
      <t xml:space="preserve">能力描述中的法規引用需同步更新。</t>
    </r>
  </si>
  <si>
    <r>
      <rPr>
        <sz val="9"/>
        <rFont val="Microsoft JhengHei"/>
        <family val="0"/>
        <charset val="1"/>
      </rPr>
      <t xml:space="preserve">EMR</t>
    </r>
    <r>
      <rPr>
        <sz val="9"/>
        <rFont val="Noto Sans CJK SC"/>
        <family val="2"/>
      </rPr>
      <t xml:space="preserve">：期限已由</t>
    </r>
    <r>
      <rPr>
        <sz val="9"/>
        <rFont val="Microsoft JhengHei"/>
        <family val="0"/>
        <charset val="1"/>
      </rPr>
      <t xml:space="preserve">Quyết định 965/QĐ-BYT</t>
    </r>
    <r>
      <rPr>
        <sz val="9"/>
        <rFont val="Noto Sans CJK SC"/>
        <family val="2"/>
      </rPr>
      <t xml:space="preserve">延至</t>
    </r>
    <r>
      <rPr>
        <sz val="9"/>
        <rFont val="Microsoft JhengHei"/>
        <family val="0"/>
        <charset val="1"/>
      </rPr>
      <t xml:space="preserve">2026-12-31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2027-01-01</t>
    </r>
    <r>
      <rPr>
        <sz val="9"/>
        <rFont val="Noto Sans CJK SC"/>
        <family val="2"/>
      </rPr>
      <t xml:space="preserve">停用紙本），完成率</t>
    </r>
    <r>
      <rPr>
        <sz val="9"/>
        <rFont val="Microsoft JhengHei"/>
        <family val="0"/>
        <charset val="1"/>
      </rPr>
      <t xml:space="preserve">2025</t>
    </r>
    <r>
      <rPr>
        <sz val="9"/>
        <rFont val="Noto Sans CJK SC"/>
        <family val="2"/>
      </rPr>
      <t xml:space="preserve">年底</t>
    </r>
    <r>
      <rPr>
        <sz val="9"/>
        <rFont val="Microsoft JhengHei"/>
        <family val="0"/>
        <charset val="1"/>
      </rPr>
      <t xml:space="preserve">64.6%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1,062/1,645</t>
    </r>
    <r>
      <rPr>
        <sz val="9"/>
        <rFont val="Noto Sans CJK SC"/>
        <family val="2"/>
      </rPr>
      <t xml:space="preserve">家）、</t>
    </r>
    <r>
      <rPr>
        <sz val="9"/>
        <rFont val="Microsoft JhengHei"/>
        <family val="0"/>
        <charset val="1"/>
      </rPr>
      <t xml:space="preserve">2026-08</t>
    </r>
    <r>
      <rPr>
        <sz val="9"/>
        <rFont val="Noto Sans CJK SC"/>
        <family val="2"/>
      </rPr>
      <t xml:space="preserve">登錄</t>
    </r>
    <r>
      <rPr>
        <sz val="9"/>
        <rFont val="Microsoft JhengHei"/>
        <family val="0"/>
        <charset val="1"/>
      </rPr>
      <t xml:space="preserve">1,260</t>
    </r>
    <r>
      <rPr>
        <sz val="9"/>
        <rFont val="Noto Sans CJK SC"/>
        <family val="2"/>
      </rPr>
      <t xml:space="preserve">家；電子處方</t>
    </r>
    <r>
      <rPr>
        <sz val="9"/>
        <rFont val="Microsoft JhengHei"/>
        <family val="0"/>
        <charset val="1"/>
      </rPr>
      <t xml:space="preserve">2025-10-01</t>
    </r>
    <r>
      <rPr>
        <sz val="9"/>
        <rFont val="Noto Sans CJK SC"/>
        <family val="2"/>
      </rPr>
      <t xml:space="preserve">強制；</t>
    </r>
    <r>
      <rPr>
        <sz val="9"/>
        <rFont val="Microsoft JhengHei"/>
        <family val="0"/>
        <charset val="1"/>
      </rPr>
      <t xml:space="preserve">VNeID</t>
    </r>
    <r>
      <rPr>
        <sz val="9"/>
        <rFont val="Noto Sans CJK SC"/>
        <family val="2"/>
      </rPr>
      <t xml:space="preserve">健康簿</t>
    </r>
    <r>
      <rPr>
        <sz val="9"/>
        <rFont val="Microsoft JhengHei"/>
        <family val="0"/>
        <charset val="1"/>
      </rPr>
      <t xml:space="preserve">34/34</t>
    </r>
    <r>
      <rPr>
        <sz val="9"/>
        <rFont val="Noto Sans CJK SC"/>
        <family val="2"/>
      </rPr>
      <t xml:space="preserve">省全上線、約</t>
    </r>
    <r>
      <rPr>
        <sz val="9"/>
        <rFont val="Microsoft JhengHei"/>
        <family val="0"/>
        <charset val="1"/>
      </rPr>
      <t xml:space="preserve">3,280</t>
    </r>
    <r>
      <rPr>
        <sz val="9"/>
        <rFont val="Noto Sans CJK SC"/>
        <family val="2"/>
      </rPr>
      <t xml:space="preserve">萬人（</t>
    </r>
    <r>
      <rPr>
        <sz val="9"/>
        <rFont val="Microsoft JhengHei"/>
        <family val="0"/>
        <charset val="1"/>
      </rPr>
      <t xml:space="preserve">2026-07</t>
    </r>
    <r>
      <rPr>
        <sz val="9"/>
        <rFont val="Noto Sans CJK SC"/>
        <family val="2"/>
      </rPr>
      <t xml:space="preserve">），</t>
    </r>
    <r>
      <rPr>
        <sz val="9"/>
        <rFont val="Microsoft JhengHei"/>
        <family val="0"/>
        <charset val="1"/>
      </rPr>
      <t xml:space="preserve">Quyết định 31/QĐ-BYT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2026-01-06</t>
    </r>
    <r>
      <rPr>
        <sz val="9"/>
        <rFont val="Noto Sans CJK SC"/>
        <family val="2"/>
      </rPr>
      <t xml:space="preserve">）已賦予與紙本同等效力；</t>
    </r>
    <r>
      <rPr>
        <sz val="9"/>
        <rFont val="Microsoft JhengHei"/>
        <family val="0"/>
        <charset val="1"/>
      </rPr>
      <t xml:space="preserve">MPI</t>
    </r>
    <r>
      <rPr>
        <sz val="9"/>
        <rFont val="Noto Sans CJK SC"/>
        <family val="2"/>
      </rPr>
      <t xml:space="preserve">實質＝國民</t>
    </r>
    <r>
      <rPr>
        <sz val="9"/>
        <rFont val="Microsoft JhengHei"/>
        <family val="0"/>
        <charset val="1"/>
      </rPr>
      <t xml:space="preserve">ID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EMR</t>
    </r>
    <r>
      <rPr>
        <sz val="9"/>
        <rFont val="Noto Sans CJK SC"/>
        <family val="2"/>
      </rPr>
      <t xml:space="preserve">強制連結人口資料庫）；</t>
    </r>
    <r>
      <rPr>
        <sz val="9"/>
        <rFont val="Microsoft JhengHei"/>
        <family val="0"/>
        <charset val="1"/>
      </rPr>
      <t xml:space="preserve">FHIR</t>
    </r>
    <r>
      <rPr>
        <sz val="9"/>
        <rFont val="Noto Sans CJK SC"/>
        <family val="2"/>
      </rPr>
      <t xml:space="preserve">無官方強制；</t>
    </r>
    <r>
      <rPr>
        <sz val="9"/>
        <rFont val="Microsoft JhengHei"/>
        <family val="0"/>
        <charset val="1"/>
      </rPr>
      <t xml:space="preserve">CDSS</t>
    </r>
    <r>
      <rPr>
        <sz val="9"/>
        <rFont val="Noto Sans CJK SC"/>
        <family val="2"/>
      </rPr>
      <t xml:space="preserve">是五家醫院實測最弱環節。</t>
    </r>
  </si>
  <si>
    <t xml:space="preserve">CAP-034</t>
  </si>
  <si>
    <r>
      <rPr>
        <sz val="9"/>
        <color rgb="FF000000"/>
        <rFont val="微軟正黑體"/>
        <family val="0"/>
        <charset val="1"/>
      </rPr>
      <t xml:space="preserve">FHIR</t>
    </r>
    <r>
      <rPr>
        <sz val="9"/>
        <color rgb="FF000000"/>
        <rFont val="Noto Sans CJK SC"/>
        <family val="2"/>
      </rPr>
      <t xml:space="preserve">介接與</t>
    </r>
    <r>
      <rPr>
        <sz val="9"/>
        <color rgb="FF000000"/>
        <rFont val="微軟正黑體"/>
        <family val="0"/>
        <charset val="1"/>
      </rPr>
      <t xml:space="preserve">API</t>
    </r>
    <r>
      <rPr>
        <sz val="9"/>
        <color rgb="FF000000"/>
        <rFont val="Noto Sans CJK SC"/>
        <family val="2"/>
      </rPr>
      <t xml:space="preserve">管理</t>
    </r>
  </si>
  <si>
    <t xml:space="preserve">FHIR interoperability and API management</t>
  </si>
  <si>
    <t xml:space="preserve">以開放標準降低跨系統與跨院資料鎖定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</si>
  <si>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Health IT Integrator</t>
    </r>
  </si>
  <si>
    <t xml:space="preserve">HL7-FHIR; IHE</t>
  </si>
  <si>
    <t xml:space="preserve">FHIR profiles, API gateway and conformance tests</t>
  </si>
  <si>
    <r>
      <rPr>
        <sz val="9"/>
        <rFont val="Microsoft JhengHei"/>
        <family val="0"/>
        <charset val="1"/>
      </rPr>
      <t xml:space="preserve">FHIR</t>
    </r>
    <r>
      <rPr>
        <sz val="9"/>
        <rFont val="Noto Sans CJK SC"/>
        <family val="2"/>
      </rPr>
      <t xml:space="preserve">無官方強制；實務</t>
    </r>
    <r>
      <rPr>
        <sz val="9"/>
        <rFont val="Microsoft JhengHei"/>
        <family val="0"/>
        <charset val="1"/>
      </rPr>
      <t xml:space="preserve">=</t>
    </r>
    <r>
      <rPr>
        <sz val="9"/>
        <rFont val="Noto Sans CJK SC"/>
        <family val="2"/>
      </rPr>
      <t xml:space="preserve">健保</t>
    </r>
    <r>
      <rPr>
        <sz val="9"/>
        <rFont val="Microsoft JhengHei"/>
        <family val="0"/>
        <charset val="1"/>
      </rPr>
      <t xml:space="preserve">XML</t>
    </r>
    <r>
      <rPr>
        <sz val="9"/>
        <rFont val="Noto Sans CJK SC"/>
        <family val="2"/>
      </rPr>
      <t xml:space="preserve">＋國家平台</t>
    </r>
    <r>
      <rPr>
        <sz val="9"/>
        <rFont val="Microsoft JhengHei"/>
        <family val="0"/>
        <charset val="1"/>
      </rPr>
      <t xml:space="preserve">API</t>
    </r>
    <r>
      <rPr>
        <sz val="9"/>
        <rFont val="Noto Sans CJK SC"/>
        <family val="2"/>
      </rPr>
      <t xml:space="preserve">；建議能力定義加上「</t>
    </r>
    <r>
      <rPr>
        <sz val="9"/>
        <rFont val="Microsoft JhengHei"/>
        <family val="0"/>
        <charset val="1"/>
      </rPr>
      <t xml:space="preserve">VNeID/</t>
    </r>
    <r>
      <rPr>
        <sz val="9"/>
        <rFont val="Noto Sans CJK SC"/>
        <family val="2"/>
      </rPr>
      <t xml:space="preserve">國家平台介接」。</t>
    </r>
  </si>
  <si>
    <t xml:space="preserve">CAP-035</t>
  </si>
  <si>
    <t xml:space="preserve">主病人索引與身分整合</t>
  </si>
  <si>
    <t xml:space="preserve">Master patient index and identity</t>
  </si>
  <si>
    <t xml:space="preserve">避免重複病歷並準備與國家身分／健康平台連結</t>
  </si>
  <si>
    <r>
      <rPr>
        <sz val="9"/>
        <color rgb="FF000000"/>
        <rFont val="微軟正黑體"/>
        <family val="0"/>
        <charset val="1"/>
      </rPr>
      <t xml:space="preserve">P-022 </t>
    </r>
    <r>
      <rPr>
        <sz val="9"/>
        <color rgb="FF000000"/>
        <rFont val="Noto Sans CJK SC"/>
        <family val="2"/>
      </rPr>
      <t xml:space="preserve">越南數位身分介接夥伴</t>
    </r>
  </si>
  <si>
    <r>
      <rPr>
        <sz val="9"/>
        <color rgb="FF000000"/>
        <rFont val="Noto Sans CJK SC"/>
        <family val="2"/>
      </rPr>
      <t xml:space="preserve">缺：越南數位身分</t>
    </r>
    <r>
      <rPr>
        <sz val="9"/>
        <color rgb="FF000000"/>
        <rFont val="微軟正黑體"/>
        <family val="0"/>
        <charset val="1"/>
      </rPr>
      <t xml:space="preserve">(VNeID)</t>
    </r>
    <r>
      <rPr>
        <sz val="9"/>
        <color rgb="FF000000"/>
        <rFont val="Noto Sans CJK SC"/>
        <family val="2"/>
      </rPr>
      <t xml:space="preserve">介接夥伴</t>
    </r>
  </si>
  <si>
    <t xml:space="preserve">HL7-FHIR; VN-DATA-60</t>
  </si>
  <si>
    <t xml:space="preserve">MPI rules, matching test and governance</t>
  </si>
  <si>
    <r>
      <rPr>
        <sz val="9"/>
        <rFont val="Microsoft JhengHei"/>
        <family val="0"/>
        <charset val="1"/>
      </rPr>
      <t xml:space="preserve">MPI</t>
    </r>
    <r>
      <rPr>
        <sz val="9"/>
        <rFont val="Noto Sans CJK SC"/>
        <family val="2"/>
      </rPr>
      <t xml:space="preserve">實質</t>
    </r>
    <r>
      <rPr>
        <sz val="9"/>
        <rFont val="Microsoft JhengHei"/>
        <family val="0"/>
        <charset val="1"/>
      </rPr>
      <t xml:space="preserve">=</t>
    </r>
    <r>
      <rPr>
        <sz val="9"/>
        <rFont val="Noto Sans CJK SC"/>
        <family val="2"/>
      </rPr>
      <t xml:space="preserve">國民</t>
    </r>
    <r>
      <rPr>
        <sz val="9"/>
        <rFont val="Microsoft JhengHei"/>
        <family val="0"/>
        <charset val="1"/>
      </rPr>
      <t xml:space="preserve">ID</t>
    </r>
    <r>
      <rPr>
        <sz val="9"/>
        <rFont val="Noto Sans CJK SC"/>
        <family val="2"/>
      </rPr>
      <t xml:space="preserve">；能力重心轉向「連結</t>
    </r>
    <r>
      <rPr>
        <sz val="9"/>
        <rFont val="Microsoft JhengHei"/>
        <family val="0"/>
        <charset val="1"/>
      </rPr>
      <t xml:space="preserve">VNeID</t>
    </r>
    <r>
      <rPr>
        <sz val="9"/>
        <rFont val="Noto Sans CJK SC"/>
        <family val="2"/>
      </rPr>
      <t xml:space="preserve">＋歷史資料清理去重」。</t>
    </r>
  </si>
  <si>
    <t xml:space="preserve">CAP-036</t>
  </si>
  <si>
    <t xml:space="preserve">臨床術語與主資料治理</t>
  </si>
  <si>
    <t xml:space="preserve">Terminology and master-data governance</t>
  </si>
  <si>
    <t xml:space="preserve">管理診斷、檢驗、藥品、科別、醫事人員與設備代碼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</si>
  <si>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Reference Hospital + Health IT</t>
    </r>
  </si>
  <si>
    <t xml:space="preserve">ICD; LOINC; SNOMED</t>
  </si>
  <si>
    <t xml:space="preserve">Terminology service and stewardship model</t>
  </si>
  <si>
    <r>
      <rPr>
        <sz val="9"/>
        <rFont val="Noto Sans CJK SC"/>
        <family val="2"/>
      </rPr>
      <t xml:space="preserve">健保申報用</t>
    </r>
    <r>
      <rPr>
        <sz val="9"/>
        <rFont val="Microsoft JhengHei"/>
        <family val="0"/>
        <charset val="1"/>
      </rPr>
      <t xml:space="preserve">ICD-10</t>
    </r>
    <r>
      <rPr>
        <sz val="9"/>
        <rFont val="Noto Sans CJK SC"/>
        <family val="2"/>
      </rPr>
      <t xml:space="preserve">；</t>
    </r>
    <r>
      <rPr>
        <sz val="9"/>
        <rFont val="Microsoft JhengHei"/>
        <family val="0"/>
        <charset val="1"/>
      </rPr>
      <t xml:space="preserve">SNOMED CT/LOINC</t>
    </r>
    <r>
      <rPr>
        <sz val="9"/>
        <rFont val="Noto Sans CJK SC"/>
        <family val="2"/>
      </rPr>
      <t xml:space="preserve">國家授權未查得——術語治理需自帶方法論。</t>
    </r>
  </si>
  <si>
    <t xml:space="preserve">CAP-037</t>
  </si>
  <si>
    <t xml:space="preserve">電子醫囑、用藥與決策支援</t>
  </si>
  <si>
    <t xml:space="preserve">CPOE, medication and decision support</t>
  </si>
  <si>
    <t xml:space="preserve">降低處方、給藥、過敏與重複檢查風險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</si>
  <si>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HIS Vendor + Reference Hospital</t>
    </r>
  </si>
  <si>
    <t xml:space="preserve">JCI-HOSP; HL7-FHIR</t>
  </si>
  <si>
    <t xml:space="preserve">CAP-033; CAP-036</t>
  </si>
  <si>
    <t xml:space="preserve">Closed-loop medication workflow</t>
  </si>
  <si>
    <r>
      <rPr>
        <sz val="9"/>
        <rFont val="Microsoft JhengHei"/>
        <family val="0"/>
        <charset val="1"/>
      </rPr>
      <t xml:space="preserve">CPOE</t>
    </r>
    <r>
      <rPr>
        <sz val="9"/>
        <rFont val="Noto Sans CJK SC"/>
        <family val="2"/>
      </rPr>
      <t xml:space="preserve">因電子處方令（</t>
    </r>
    <r>
      <rPr>
        <sz val="9"/>
        <rFont val="Microsoft JhengHei"/>
        <family val="0"/>
        <charset val="1"/>
      </rPr>
      <t xml:space="preserve">2025-10-01</t>
    </r>
    <r>
      <rPr>
        <sz val="9"/>
        <rFont val="Noto Sans CJK SC"/>
        <family val="2"/>
      </rPr>
      <t xml:space="preserve">）實質強制；</t>
    </r>
    <r>
      <rPr>
        <sz val="9"/>
        <rFont val="Microsoft JhengHei"/>
        <family val="0"/>
        <charset val="1"/>
      </rPr>
      <t xml:space="preserve">CDSS</t>
    </r>
    <r>
      <rPr>
        <sz val="9"/>
        <rFont val="Noto Sans CJK SC"/>
        <family val="2"/>
      </rPr>
      <t xml:space="preserve">無法規、是五家醫院實測最弱環節＝差異化空間。</t>
    </r>
  </si>
  <si>
    <t xml:space="preserve">CAP-038</t>
  </si>
  <si>
    <r>
      <rPr>
        <sz val="9"/>
        <color rgb="FF000000"/>
        <rFont val="Noto Sans CJK SC"/>
        <family val="2"/>
      </rPr>
      <t xml:space="preserve">資料平台、</t>
    </r>
    <r>
      <rPr>
        <sz val="9"/>
        <color rgb="FF000000"/>
        <rFont val="微軟正黑體"/>
        <family val="0"/>
        <charset val="1"/>
      </rPr>
      <t xml:space="preserve">BI</t>
    </r>
    <r>
      <rPr>
        <sz val="9"/>
        <color rgb="FF000000"/>
        <rFont val="Noto Sans CJK SC"/>
        <family val="2"/>
      </rPr>
      <t xml:space="preserve">與營運指揮</t>
    </r>
  </si>
  <si>
    <t xml:space="preserve">Data platform, BI and command centre</t>
  </si>
  <si>
    <t xml:space="preserve">以一致資料支援臨床、營運、財務與政府報告</t>
  </si>
  <si>
    <r>
      <rPr>
        <sz val="9"/>
        <color rgb="FF000000"/>
        <rFont val="微軟正黑體"/>
        <family val="0"/>
        <charset val="1"/>
      </rPr>
      <t xml:space="preserve">P-008 </t>
    </r>
    <r>
      <rPr>
        <sz val="9"/>
        <color rgb="FF000000"/>
        <rFont val="Noto Sans CJK SC"/>
        <family val="2"/>
      </rPr>
      <t xml:space="preserve">美國雲端服務商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</si>
  <si>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Cloud/Data Partner</t>
    </r>
  </si>
  <si>
    <t xml:space="preserve">WHO-DHP; ISO-27799</t>
  </si>
  <si>
    <t xml:space="preserve">CAP-033; CAP-034; CAP-035</t>
  </si>
  <si>
    <t xml:space="preserve">Data platform and KPI semantic layer</t>
  </si>
  <si>
    <t xml:space="preserve">CAP-039</t>
  </si>
  <si>
    <r>
      <rPr>
        <sz val="9"/>
        <color rgb="FF000000"/>
        <rFont val="Noto Sans CJK SC"/>
        <family val="2"/>
      </rPr>
      <t xml:space="preserve">病人入口、行動服務與</t>
    </r>
    <r>
      <rPr>
        <sz val="9"/>
        <color rgb="FF000000"/>
        <rFont val="微軟正黑體"/>
        <family val="0"/>
        <charset val="1"/>
      </rPr>
      <t xml:space="preserve">VNeID</t>
    </r>
    <r>
      <rPr>
        <sz val="9"/>
        <color rgb="FF000000"/>
        <rFont val="Noto Sans CJK SC"/>
        <family val="2"/>
      </rPr>
      <t xml:space="preserve">準備</t>
    </r>
  </si>
  <si>
    <t xml:space="preserve">Patient portal, mobile and VNeID readiness</t>
  </si>
  <si>
    <t xml:space="preserve">提供預約、繳費、報告、同意與健康資料存取</t>
  </si>
  <si>
    <r>
      <rPr>
        <sz val="9"/>
        <color rgb="FF000000"/>
        <rFont val="微軟正黑體"/>
        <family val="0"/>
        <charset val="1"/>
      </rPr>
      <t xml:space="preserve">P-023 </t>
    </r>
    <r>
      <rPr>
        <sz val="9"/>
        <color rgb="FF000000"/>
        <rFont val="Noto Sans CJK SC"/>
        <family val="2"/>
      </rPr>
      <t xml:space="preserve">病人</t>
    </r>
    <r>
      <rPr>
        <sz val="9"/>
        <color rgb="FF000000"/>
        <rFont val="微軟正黑體"/>
        <family val="0"/>
        <charset val="1"/>
      </rPr>
      <t xml:space="preserve">App</t>
    </r>
    <r>
      <rPr>
        <sz val="9"/>
        <color rgb="FF000000"/>
        <rFont val="Noto Sans CJK SC"/>
        <family val="2"/>
      </rPr>
      <t xml:space="preserve">與在地支付夥伴</t>
    </r>
  </si>
  <si>
    <r>
      <rPr>
        <sz val="9"/>
        <color rgb="FF000000"/>
        <rFont val="Noto Sans CJK SC"/>
        <family val="2"/>
      </rPr>
      <t xml:space="preserve">缺：病人</t>
    </r>
    <r>
      <rPr>
        <sz val="9"/>
        <color rgb="FF000000"/>
        <rFont val="微軟正黑體"/>
        <family val="0"/>
        <charset val="1"/>
      </rPr>
      <t xml:space="preserve">App</t>
    </r>
    <r>
      <rPr>
        <sz val="9"/>
        <color rgb="FF000000"/>
        <rFont val="Noto Sans CJK SC"/>
        <family val="2"/>
      </rPr>
      <t xml:space="preserve">與在地支付夥伴</t>
    </r>
  </si>
  <si>
    <t xml:space="preserve">VN-EMR-13; HL7-FHIR</t>
  </si>
  <si>
    <t xml:space="preserve">CAP-033; CAP-035</t>
  </si>
  <si>
    <t xml:space="preserve">Patient digital journey and interface plan</t>
  </si>
  <si>
    <r>
      <rPr>
        <sz val="9"/>
        <rFont val="Noto Sans CJK SC"/>
        <family val="2"/>
      </rPr>
      <t xml:space="preserve">查證確認方向正確：</t>
    </r>
    <r>
      <rPr>
        <sz val="9"/>
        <rFont val="Microsoft JhengHei"/>
        <family val="0"/>
        <charset val="1"/>
      </rPr>
      <t xml:space="preserve">VNeID</t>
    </r>
    <r>
      <rPr>
        <sz val="9"/>
        <rFont val="Noto Sans CJK SC"/>
        <family val="2"/>
      </rPr>
      <t xml:space="preserve">是唯一病人入口（</t>
    </r>
    <r>
      <rPr>
        <sz val="9"/>
        <rFont val="Microsoft JhengHei"/>
        <family val="0"/>
        <charset val="1"/>
      </rPr>
      <t xml:space="preserve">34</t>
    </r>
    <r>
      <rPr>
        <sz val="9"/>
        <rFont val="Noto Sans CJK SC"/>
        <family val="2"/>
      </rPr>
      <t xml:space="preserve">省全上線、約</t>
    </r>
    <r>
      <rPr>
        <sz val="9"/>
        <rFont val="Microsoft JhengHei"/>
        <family val="0"/>
        <charset val="1"/>
      </rPr>
      <t xml:space="preserve">3,280</t>
    </r>
    <r>
      <rPr>
        <sz val="9"/>
        <rFont val="Noto Sans CJK SC"/>
        <family val="2"/>
      </rPr>
      <t xml:space="preserve">萬人、</t>
    </r>
    <r>
      <rPr>
        <sz val="9"/>
        <rFont val="Microsoft JhengHei"/>
        <family val="0"/>
        <charset val="1"/>
      </rPr>
      <t xml:space="preserve">Quyết định 31/QĐ-BYT</t>
    </r>
    <r>
      <rPr>
        <sz val="9"/>
        <rFont val="Noto Sans CJK SC"/>
        <family val="2"/>
      </rPr>
      <t xml:space="preserve">已賦予紙本同等效力）——此能力是前瞻布局的正確押注。</t>
    </r>
  </si>
  <si>
    <t xml:space="preserve">CAP-040</t>
  </si>
  <si>
    <r>
      <rPr>
        <sz val="9"/>
        <color rgb="FF000000"/>
        <rFont val="微軟正黑體"/>
        <family val="0"/>
        <charset val="1"/>
      </rPr>
      <t xml:space="preserve">D07 </t>
    </r>
    <r>
      <rPr>
        <sz val="9"/>
        <color rgb="FF000000"/>
        <rFont val="Noto Sans CJK SC"/>
        <family val="2"/>
      </rPr>
      <t xml:space="preserve">品質與病安</t>
    </r>
  </si>
  <si>
    <r>
      <rPr>
        <sz val="9"/>
        <color rgb="FF000000"/>
        <rFont val="Noto Sans CJK SC"/>
        <family val="2"/>
      </rPr>
      <t xml:space="preserve">品質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病安</t>
    </r>
  </si>
  <si>
    <r>
      <rPr>
        <sz val="9"/>
        <color rgb="FF000000"/>
        <rFont val="Noto Sans CJK SC"/>
        <family val="2"/>
      </rPr>
      <t xml:space="preserve">品質管理與</t>
    </r>
    <r>
      <rPr>
        <sz val="9"/>
        <color rgb="FF000000"/>
        <rFont val="微軟正黑體"/>
        <family val="0"/>
        <charset val="1"/>
      </rPr>
      <t xml:space="preserve">JCI</t>
    </r>
    <r>
      <rPr>
        <sz val="9"/>
        <color rgb="FF000000"/>
        <rFont val="Noto Sans CJK SC"/>
        <family val="2"/>
      </rPr>
      <t xml:space="preserve">路線圖</t>
    </r>
  </si>
  <si>
    <t xml:space="preserve">Quality system and JCI roadmap</t>
  </si>
  <si>
    <t xml:space="preserve">建立從開院前到認證的品質治理與稽核節奏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</si>
  <si>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JCI/Quality Advisor</t>
    </r>
  </si>
  <si>
    <t xml:space="preserve">Quality plan and accreditation gap register</t>
  </si>
  <si>
    <r>
      <rPr>
        <sz val="9"/>
        <rFont val="Noto Sans CJK SC"/>
        <family val="2"/>
      </rPr>
      <t xml:space="preserve">三層品質架構（</t>
    </r>
    <r>
      <rPr>
        <sz val="9"/>
        <rFont val="Microsoft JhengHei"/>
        <family val="0"/>
        <charset val="1"/>
      </rPr>
      <t xml:space="preserve">35/2024</t>
    </r>
    <r>
      <rPr>
        <sz val="9"/>
        <rFont val="Noto Sans CJK SC"/>
        <family val="2"/>
      </rPr>
      <t xml:space="preserve">底線＋</t>
    </r>
    <r>
      <rPr>
        <sz val="9"/>
        <rFont val="Microsoft JhengHei"/>
        <family val="0"/>
        <charset val="1"/>
      </rPr>
      <t xml:space="preserve">83</t>
    </r>
    <r>
      <rPr>
        <sz val="9"/>
        <rFont val="Noto Sans CJK SC"/>
        <family val="2"/>
      </rPr>
      <t xml:space="preserve">條評分＋</t>
    </r>
    <r>
      <rPr>
        <sz val="9"/>
        <rFont val="Microsoft JhengHei"/>
        <family val="0"/>
        <charset val="1"/>
      </rPr>
      <t xml:space="preserve">JCI</t>
    </r>
    <r>
      <rPr>
        <sz val="9"/>
        <rFont val="Noto Sans CJK SC"/>
        <family val="2"/>
      </rPr>
      <t xml:space="preserve">被承認）；</t>
    </r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15-20</t>
    </r>
    <r>
      <rPr>
        <sz val="9"/>
        <rFont val="Noto Sans CJK SC"/>
        <family val="2"/>
      </rPr>
      <t xml:space="preserve">家目標。</t>
    </r>
  </si>
  <si>
    <r>
      <rPr>
        <sz val="9"/>
        <rFont val="Noto Sans CJK SC"/>
        <family val="2"/>
      </rPr>
      <t xml:space="preserve">三層品質架構成形：</t>
    </r>
    <r>
      <rPr>
        <sz val="9"/>
        <rFont val="Microsoft JhengHei"/>
        <family val="0"/>
        <charset val="1"/>
      </rPr>
      <t xml:space="preserve">35/2024/TT-BYT</t>
    </r>
    <r>
      <rPr>
        <sz val="9"/>
        <rFont val="Noto Sans CJK SC"/>
        <family val="2"/>
      </rPr>
      <t xml:space="preserve">基本標準（強制底線）＋</t>
    </r>
    <r>
      <rPr>
        <sz val="9"/>
        <rFont val="Microsoft JhengHei"/>
        <family val="0"/>
        <charset val="1"/>
      </rPr>
      <t xml:space="preserve">83</t>
    </r>
    <r>
      <rPr>
        <sz val="9"/>
        <rFont val="Noto Sans CJK SC"/>
        <family val="2"/>
      </rPr>
      <t xml:space="preserve">條年度評分＋</t>
    </r>
    <r>
      <rPr>
        <sz val="9"/>
        <rFont val="Microsoft JhengHei"/>
        <family val="0"/>
        <charset val="1"/>
      </rPr>
      <t xml:space="preserve">4024/QĐ-BYT</t>
    </r>
    <r>
      <rPr>
        <sz val="9"/>
        <rFont val="Noto Sans CJK SC"/>
        <family val="2"/>
      </rPr>
      <t xml:space="preserve">承認</t>
    </r>
    <r>
      <rPr>
        <sz val="9"/>
        <rFont val="Microsoft JhengHei"/>
        <family val="0"/>
        <charset val="1"/>
      </rPr>
      <t xml:space="preserve">JCI</t>
    </r>
    <r>
      <rPr>
        <sz val="9"/>
        <rFont val="Noto Sans CJK SC"/>
        <family val="2"/>
      </rPr>
      <t xml:space="preserve">（高階）。公立標竿出現（血液醫院</t>
    </r>
    <r>
      <rPr>
        <sz val="9"/>
        <rFont val="Microsoft JhengHei"/>
        <family val="0"/>
        <charset val="1"/>
      </rPr>
      <t xml:space="preserve">JCI 9.89/10</t>
    </r>
    <r>
      <rPr>
        <sz val="9"/>
        <rFont val="Noto Sans CJK SC"/>
        <family val="2"/>
      </rPr>
      <t xml:space="preserve">）。閉環給藥、通報文化無全國統計。</t>
    </r>
  </si>
  <si>
    <t xml:space="preserve">CAP-041</t>
  </si>
  <si>
    <t xml:space="preserve">感染預防與控制制度</t>
  </si>
  <si>
    <t xml:space="preserve">Infection prevention and control system</t>
  </si>
  <si>
    <t xml:space="preserve">整合建築、臨床、清潔、抗菌與監測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</si>
  <si>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Operator + Reference Hospital</t>
    </r>
  </si>
  <si>
    <t xml:space="preserve">WHO-IPC; JCI-HOSP</t>
  </si>
  <si>
    <t xml:space="preserve">IPC manual, surveillance and audit plan</t>
  </si>
  <si>
    <t xml:space="preserve">CAP-042</t>
  </si>
  <si>
    <t xml:space="preserve">用藥安全閉環</t>
  </si>
  <si>
    <t xml:space="preserve">Closed-loop medication safety</t>
  </si>
  <si>
    <t xml:space="preserve">連結藥品、處方、調劑、給藥與不良事件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</si>
  <si>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Operator + Health IT</t>
    </r>
  </si>
  <si>
    <t xml:space="preserve">Medication safety controls and audit evidence</t>
  </si>
  <si>
    <r>
      <rPr>
        <sz val="9"/>
        <rFont val="Noto Sans CJK SC"/>
        <family val="2"/>
      </rPr>
      <t xml:space="preserve">全國閉環用藥統計未查得；</t>
    </r>
    <r>
      <rPr>
        <sz val="9"/>
        <rFont val="Microsoft JhengHei"/>
        <family val="0"/>
        <charset val="1"/>
      </rPr>
      <t xml:space="preserve">EMR</t>
    </r>
    <r>
      <rPr>
        <sz val="9"/>
        <rFont val="Noto Sans CJK SC"/>
        <family val="2"/>
      </rPr>
      <t xml:space="preserve">＋電子處方全面化後是自然下一步。</t>
    </r>
  </si>
  <si>
    <t xml:space="preserve">CAP-043</t>
  </si>
  <si>
    <t xml:space="preserve">事件通報與根因改善</t>
  </si>
  <si>
    <t xml:space="preserve">Incident reporting and learning</t>
  </si>
  <si>
    <t xml:space="preserve">建立非懲罰通報、根因分析與改善追蹤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</si>
  <si>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Operator</t>
    </r>
  </si>
  <si>
    <t xml:space="preserve">Incident system and governance cadence</t>
  </si>
  <si>
    <r>
      <rPr>
        <sz val="9"/>
        <rFont val="Microsoft JhengHei"/>
        <family val="0"/>
        <charset val="1"/>
      </rPr>
      <t xml:space="preserve">43/2018/TT-BYT</t>
    </r>
    <r>
      <rPr>
        <sz val="9"/>
        <rFont val="Noto Sans CJK SC"/>
        <family val="2"/>
      </rPr>
      <t xml:space="preserve">自願通報制；通報量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文化統計未查得。</t>
    </r>
  </si>
  <si>
    <t xml:space="preserve">CAP-044</t>
  </si>
  <si>
    <t xml:space="preserve">開院臨床安全驗證</t>
  </si>
  <si>
    <t xml:space="preserve">Clinical safety assurance for go-live</t>
  </si>
  <si>
    <t xml:space="preserve">在正式收治前完成情境模擬與風險關閉</t>
  </si>
  <si>
    <r>
      <rPr>
        <sz val="9"/>
        <color rgb="FF000000"/>
        <rFont val="微軟正黑體"/>
        <family val="0"/>
        <charset val="1"/>
      </rPr>
      <t xml:space="preserve">P-015 </t>
    </r>
    <r>
      <rPr>
        <sz val="9"/>
        <color rgb="FF000000"/>
        <rFont val="Noto Sans CJK SC"/>
        <family val="2"/>
      </rPr>
      <t xml:space="preserve">獨立臨床與成本驗證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</si>
  <si>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Operator + PI Office</t>
    </r>
  </si>
  <si>
    <t xml:space="preserve">JCI-HOSP; ISO-14971</t>
  </si>
  <si>
    <t xml:space="preserve">CAP-029; CAP-030; CAP-034</t>
  </si>
  <si>
    <t xml:space="preserve">Signed clinical readiness certificate</t>
  </si>
  <si>
    <r>
      <rPr>
        <sz val="9"/>
        <rFont val="Microsoft JhengHei"/>
        <family val="0"/>
        <charset val="1"/>
      </rPr>
      <t xml:space="preserve">35/2024/TT-BYT</t>
    </r>
    <r>
      <rPr>
        <sz val="9"/>
        <rFont val="Noto Sans CJK SC"/>
        <family val="2"/>
      </rPr>
      <t xml:space="preserve">五項基本標準（</t>
    </r>
    <r>
      <rPr>
        <sz val="9"/>
        <rFont val="Microsoft JhengHei"/>
        <family val="0"/>
        <charset val="1"/>
      </rPr>
      <t xml:space="preserve">2025-01</t>
    </r>
    <r>
      <rPr>
        <sz val="9"/>
        <rFont val="Noto Sans CJK SC"/>
        <family val="2"/>
      </rPr>
      <t xml:space="preserve">生效）＝法定錨點；國際式</t>
    </r>
    <r>
      <rPr>
        <sz val="9"/>
        <rFont val="Microsoft JhengHei"/>
        <family val="0"/>
        <charset val="1"/>
      </rPr>
      <t xml:space="preserve">clinical commissioning</t>
    </r>
    <r>
      <rPr>
        <sz val="9"/>
        <rFont val="Noto Sans CJK SC"/>
        <family val="2"/>
      </rPr>
      <t xml:space="preserve">本土供給未查得＝空白。</t>
    </r>
  </si>
  <si>
    <t xml:space="preserve">CAP-045</t>
  </si>
  <si>
    <r>
      <rPr>
        <sz val="9"/>
        <color rgb="FF000000"/>
        <rFont val="微軟正黑體"/>
        <family val="0"/>
        <charset val="1"/>
      </rPr>
      <t xml:space="preserve">D08 </t>
    </r>
    <r>
      <rPr>
        <sz val="9"/>
        <color rgb="FF000000"/>
        <rFont val="Noto Sans CJK SC"/>
        <family val="2"/>
      </rPr>
      <t xml:space="preserve">人才與技轉</t>
    </r>
  </si>
  <si>
    <r>
      <rPr>
        <sz val="9"/>
        <color rgb="FF000000"/>
        <rFont val="Noto Sans CJK SC"/>
        <family val="2"/>
      </rPr>
      <t xml:space="preserve">人才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教育</t>
    </r>
  </si>
  <si>
    <t xml:space="preserve">人力與輪班模型</t>
  </si>
  <si>
    <t xml:space="preserve">Workforce and roster model</t>
  </si>
  <si>
    <t xml:space="preserve">依病床、病例量、科別與法規配置人力</t>
  </si>
  <si>
    <t xml:space="preserve">HR/Clinical Workforce Lead</t>
  </si>
  <si>
    <r>
      <rPr>
        <sz val="9"/>
        <color rgb="FF000000"/>
        <rFont val="微軟正黑體"/>
        <family val="0"/>
        <charset val="1"/>
      </rPr>
      <t xml:space="preserve">P-024 </t>
    </r>
    <r>
      <rPr>
        <sz val="9"/>
        <color rgb="FF000000"/>
        <rFont val="Noto Sans CJK SC"/>
        <family val="2"/>
      </rPr>
      <t xml:space="preserve">越南醫護大學／人力機構</t>
    </r>
  </si>
  <si>
    <r>
      <rPr>
        <sz val="9"/>
        <color rgb="FF000000"/>
        <rFont val="Noto Sans CJK SC"/>
        <family val="2"/>
      </rPr>
      <t xml:space="preserve">缺：越南醫護大學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人力合作機構</t>
    </r>
  </si>
  <si>
    <t xml:space="preserve">Workforce establishment and roster model</t>
  </si>
  <si>
    <r>
      <rPr>
        <sz val="9"/>
        <rFont val="Noto Sans CJK SC"/>
        <family val="2"/>
      </rPr>
      <t xml:space="preserve">醫師</t>
    </r>
    <r>
      <rPr>
        <sz val="9"/>
        <rFont val="Microsoft JhengHei"/>
        <family val="0"/>
        <charset val="1"/>
      </rPr>
      <t xml:space="preserve">12.5/</t>
    </r>
    <r>
      <rPr>
        <sz val="9"/>
        <rFont val="Noto Sans CJK SC"/>
        <family val="2"/>
      </rPr>
      <t xml:space="preserve">萬、護理</t>
    </r>
    <r>
      <rPr>
        <sz val="9"/>
        <rFont val="Microsoft JhengHei"/>
        <family val="0"/>
        <charset val="1"/>
      </rPr>
      <t xml:space="preserve">11.4/</t>
    </r>
    <r>
      <rPr>
        <sz val="9"/>
        <rFont val="Noto Sans CJK SC"/>
        <family val="2"/>
      </rPr>
      <t xml:space="preserve">萬 </t>
    </r>
    <r>
      <rPr>
        <sz val="9"/>
        <rFont val="Microsoft JhengHei"/>
        <family val="0"/>
        <charset val="1"/>
      </rPr>
      <t xml:space="preserve">vs </t>
    </r>
    <r>
      <rPr>
        <sz val="9"/>
        <rFont val="Noto Sans CJK SC"/>
        <family val="2"/>
      </rPr>
      <t xml:space="preserve">目標</t>
    </r>
    <r>
      <rPr>
        <sz val="9"/>
        <rFont val="Microsoft JhengHei"/>
        <family val="0"/>
        <charset val="1"/>
      </rPr>
      <t xml:space="preserve">15/19</t>
    </r>
    <r>
      <rPr>
        <sz val="9"/>
        <rFont val="Noto Sans CJK SC"/>
        <family val="2"/>
      </rPr>
      <t xml:space="preserve">；瓶頸在護理端（</t>
    </r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缺</t>
    </r>
    <r>
      <rPr>
        <sz val="9"/>
        <rFont val="Microsoft JhengHei"/>
        <family val="0"/>
        <charset val="1"/>
      </rPr>
      <t xml:space="preserve">5</t>
    </r>
    <r>
      <rPr>
        <sz val="9"/>
        <rFont val="Noto Sans CJK SC"/>
        <family val="2"/>
      </rPr>
      <t xml:space="preserve">萬）。</t>
    </r>
  </si>
  <si>
    <r>
      <rPr>
        <sz val="9"/>
        <rFont val="Noto Sans CJK SC"/>
        <family val="2"/>
      </rPr>
      <t xml:space="preserve">醫師</t>
    </r>
    <r>
      <rPr>
        <sz val="9"/>
        <rFont val="Microsoft JhengHei"/>
        <family val="0"/>
        <charset val="1"/>
      </rPr>
      <t xml:space="preserve">12.5/</t>
    </r>
    <r>
      <rPr>
        <sz val="9"/>
        <rFont val="Noto Sans CJK SC"/>
        <family val="2"/>
      </rPr>
      <t xml:space="preserve">萬人、護理</t>
    </r>
    <r>
      <rPr>
        <sz val="9"/>
        <rFont val="Microsoft JhengHei"/>
        <family val="0"/>
        <charset val="1"/>
      </rPr>
      <t xml:space="preserve">11.4/</t>
    </r>
    <r>
      <rPr>
        <sz val="9"/>
        <rFont val="Noto Sans CJK SC"/>
        <family val="2"/>
      </rPr>
      <t xml:space="preserve">萬人（目標</t>
    </r>
    <r>
      <rPr>
        <sz val="9"/>
        <rFont val="Microsoft JhengHei"/>
        <family val="0"/>
        <charset val="1"/>
      </rPr>
      <t xml:space="preserve">2025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15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19</t>
    </r>
    <r>
      <rPr>
        <sz val="9"/>
        <rFont val="Noto Sans CJK SC"/>
        <family val="2"/>
      </rPr>
      <t xml:space="preserve">醫師）；</t>
    </r>
    <r>
      <rPr>
        <sz val="9"/>
        <rFont val="Microsoft JhengHei"/>
        <family val="0"/>
        <charset val="1"/>
      </rPr>
      <t xml:space="preserve">2027-01-01</t>
    </r>
    <r>
      <rPr>
        <sz val="9"/>
        <rFont val="Noto Sans CJK SC"/>
        <family val="2"/>
      </rPr>
      <t xml:space="preserve">起醫師國考、</t>
    </r>
    <r>
      <rPr>
        <sz val="9"/>
        <rFont val="Microsoft JhengHei"/>
        <family val="0"/>
        <charset val="1"/>
      </rPr>
      <t xml:space="preserve">5</t>
    </r>
    <r>
      <rPr>
        <sz val="9"/>
        <rFont val="Noto Sans CJK SC"/>
        <family val="2"/>
      </rPr>
      <t xml:space="preserve">年換照＋</t>
    </r>
    <r>
      <rPr>
        <sz val="9"/>
        <rFont val="Microsoft JhengHei"/>
        <family val="0"/>
        <charset val="1"/>
      </rPr>
      <t xml:space="preserve">CME</t>
    </r>
    <r>
      <rPr>
        <sz val="9"/>
        <rFont val="Noto Sans CJK SC"/>
        <family val="2"/>
      </rPr>
      <t xml:space="preserve">；</t>
    </r>
    <r>
      <rPr>
        <sz val="9"/>
        <rFont val="Microsoft JhengHei"/>
        <family val="0"/>
        <charset val="1"/>
      </rPr>
      <t xml:space="preserve">VinUni</t>
    </r>
    <r>
      <rPr>
        <sz val="9"/>
        <rFont val="Noto Sans CJK SC"/>
        <family val="2"/>
      </rPr>
      <t xml:space="preserve">模擬中心已對外承接公立醫院培訓；醫管碩士供給小（</t>
    </r>
    <r>
      <rPr>
        <sz val="9"/>
        <rFont val="Microsoft JhengHei"/>
        <family val="0"/>
        <charset val="1"/>
      </rPr>
      <t xml:space="preserve">HUPH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VinUni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CTUMP</t>
    </r>
    <r>
      <rPr>
        <sz val="9"/>
        <rFont val="Noto Sans CJK SC"/>
        <family val="2"/>
      </rPr>
      <t xml:space="preserve">）。</t>
    </r>
  </si>
  <si>
    <t xml:space="preserve">CAP-046</t>
  </si>
  <si>
    <t xml:space="preserve">職能矩陣與授權</t>
  </si>
  <si>
    <t xml:space="preserve">Competency matrix and privileging</t>
  </si>
  <si>
    <t xml:space="preserve">定義各角色能力、訓練、考核與臨床授權</t>
  </si>
  <si>
    <t xml:space="preserve">Competency framework and privileging process</t>
  </si>
  <si>
    <r>
      <rPr>
        <sz val="9"/>
        <rFont val="Noto Sans CJK SC"/>
        <family val="2"/>
      </rPr>
      <t xml:space="preserve">新法以「執業範圍」取代舊職稱制＋</t>
    </r>
    <r>
      <rPr>
        <sz val="9"/>
        <rFont val="Microsoft JhengHei"/>
        <family val="0"/>
        <charset val="1"/>
      </rPr>
      <t xml:space="preserve">35/2024</t>
    </r>
    <r>
      <rPr>
        <sz val="9"/>
        <rFont val="Noto Sans CJK SC"/>
        <family val="2"/>
      </rPr>
      <t xml:space="preserve">要求核定範圍內執業——</t>
    </r>
    <r>
      <rPr>
        <sz val="9"/>
        <rFont val="Microsoft JhengHei"/>
        <family val="0"/>
        <charset val="1"/>
      </rPr>
      <t xml:space="preserve">privileging</t>
    </r>
    <r>
      <rPr>
        <sz val="9"/>
        <rFont val="Noto Sans CJK SC"/>
        <family val="2"/>
      </rPr>
      <t xml:space="preserve">首次成合規要求。</t>
    </r>
  </si>
  <si>
    <t xml:space="preserve">CAP-047</t>
  </si>
  <si>
    <t xml:space="preserve">種子教師與技術移轉</t>
  </si>
  <si>
    <t xml:space="preserve">Training-of-trainers and transfer</t>
  </si>
  <si>
    <t xml:space="preserve">確保越南團隊可獨立訓練、維護與改進</t>
  </si>
  <si>
    <t xml:space="preserve">Transfer Lead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</si>
  <si>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Taiwan Reference Hospital + Vendors</t>
    </r>
  </si>
  <si>
    <t xml:space="preserve">ToT plan and transfer acceptance criteria</t>
  </si>
  <si>
    <t xml:space="preserve">CAP-048</t>
  </si>
  <si>
    <t xml:space="preserve">模擬中心與開院演練</t>
  </si>
  <si>
    <t xml:space="preserve">Simulation centre and activation drills</t>
  </si>
  <si>
    <t xml:space="preserve">以跨科情境測試流程、人員、設備與系統</t>
  </si>
  <si>
    <t xml:space="preserve">Simulation Lead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</si>
  <si>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Reference Hospital + Operator</t>
    </r>
  </si>
  <si>
    <t xml:space="preserve">Simulation curriculum and activation report</t>
  </si>
  <si>
    <r>
      <rPr>
        <sz val="9"/>
        <rFont val="Microsoft JhengHei"/>
        <family val="0"/>
        <charset val="1"/>
      </rPr>
      <t xml:space="preserve">VinUni</t>
    </r>
    <r>
      <rPr>
        <sz val="9"/>
        <rFont val="Noto Sans CJK SC"/>
        <family val="2"/>
      </rPr>
      <t xml:space="preserve">模擬中心對外營運＝商模驗證；</t>
    </r>
    <r>
      <rPr>
        <sz val="9"/>
        <rFont val="Microsoft JhengHei"/>
        <family val="0"/>
        <charset val="1"/>
      </rPr>
      <t xml:space="preserve">2027</t>
    </r>
    <r>
      <rPr>
        <sz val="9"/>
        <rFont val="Noto Sans CJK SC"/>
        <family val="2"/>
      </rPr>
      <t xml:space="preserve">國考→考評型模擬（高擬真＋</t>
    </r>
    <r>
      <rPr>
        <sz val="9"/>
        <rFont val="Microsoft JhengHei"/>
        <family val="0"/>
        <charset val="1"/>
      </rPr>
      <t xml:space="preserve">OSCE</t>
    </r>
    <r>
      <rPr>
        <sz val="9"/>
        <rFont val="Noto Sans CJK SC"/>
        <family val="2"/>
      </rPr>
      <t xml:space="preserve">）新賽道。</t>
    </r>
  </si>
  <si>
    <t xml:space="preserve">CAP-049</t>
  </si>
  <si>
    <t xml:space="preserve">變革管理與使用者採納</t>
  </si>
  <si>
    <t xml:space="preserve">Change management and adoption</t>
  </si>
  <si>
    <t xml:space="preserve">管理新流程、系統、角色與文化轉換</t>
  </si>
  <si>
    <t xml:space="preserve">Change Lead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</si>
  <si>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PI Office + Operator</t>
    </r>
  </si>
  <si>
    <t xml:space="preserve">NHS-GDE; WHO-DIIG</t>
  </si>
  <si>
    <t xml:space="preserve">CAP-033; CAP-043</t>
  </si>
  <si>
    <t xml:space="preserve">Adoption plan, champions and usage dashboard</t>
  </si>
  <si>
    <t xml:space="preserve">CAP-050</t>
  </si>
  <si>
    <r>
      <rPr>
        <sz val="9"/>
        <color rgb="FF000000"/>
        <rFont val="微軟正黑體"/>
        <family val="0"/>
        <charset val="1"/>
      </rPr>
      <t xml:space="preserve">D09 </t>
    </r>
    <r>
      <rPr>
        <sz val="9"/>
        <color rgb="FF000000"/>
        <rFont val="Noto Sans CJK SC"/>
        <family val="2"/>
      </rPr>
      <t xml:space="preserve">供應鏈與維運</t>
    </r>
  </si>
  <si>
    <r>
      <rPr>
        <sz val="9"/>
        <color rgb="FF000000"/>
        <rFont val="Noto Sans CJK SC"/>
        <family val="2"/>
      </rPr>
      <t xml:space="preserve">物流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維運</t>
    </r>
  </si>
  <si>
    <t xml:space="preserve">整合採購與供應商治理</t>
  </si>
  <si>
    <t xml:space="preserve">Integrated procurement and vendor governance</t>
  </si>
  <si>
    <t xml:space="preserve">以總生命週期、介面與績效而非最低單價採購</t>
  </si>
  <si>
    <t xml:space="preserve">Procurement Lead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</si>
  <si>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PI Office + Government</t>
    </r>
  </si>
  <si>
    <t xml:space="preserve">CAP-003; CAP-026</t>
  </si>
  <si>
    <t xml:space="preserve">Procurement strategy and vendor scorecard</t>
  </si>
  <si>
    <r>
      <rPr>
        <sz val="9"/>
        <rFont val="Noto Sans CJK SC"/>
        <family val="2"/>
      </rPr>
      <t xml:space="preserve">藥品集採</t>
    </r>
    <r>
      <rPr>
        <sz val="9"/>
        <rFont val="Microsoft JhengHei"/>
        <family val="0"/>
        <charset val="1"/>
      </rPr>
      <t xml:space="preserve">Circular 04/2024</t>
    </r>
    <r>
      <rPr>
        <sz val="9"/>
        <rFont val="Noto Sans CJK SC"/>
        <family val="2"/>
      </rPr>
      <t xml:space="preserve">已行；醫材集採目錄草案</t>
    </r>
    <r>
      <rPr>
        <sz val="9"/>
        <rFont val="Microsoft JhengHei"/>
        <family val="0"/>
        <charset val="1"/>
      </rPr>
      <t xml:space="preserve">20</t>
    </r>
    <r>
      <rPr>
        <sz val="9"/>
        <rFont val="Noto Sans CJK SC"/>
        <family val="2"/>
      </rPr>
      <t xml:space="preserve">項</t>
    </r>
    <r>
      <rPr>
        <sz val="9"/>
        <rFont val="Microsoft JhengHei"/>
        <family val="0"/>
        <charset val="1"/>
      </rPr>
      <t xml:space="preserve">/6</t>
    </r>
    <r>
      <rPr>
        <sz val="9"/>
        <rFont val="Noto Sans CJK SC"/>
        <family val="2"/>
      </rPr>
      <t xml:space="preserve">類；框架協議能力成核心。</t>
    </r>
  </si>
  <si>
    <r>
      <rPr>
        <sz val="9"/>
        <rFont val="Microsoft JhengHei"/>
        <family val="0"/>
        <charset val="1"/>
      </rPr>
      <t xml:space="preserve">Resolution 30→Bidding Law 2023</t>
    </r>
    <r>
      <rPr>
        <sz val="9"/>
        <rFont val="Noto Sans CJK SC"/>
        <family val="2"/>
      </rPr>
      <t xml:space="preserve">（衛生專章）→</t>
    </r>
    <r>
      <rPr>
        <sz val="9"/>
        <rFont val="Microsoft JhengHei"/>
        <family val="0"/>
        <charset val="1"/>
      </rPr>
      <t xml:space="preserve">Luật 90/2025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2025-07-01</t>
    </r>
    <r>
      <rPr>
        <sz val="9"/>
        <rFont val="Noto Sans CJK SC"/>
        <family val="2"/>
      </rPr>
      <t xml:space="preserve">起選商方式</t>
    </r>
    <r>
      <rPr>
        <sz val="9"/>
        <rFont val="Microsoft JhengHei"/>
        <family val="0"/>
        <charset val="1"/>
      </rPr>
      <t xml:space="preserve">6</t>
    </r>
    <r>
      <rPr>
        <sz val="9"/>
        <rFont val="Noto Sans CJK SC"/>
        <family val="2"/>
      </rPr>
      <t xml:space="preserve">種增為</t>
    </r>
    <r>
      <rPr>
        <sz val="9"/>
        <rFont val="Microsoft JhengHei"/>
        <family val="0"/>
        <charset val="1"/>
      </rPr>
      <t xml:space="preserve">10</t>
    </r>
    <r>
      <rPr>
        <sz val="9"/>
        <rFont val="Noto Sans CJK SC"/>
        <family val="2"/>
      </rPr>
      <t xml:space="preserve">種）→藥品集採</t>
    </r>
    <r>
      <rPr>
        <sz val="9"/>
        <rFont val="Microsoft JhengHei"/>
        <family val="0"/>
        <charset val="1"/>
      </rPr>
      <t xml:space="preserve">Circular 04/2024→</t>
    </r>
    <r>
      <rPr>
        <sz val="9"/>
        <rFont val="Noto Sans CJK SC"/>
        <family val="2"/>
      </rPr>
      <t xml:space="preserve">醫材集採目錄草案（</t>
    </r>
    <r>
      <rPr>
        <sz val="9"/>
        <rFont val="Microsoft JhengHei"/>
        <family val="0"/>
        <charset val="1"/>
      </rPr>
      <t xml:space="preserve">2025-07</t>
    </r>
    <r>
      <rPr>
        <sz val="9"/>
        <rFont val="Noto Sans CJK SC"/>
        <family val="2"/>
      </rPr>
      <t xml:space="preserve">，首波</t>
    </r>
    <r>
      <rPr>
        <sz val="9"/>
        <rFont val="Microsoft JhengHei"/>
        <family val="0"/>
        <charset val="1"/>
      </rPr>
      <t xml:space="preserve">20</t>
    </r>
    <r>
      <rPr>
        <sz val="9"/>
        <rFont val="Noto Sans CJK SC"/>
        <family val="2"/>
      </rPr>
      <t xml:space="preserve">項</t>
    </r>
    <r>
      <rPr>
        <sz val="9"/>
        <rFont val="Microsoft JhengHei"/>
        <family val="0"/>
        <charset val="1"/>
      </rPr>
      <t xml:space="preserve">/6</t>
    </r>
    <r>
      <rPr>
        <sz val="9"/>
        <rFont val="Noto Sans CJK SC"/>
        <family val="2"/>
      </rPr>
      <t xml:space="preserve">類）。冷鏈</t>
    </r>
    <r>
      <rPr>
        <sz val="9"/>
        <rFont val="Microsoft JhengHei"/>
        <family val="0"/>
        <charset val="1"/>
      </rPr>
      <t xml:space="preserve">1.63</t>
    </r>
    <r>
      <rPr>
        <sz val="9"/>
        <rFont val="Noto Sans CJK SC"/>
        <family val="2"/>
      </rPr>
      <t xml:space="preserve">億美元</t>
    </r>
    <r>
      <rPr>
        <sz val="9"/>
        <rFont val="Microsoft JhengHei"/>
        <family val="0"/>
        <charset val="1"/>
      </rPr>
      <t xml:space="preserve">/14.1% CAGR</t>
    </r>
    <r>
      <rPr>
        <sz val="9"/>
        <rFont val="Noto Sans CJK SC"/>
        <family val="2"/>
      </rPr>
      <t xml:space="preserve">；</t>
    </r>
    <r>
      <rPr>
        <sz val="9"/>
        <rFont val="Microsoft JhengHei"/>
        <family val="0"/>
        <charset val="1"/>
      </rPr>
      <t xml:space="preserve">SPD/CMMS</t>
    </r>
    <r>
      <rPr>
        <sz val="9"/>
        <rFont val="Noto Sans CJK SC"/>
        <family val="2"/>
      </rPr>
      <t xml:space="preserve">無公開統計。</t>
    </r>
  </si>
  <si>
    <t xml:space="preserve">CAP-051</t>
  </si>
  <si>
    <r>
      <rPr>
        <sz val="9"/>
        <color rgb="FF000000"/>
        <rFont val="Noto Sans CJK SC"/>
        <family val="2"/>
      </rPr>
      <t xml:space="preserve">藥品耗材與</t>
    </r>
    <r>
      <rPr>
        <sz val="9"/>
        <color rgb="FF000000"/>
        <rFont val="微軟正黑體"/>
        <family val="0"/>
        <charset val="1"/>
      </rPr>
      <t xml:space="preserve">SPD</t>
    </r>
    <r>
      <rPr>
        <sz val="9"/>
        <color rgb="FF000000"/>
        <rFont val="Noto Sans CJK SC"/>
        <family val="2"/>
      </rPr>
      <t xml:space="preserve">物流</t>
    </r>
  </si>
  <si>
    <t xml:space="preserve">Pharmacy, consumables and SPD logistics</t>
  </si>
  <si>
    <t xml:space="preserve">建立需求、採購、倉儲、配送、批號與效期控制</t>
  </si>
  <si>
    <r>
      <rPr>
        <sz val="9"/>
        <color rgb="FF000000"/>
        <rFont val="微軟正黑體"/>
        <family val="0"/>
        <charset val="1"/>
      </rPr>
      <t xml:space="preserve">P-014 </t>
    </r>
    <r>
      <rPr>
        <sz val="9"/>
        <color rgb="FF000000"/>
        <rFont val="Noto Sans CJK SC"/>
        <family val="2"/>
      </rPr>
      <t xml:space="preserve">物流／</t>
    </r>
    <r>
      <rPr>
        <sz val="9"/>
        <color rgb="FF000000"/>
        <rFont val="微軟正黑體"/>
        <family val="0"/>
        <charset val="1"/>
      </rPr>
      <t xml:space="preserve">SPD</t>
    </r>
    <r>
      <rPr>
        <sz val="9"/>
        <color rgb="FF000000"/>
        <rFont val="Noto Sans CJK SC"/>
        <family val="2"/>
      </rPr>
      <t xml:space="preserve">與冷鏈夥伴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</si>
  <si>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Local Logistics Partner</t>
    </r>
  </si>
  <si>
    <t xml:space="preserve">WHO-SUPPLY</t>
  </si>
  <si>
    <t xml:space="preserve">End-to-end supply chain design</t>
  </si>
  <si>
    <t xml:space="preserve">CAP-052</t>
  </si>
  <si>
    <t xml:space="preserve">冷鏈與特殊物料</t>
  </si>
  <si>
    <t xml:space="preserve">Cold chain and special materials</t>
  </si>
  <si>
    <t xml:space="preserve">確保藥品、檢體、血品與特殊耗材溫控追溯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</si>
  <si>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Local Cold-chain Partner</t>
    </r>
  </si>
  <si>
    <t xml:space="preserve">Validated cold-chain and alarm process</t>
  </si>
  <si>
    <r>
      <rPr>
        <sz val="9"/>
        <rFont val="Noto Sans CJK SC"/>
        <family val="2"/>
      </rPr>
      <t xml:space="preserve">冷鏈</t>
    </r>
    <r>
      <rPr>
        <sz val="9"/>
        <rFont val="Microsoft JhengHei"/>
        <family val="0"/>
        <charset val="1"/>
      </rPr>
      <t xml:space="preserve">1.63</t>
    </r>
    <r>
      <rPr>
        <sz val="9"/>
        <rFont val="Noto Sans CJK SC"/>
        <family val="2"/>
      </rPr>
      <t xml:space="preserve">億美元</t>
    </r>
    <r>
      <rPr>
        <sz val="9"/>
        <rFont val="Microsoft JhengHei"/>
        <family val="0"/>
        <charset val="1"/>
      </rPr>
      <t xml:space="preserve">/14.1% CAGR</t>
    </r>
    <r>
      <rPr>
        <sz val="9"/>
        <rFont val="Noto Sans CJK SC"/>
        <family val="2"/>
      </rPr>
      <t xml:space="preserve">。</t>
    </r>
  </si>
  <si>
    <t xml:space="preserve">CAP-053</t>
  </si>
  <si>
    <r>
      <rPr>
        <sz val="9"/>
        <color rgb="FF000000"/>
        <rFont val="微軟正黑體"/>
        <family val="0"/>
        <charset val="1"/>
      </rPr>
      <t xml:space="preserve">AIOT/</t>
    </r>
    <r>
      <rPr>
        <sz val="9"/>
        <color rgb="FF000000"/>
        <rFont val="Noto Sans CJK SC"/>
        <family val="2"/>
      </rPr>
      <t xml:space="preserve">維運</t>
    </r>
    <r>
      <rPr>
        <sz val="9"/>
        <color rgb="FF000000"/>
        <rFont val="微軟正黑體"/>
        <family val="0"/>
        <charset val="1"/>
      </rPr>
      <t xml:space="preserve">FM</t>
    </r>
  </si>
  <si>
    <r>
      <rPr>
        <sz val="9"/>
        <color rgb="FF000000"/>
        <rFont val="微軟正黑體"/>
        <family val="0"/>
        <charset val="1"/>
      </rPr>
      <t xml:space="preserve">CMMS</t>
    </r>
    <r>
      <rPr>
        <sz val="9"/>
        <color rgb="FF000000"/>
        <rFont val="Noto Sans CJK SC"/>
        <family val="2"/>
      </rPr>
      <t xml:space="preserve">與設施維運</t>
    </r>
  </si>
  <si>
    <t xml:space="preserve">CMMS and facilities operations</t>
  </si>
  <si>
    <r>
      <rPr>
        <sz val="9"/>
        <color rgb="FF000000"/>
        <rFont val="Noto Sans CJK SC"/>
        <family val="2"/>
      </rPr>
      <t xml:space="preserve">整合設備、工單、維保、能源、備品與</t>
    </r>
    <r>
      <rPr>
        <sz val="9"/>
        <color rgb="FF000000"/>
        <rFont val="微軟正黑體"/>
        <family val="0"/>
        <charset val="1"/>
      </rPr>
      <t xml:space="preserve">SLA</t>
    </r>
  </si>
  <si>
    <t xml:space="preserve">ISO-22301</t>
  </si>
  <si>
    <t xml:space="preserve">CAP-018; CAP-031</t>
  </si>
  <si>
    <t xml:space="preserve">CMMS/FM operating model and SLA dashboard</t>
  </si>
  <si>
    <r>
      <rPr>
        <sz val="9"/>
        <rFont val="Noto Sans CJK SC"/>
        <family val="2"/>
      </rPr>
      <t xml:space="preserve">醫院 </t>
    </r>
    <r>
      <rPr>
        <sz val="9"/>
        <rFont val="Microsoft JhengHei"/>
        <family val="0"/>
        <charset val="1"/>
      </rPr>
      <t xml:space="preserve">CMMS </t>
    </r>
    <r>
      <rPr>
        <sz val="9"/>
        <rFont val="Noto Sans CJK SC"/>
        <family val="2"/>
      </rPr>
      <t xml:space="preserve">滲透率未查得；但設備過載有實證（</t>
    </r>
    <r>
      <rPr>
        <sz val="9"/>
        <rFont val="Microsoft JhengHei"/>
        <family val="0"/>
        <charset val="1"/>
      </rPr>
      <t xml:space="preserve">LINAC 43% </t>
    </r>
    <r>
      <rPr>
        <sz val="9"/>
        <rFont val="Noto Sans CJK SC"/>
        <family val="2"/>
      </rPr>
      <t xml:space="preserve">老舊、透析機日轉 </t>
    </r>
    <r>
      <rPr>
        <sz val="9"/>
        <rFont val="Microsoft JhengHei"/>
        <family val="0"/>
        <charset val="1"/>
      </rPr>
      <t xml:space="preserve">20 </t>
    </r>
    <r>
      <rPr>
        <sz val="9"/>
        <rFont val="Noto Sans CJK SC"/>
        <family val="2"/>
      </rPr>
      <t xml:space="preserve">小時 </t>
    </r>
    <r>
      <rPr>
        <sz val="9"/>
        <rFont val="Microsoft JhengHei"/>
        <family val="0"/>
        <charset val="1"/>
      </rPr>
      <t xml:space="preserve">vs </t>
    </r>
    <r>
      <rPr>
        <sz val="9"/>
        <rFont val="Noto Sans CJK SC"/>
        <family val="2"/>
      </rPr>
      <t xml:space="preserve">標準 </t>
    </r>
    <r>
      <rPr>
        <sz val="9"/>
        <rFont val="Microsoft JhengHei"/>
        <family val="0"/>
        <charset val="1"/>
      </rPr>
      <t xml:space="preserve">8 </t>
    </r>
    <r>
      <rPr>
        <sz val="9"/>
        <rFont val="Noto Sans CJK SC"/>
        <family val="2"/>
      </rPr>
      <t xml:space="preserve">小時）。預測性維護已是越南外的主流（近 </t>
    </r>
    <r>
      <rPr>
        <sz val="9"/>
        <rFont val="Microsoft JhengHei"/>
        <family val="0"/>
        <charset val="1"/>
      </rPr>
      <t xml:space="preserve">50% </t>
    </r>
    <r>
      <rPr>
        <sz val="9"/>
        <rFont val="Noto Sans CJK SC"/>
        <family val="2"/>
      </rPr>
      <t xml:space="preserve">醫療設施管理者在用），可與 </t>
    </r>
    <r>
      <rPr>
        <sz val="9"/>
        <rFont val="Microsoft JhengHei"/>
        <family val="0"/>
        <charset val="1"/>
      </rPr>
      <t xml:space="preserve">BMS </t>
    </r>
    <r>
      <rPr>
        <sz val="9"/>
        <rFont val="Noto Sans CJK SC"/>
        <family val="2"/>
      </rPr>
      <t xml:space="preserve">同平台銷售。</t>
    </r>
  </si>
  <si>
    <t xml:space="preserve">CAP-054</t>
  </si>
  <si>
    <t xml:space="preserve">在地備品、維修與汰換</t>
  </si>
  <si>
    <t xml:space="preserve">Local spares, repair and replacement</t>
  </si>
  <si>
    <t xml:space="preserve">降低進口等待、停機與單一供應商風險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</si>
  <si>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Local Service Network</t>
    </r>
  </si>
  <si>
    <t xml:space="preserve">ISO-13485</t>
  </si>
  <si>
    <t xml:space="preserve">CAP-031; CAP-050</t>
  </si>
  <si>
    <t xml:space="preserve">Local service coverage and replacement fund</t>
  </si>
  <si>
    <t xml:space="preserve">CAP-055</t>
  </si>
  <si>
    <r>
      <rPr>
        <sz val="9"/>
        <color rgb="FF000000"/>
        <rFont val="微軟正黑體"/>
        <family val="0"/>
        <charset val="1"/>
      </rPr>
      <t xml:space="preserve">D10 </t>
    </r>
    <r>
      <rPr>
        <sz val="9"/>
        <color rgb="FF000000"/>
        <rFont val="Noto Sans CJK SC"/>
        <family val="2"/>
      </rPr>
      <t xml:space="preserve">商模與病人生態</t>
    </r>
  </si>
  <si>
    <r>
      <rPr>
        <sz val="9"/>
        <color rgb="FF000000"/>
        <rFont val="Noto Sans CJK SC"/>
        <family val="2"/>
      </rPr>
      <t xml:space="preserve">財務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法務</t>
    </r>
  </si>
  <si>
    <t xml:space="preserve">全生命週期成本模型</t>
  </si>
  <si>
    <t xml:space="preserve">Whole-life cost model</t>
  </si>
  <si>
    <t xml:space="preserve">整合建置、設備、軟體、人才、維護與更新成本</t>
  </si>
  <si>
    <t xml:space="preserve">Financial Model Lead</t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</si>
  <si>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PPP/Finance Advisor</t>
    </r>
  </si>
  <si>
    <t xml:space="preserve">CAP-003; CAP-013; CAP-026</t>
  </si>
  <si>
    <t xml:space="preserve">Auditable CAPEX/OPEX/TCO model</t>
  </si>
  <si>
    <r>
      <rPr>
        <sz val="9"/>
        <rFont val="Microsoft JhengHei"/>
        <family val="0"/>
        <charset val="1"/>
      </rPr>
      <t xml:space="preserve">DRG</t>
    </r>
    <r>
      <rPr>
        <sz val="9"/>
        <rFont val="Noto Sans CJK SC"/>
        <family val="2"/>
      </rPr>
      <t xml:space="preserve">準備期→單病種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全生命週期成本核算從加分項變生存項；絕大多數醫院不具備＝顧問空間。</t>
    </r>
  </si>
  <si>
    <r>
      <rPr>
        <sz val="9"/>
        <rFont val="Microsoft JhengHei"/>
        <family val="0"/>
        <charset val="1"/>
      </rPr>
      <t xml:space="preserve">BHYT 95.2%</t>
    </r>
    <r>
      <rPr>
        <sz val="9"/>
        <rFont val="Noto Sans CJK SC"/>
        <family val="2"/>
      </rPr>
      <t xml:space="preserve">覆蓋、</t>
    </r>
    <r>
      <rPr>
        <sz val="9"/>
        <rFont val="Microsoft JhengHei"/>
        <family val="0"/>
        <charset val="1"/>
      </rPr>
      <t xml:space="preserve">1.955</t>
    </r>
    <r>
      <rPr>
        <sz val="9"/>
        <rFont val="Noto Sans CJK SC"/>
        <family val="2"/>
      </rPr>
      <t xml:space="preserve">億人次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年；修正健保法</t>
    </r>
    <r>
      <rPr>
        <sz val="9"/>
        <rFont val="Microsoft JhengHei"/>
        <family val="0"/>
        <charset val="1"/>
      </rPr>
      <t xml:space="preserve">2025-07</t>
    </r>
    <r>
      <rPr>
        <sz val="9"/>
        <rFont val="Noto Sans CJK SC"/>
        <family val="2"/>
      </rPr>
      <t xml:space="preserve">生效；無現金</t>
    </r>
    <r>
      <rPr>
        <sz val="9"/>
        <rFont val="Microsoft JhengHei"/>
        <family val="0"/>
        <charset val="1"/>
      </rPr>
      <t xml:space="preserve">95%</t>
    </r>
    <r>
      <rPr>
        <sz val="9"/>
        <rFont val="Noto Sans CJK SC"/>
        <family val="2"/>
      </rPr>
      <t xml:space="preserve">機構受理；</t>
    </r>
    <r>
      <rPr>
        <sz val="9"/>
        <rFont val="Microsoft JhengHei"/>
        <family val="0"/>
        <charset val="1"/>
      </rPr>
      <t xml:space="preserve">DRG</t>
    </r>
    <r>
      <rPr>
        <sz val="9"/>
        <rFont val="Noto Sans CJK SC"/>
        <family val="2"/>
      </rPr>
      <t xml:space="preserve">技術準備期（理賠資料庫＋分組軟體、借鏡泰國）；私立</t>
    </r>
    <r>
      <rPr>
        <sz val="9"/>
        <rFont val="Microsoft JhengHei"/>
        <family val="0"/>
        <charset val="1"/>
      </rPr>
      <t xml:space="preserve">400+</t>
    </r>
    <r>
      <rPr>
        <sz val="9"/>
        <rFont val="Noto Sans CJK SC"/>
        <family val="2"/>
      </rPr>
      <t xml:space="preserve">家醫院、</t>
    </r>
    <r>
      <rPr>
        <sz val="9"/>
        <rFont val="Microsoft JhengHei"/>
        <family val="0"/>
        <charset val="1"/>
      </rPr>
      <t xml:space="preserve">1,100+</t>
    </r>
    <r>
      <rPr>
        <sz val="9"/>
        <rFont val="Noto Sans CJK SC"/>
        <family val="2"/>
      </rPr>
      <t xml:space="preserve">機構簽約健保；健康險市場</t>
    </r>
    <r>
      <rPr>
        <sz val="9"/>
        <rFont val="Microsoft JhengHei"/>
        <family val="0"/>
        <charset val="1"/>
      </rPr>
      <t xml:space="preserve">83</t>
    </r>
    <r>
      <rPr>
        <sz val="9"/>
        <rFont val="Noto Sans CJK SC"/>
        <family val="2"/>
      </rPr>
      <t xml:space="preserve">億美元。</t>
    </r>
  </si>
  <si>
    <t xml:space="preserve">CAP-056</t>
  </si>
  <si>
    <t xml:space="preserve">健保申報與數位理賠</t>
  </si>
  <si>
    <t xml:space="preserve">Insurance claims and digital reimbursement</t>
  </si>
  <si>
    <t xml:space="preserve">將臨床資料、編碼、價格與支付規則連結</t>
  </si>
  <si>
    <r>
      <rPr>
        <sz val="9"/>
        <color rgb="FF000000"/>
        <rFont val="微軟正黑體"/>
        <family val="0"/>
        <charset val="1"/>
      </rPr>
      <t xml:space="preserve">P-025 </t>
    </r>
    <r>
      <rPr>
        <sz val="9"/>
        <color rgb="FF000000"/>
        <rFont val="Noto Sans CJK SC"/>
        <family val="2"/>
      </rPr>
      <t xml:space="preserve">越南健保申報介接夥伴</t>
    </r>
  </si>
  <si>
    <r>
      <rPr>
        <sz val="9"/>
        <color rgb="FF000000"/>
        <rFont val="Noto Sans CJK SC"/>
        <family val="2"/>
      </rPr>
      <t xml:space="preserve">缺：越南健保</t>
    </r>
    <r>
      <rPr>
        <sz val="9"/>
        <color rgb="FF000000"/>
        <rFont val="微軟正黑體"/>
        <family val="0"/>
        <charset val="1"/>
      </rPr>
      <t xml:space="preserve">(VSS)</t>
    </r>
    <r>
      <rPr>
        <sz val="9"/>
        <color rgb="FF000000"/>
        <rFont val="Noto Sans CJK SC"/>
        <family val="2"/>
      </rPr>
      <t xml:space="preserve">申報介接經驗夥伴</t>
    </r>
  </si>
  <si>
    <t xml:space="preserve">VN-LAW-15; HL7-FHIR</t>
  </si>
  <si>
    <t xml:space="preserve">Claims workflow and denial dashboard</t>
  </si>
  <si>
    <r>
      <rPr>
        <sz val="9"/>
        <rFont val="Microsoft JhengHei"/>
        <family val="0"/>
        <charset val="1"/>
      </rPr>
      <t xml:space="preserve">BHYT 95.2%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DRG</t>
    </r>
    <r>
      <rPr>
        <sz val="9"/>
        <rFont val="Noto Sans CJK SC"/>
        <family val="2"/>
      </rPr>
      <t xml:space="preserve">技術準備中；醫院端介接品質決定拒付率（全國拒付率未查得）。</t>
    </r>
  </si>
  <si>
    <t xml:space="preserve">CAP-057</t>
  </si>
  <si>
    <t xml:space="preserve">現金流、支付與收入週期</t>
  </si>
  <si>
    <t xml:space="preserve">Cashless payment and revenue cycle</t>
  </si>
  <si>
    <t xml:space="preserve">管理預約、押金、收費、應收與日結</t>
  </si>
  <si>
    <t xml:space="preserve">CFO / Revenue Cycle Lead</t>
  </si>
  <si>
    <r>
      <rPr>
        <sz val="9"/>
        <color rgb="FF000000"/>
        <rFont val="微軟正黑體"/>
        <family val="0"/>
        <charset val="1"/>
      </rPr>
      <t xml:space="preserve">P-026 </t>
    </r>
    <r>
      <rPr>
        <sz val="9"/>
        <color rgb="FF000000"/>
        <rFont val="Noto Sans CJK SC"/>
        <family val="2"/>
      </rPr>
      <t xml:space="preserve">醫院收費與金流服務商</t>
    </r>
  </si>
  <si>
    <r>
      <rPr>
        <sz val="9"/>
        <color rgb="FF000000"/>
        <rFont val="Noto Sans CJK SC"/>
        <family val="2"/>
      </rPr>
      <t xml:space="preserve">缺：醫院收費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金流服務夥伴</t>
    </r>
  </si>
  <si>
    <t xml:space="preserve">Revenue-cycle design and controls</t>
  </si>
  <si>
    <r>
      <rPr>
        <sz val="9"/>
        <rFont val="Noto Sans CJK SC"/>
        <family val="2"/>
      </rPr>
      <t xml:space="preserve">無現金</t>
    </r>
    <r>
      <rPr>
        <sz val="9"/>
        <rFont val="Microsoft JhengHei"/>
        <family val="0"/>
        <charset val="1"/>
      </rPr>
      <t xml:space="preserve">95%</t>
    </r>
    <r>
      <rPr>
        <sz val="9"/>
        <rFont val="Noto Sans CJK SC"/>
        <family val="2"/>
      </rPr>
      <t xml:space="preserve">機構受理——能力重心從「導入支付」轉向「收入循環效率」。</t>
    </r>
  </si>
  <si>
    <t xml:space="preserve">CAP-058</t>
  </si>
  <si>
    <r>
      <rPr>
        <sz val="9"/>
        <color rgb="FF000000"/>
        <rFont val="Noto Sans CJK SC"/>
        <family val="2"/>
      </rPr>
      <t xml:space="preserve">商務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國際醫療</t>
    </r>
  </si>
  <si>
    <t xml:space="preserve">國際醫療與高價值服務</t>
  </si>
  <si>
    <t xml:space="preserve">International care and high-value services</t>
  </si>
  <si>
    <t xml:space="preserve">建立國際病人、企業客戶與特色專科商模</t>
  </si>
  <si>
    <r>
      <rPr>
        <sz val="9"/>
        <color rgb="FF000000"/>
        <rFont val="微軟正黑體"/>
        <family val="0"/>
        <charset val="1"/>
      </rPr>
      <t xml:space="preserve">P-027 </t>
    </r>
    <r>
      <rPr>
        <sz val="9"/>
        <color rgb="FF000000"/>
        <rFont val="Noto Sans CJK SC"/>
        <family val="2"/>
      </rPr>
      <t xml:space="preserve">國際醫療行銷與保險通路</t>
    </r>
  </si>
  <si>
    <t xml:space="preserve">缺：國際醫療行銷與保險通路夥伴</t>
  </si>
  <si>
    <t xml:space="preserve">International patient service blueprint</t>
  </si>
  <si>
    <r>
      <rPr>
        <sz val="9"/>
        <rFont val="Noto Sans CJK SC"/>
        <family val="2"/>
      </rPr>
      <t xml:space="preserve">出入境數字均為估計值；</t>
    </r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75</t>
    </r>
    <r>
      <rPr>
        <sz val="9"/>
        <rFont val="Noto Sans CJK SC"/>
        <family val="2"/>
      </rPr>
      <t xml:space="preserve">萬人次</t>
    </r>
    <r>
      <rPr>
        <sz val="9"/>
        <rFont val="Microsoft JhengHei"/>
        <family val="0"/>
        <charset val="1"/>
      </rPr>
      <t xml:space="preserve">/10</t>
    </r>
    <r>
      <rPr>
        <sz val="9"/>
        <rFont val="Noto Sans CJK SC"/>
        <family val="2"/>
      </rPr>
      <t xml:space="preserve">億美元目標＋</t>
    </r>
    <r>
      <rPr>
        <sz val="9"/>
        <rFont val="Microsoft JhengHei"/>
        <family val="0"/>
        <charset val="1"/>
      </rPr>
      <t xml:space="preserve">20</t>
    </r>
    <r>
      <rPr>
        <sz val="9"/>
        <rFont val="Noto Sans CJK SC"/>
        <family val="2"/>
      </rPr>
      <t xml:space="preserve">家國際標準醫院＝</t>
    </r>
    <r>
      <rPr>
        <sz val="9"/>
        <rFont val="Microsoft JhengHei"/>
        <family val="0"/>
        <charset val="1"/>
      </rPr>
      <t xml:space="preserve">JCI+</t>
    </r>
    <r>
      <rPr>
        <sz val="9"/>
        <rFont val="Noto Sans CJK SC"/>
        <family val="2"/>
      </rPr>
      <t xml:space="preserve">國際病人服務</t>
    </r>
    <r>
      <rPr>
        <sz val="9"/>
        <rFont val="Microsoft JhengHei"/>
        <family val="0"/>
        <charset val="1"/>
      </rPr>
      <t xml:space="preserve">+</t>
    </r>
    <r>
      <rPr>
        <sz val="9"/>
        <rFont val="Noto Sans CJK SC"/>
        <family val="2"/>
      </rPr>
      <t xml:space="preserve">商保直付打包。</t>
    </r>
  </si>
  <si>
    <t xml:space="preserve">CAP-059</t>
  </si>
  <si>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JV</t>
    </r>
    <r>
      <rPr>
        <sz val="9"/>
        <color rgb="FF000000"/>
        <rFont val="Noto Sans CJK SC"/>
        <family val="2"/>
      </rPr>
      <t xml:space="preserve">財務與風險分配</t>
    </r>
  </si>
  <si>
    <t xml:space="preserve">PPP/JV financial and risk allocation</t>
  </si>
  <si>
    <t xml:space="preserve">配置需求、建設、營運、匯率、法規與績效風險</t>
  </si>
  <si>
    <t xml:space="preserve">CAP-003; CAP-006; CAP-056</t>
  </si>
  <si>
    <t xml:space="preserve">Bankable model and risk-allocation matrix</t>
  </si>
  <si>
    <r>
      <rPr>
        <sz val="9"/>
        <rFont val="Noto Sans CJK SC"/>
        <family val="2"/>
      </rPr>
      <t xml:space="preserve">健康</t>
    </r>
    <r>
      <rPr>
        <sz val="9"/>
        <rFont val="Microsoft JhengHei"/>
        <family val="0"/>
        <charset val="1"/>
      </rPr>
      <t xml:space="preserve">PPP</t>
    </r>
    <r>
      <rPr>
        <sz val="9"/>
        <rFont val="Noto Sans CJK SC"/>
        <family val="2"/>
      </rPr>
      <t xml:space="preserve">案例極少（全國</t>
    </r>
    <r>
      <rPr>
        <sz val="9"/>
        <rFont val="Microsoft JhengHei"/>
        <family val="0"/>
        <charset val="1"/>
      </rPr>
      <t xml:space="preserve">2</t>
    </r>
    <r>
      <rPr>
        <sz val="9"/>
        <rFont val="Noto Sans CJK SC"/>
        <family val="2"/>
      </rPr>
      <t xml:space="preserve">案）；財務模型應以「專科中心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後勤小案</t>
    </r>
    <r>
      <rPr>
        <sz val="9"/>
        <rFont val="Microsoft JhengHei"/>
        <family val="0"/>
        <charset val="1"/>
      </rPr>
      <t xml:space="preserve">PPP</t>
    </r>
    <r>
      <rPr>
        <sz val="9"/>
        <rFont val="Noto Sans CJK SC"/>
        <family val="2"/>
      </rPr>
      <t xml:space="preserve">＋私立</t>
    </r>
    <r>
      <rPr>
        <sz val="9"/>
        <rFont val="Microsoft JhengHei"/>
        <family val="0"/>
        <charset val="1"/>
      </rPr>
      <t xml:space="preserve">JV</t>
    </r>
    <r>
      <rPr>
        <sz val="9"/>
        <rFont val="Noto Sans CJK SC"/>
        <family val="2"/>
      </rPr>
      <t xml:space="preserve">」為基準情境，而非大型醫院</t>
    </r>
    <r>
      <rPr>
        <sz val="9"/>
        <rFont val="Microsoft JhengHei"/>
        <family val="0"/>
        <charset val="1"/>
      </rPr>
      <t xml:space="preserve">PPP</t>
    </r>
    <r>
      <rPr>
        <sz val="9"/>
        <rFont val="Noto Sans CJK SC"/>
        <family val="2"/>
      </rPr>
      <t xml:space="preserve">。</t>
    </r>
  </si>
  <si>
    <t xml:space="preserve">CAP-060</t>
  </si>
  <si>
    <t xml:space="preserve">效益實現與複製藍圖</t>
  </si>
  <si>
    <t xml:space="preserve">Benefits realization and replication blueprint</t>
  </si>
  <si>
    <r>
      <rPr>
        <sz val="9"/>
        <color rgb="FF000000"/>
        <rFont val="Noto Sans CJK SC"/>
        <family val="2"/>
      </rPr>
      <t xml:space="preserve">以燈塔醫院形成可複製工作包與</t>
    </r>
    <r>
      <rPr>
        <sz val="9"/>
        <color rgb="FF000000"/>
        <rFont val="微軟正黑體"/>
        <family val="0"/>
        <charset val="1"/>
      </rPr>
      <t xml:space="preserve">Fast Follower</t>
    </r>
    <r>
      <rPr>
        <sz val="9"/>
        <color rgb="FF000000"/>
        <rFont val="Noto Sans CJK SC"/>
        <family val="2"/>
      </rPr>
      <t xml:space="preserve">模式</t>
    </r>
  </si>
  <si>
    <r>
      <rPr>
        <sz val="9"/>
        <color rgb="FF000000"/>
        <rFont val="Noto Sans CJK SC"/>
        <family val="2"/>
      </rPr>
      <t xml:space="preserve">洽談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資格審查：</t>
    </r>
    <r>
      <rPr>
        <sz val="9"/>
        <color rgb="FF000000"/>
        <rFont val="微軟正黑體"/>
        <family val="0"/>
        <charset val="1"/>
      </rPr>
      <t xml:space="preserve">Government + Alliance</t>
    </r>
  </si>
  <si>
    <t xml:space="preserve">CAP-001; CAP-039; CAP-047</t>
  </si>
  <si>
    <t xml:space="preserve">Benefits plan and replication blueprint</t>
  </si>
  <si>
    <r>
      <rPr>
        <sz val="9"/>
        <rFont val="Microsoft JhengHei"/>
        <family val="0"/>
        <charset val="1"/>
      </rPr>
      <t xml:space="preserve">EN</t>
    </r>
    <r>
      <rPr>
        <sz val="9"/>
        <rFont val="Noto Sans CJK SC"/>
        <family val="2"/>
      </rPr>
      <t xml:space="preserve">拼字統一：</t>
    </r>
    <r>
      <rPr>
        <sz val="9"/>
        <rFont val="Microsoft JhengHei"/>
        <family val="0"/>
        <charset val="1"/>
      </rPr>
      <t xml:space="preserve">realisation</t>
    </r>
    <r>
      <rPr>
        <sz val="9"/>
        <rFont val="Noto Sans CJK SC"/>
        <family val="2"/>
      </rPr>
      <t xml:space="preserve">。</t>
    </r>
    <r>
      <rPr>
        <sz val="9"/>
        <rFont val="Microsoft JhengHei"/>
        <family val="0"/>
        <charset val="1"/>
      </rPr>
      <t xml:space="preserve">Cleveland Clinic Connected×Vinmec</t>
    </r>
    <r>
      <rPr>
        <sz val="9"/>
        <rFont val="Noto Sans CJK SC"/>
        <family val="2"/>
      </rPr>
      <t xml:space="preserve">為複製藍圖在地範本。</t>
    </r>
  </si>
  <si>
    <r>
      <rPr>
        <b val="true"/>
        <sz val="15"/>
        <color rgb="FFFFFFFF"/>
        <rFont val="微軟正黑體"/>
        <family val="0"/>
        <charset val="1"/>
      </rPr>
      <t xml:space="preserve">04 </t>
    </r>
    <r>
      <rPr>
        <b val="true"/>
        <sz val="15"/>
        <color rgb="FFFFFFFF"/>
        <rFont val="Noto Sans CJK SC"/>
        <family val="2"/>
      </rPr>
      <t xml:space="preserve">夥伴拼圖｜</t>
    </r>
    <r>
      <rPr>
        <b val="true"/>
        <sz val="15"/>
        <color rgb="FFFFFFFF"/>
        <rFont val="微軟正黑體"/>
        <family val="0"/>
        <charset val="1"/>
      </rPr>
      <t xml:space="preserve">Partner Ecosystem &amp; Coverage</t>
    </r>
    <r>
      <rPr>
        <b val="true"/>
        <sz val="15"/>
        <color rgb="FFFFFFFF"/>
        <rFont val="Noto Sans CJK SC"/>
        <family val="2"/>
      </rPr>
      <t xml:space="preserve">（誰能做：聯盟拼圖與資格審查）</t>
    </r>
  </si>
  <si>
    <r>
      <rPr>
        <i val="true"/>
        <sz val="9.5"/>
        <color rgb="FF404040"/>
        <rFont val="Noto Sans CJK SC"/>
        <family val="2"/>
      </rPr>
      <t xml:space="preserve">❓ 這頁在回答：有哪些夥伴？各自涵蓋哪些領域？　　▸ 上表＝夥伴名冊與資格評分（關係≠交付能力，實績為準）；下表＝夥伴</t>
    </r>
    <r>
      <rPr>
        <i val="true"/>
        <sz val="9.5"/>
        <color rgb="FF404040"/>
        <rFont val="微軟正黑體"/>
        <family val="0"/>
        <charset val="1"/>
      </rPr>
      <t xml:space="preserve">×</t>
    </r>
    <r>
      <rPr>
        <i val="true"/>
        <sz val="9.5"/>
        <color rgb="FF404040"/>
        <rFont val="Noto Sans CJK SC"/>
        <family val="2"/>
      </rPr>
      <t xml:space="preserve">領域覆蓋矩陣，對照缺口數即知「還缺哪些拼圖」。★ 收到夥伴回覆表後不必逐格重打：打開 </t>
    </r>
    <r>
      <rPr>
        <i val="true"/>
        <sz val="9.5"/>
        <color rgb="FF404040"/>
        <rFont val="微軟正黑體"/>
        <family val="0"/>
        <charset val="1"/>
      </rPr>
      <t xml:space="preserve">VMH-EcoMap-3 </t>
    </r>
    <r>
      <rPr>
        <i val="true"/>
        <sz val="9.5"/>
        <color rgb="FF404040"/>
        <rFont val="Noto Sans CJK SC"/>
        <family val="2"/>
      </rPr>
      <t xml:space="preserve">的「</t>
    </r>
    <r>
      <rPr>
        <i val="true"/>
        <sz val="9.5"/>
        <color rgb="FF404040"/>
        <rFont val="微軟正黑體"/>
        <family val="0"/>
        <charset val="1"/>
      </rPr>
      <t xml:space="preserve">05_</t>
    </r>
    <r>
      <rPr>
        <i val="true"/>
        <sz val="9.5"/>
        <color rgb="FF404040"/>
        <rFont val="Noto Sans CJK SC"/>
        <family val="2"/>
      </rPr>
      <t xml:space="preserve">彙總輸出」分頁，複製 </t>
    </r>
    <r>
      <rPr>
        <i val="true"/>
        <sz val="9.5"/>
        <color rgb="FF404040"/>
        <rFont val="微軟正黑體"/>
        <family val="0"/>
        <charset val="1"/>
      </rPr>
      <t xml:space="preserve">B7:O7 </t>
    </r>
    <r>
      <rPr>
        <i val="true"/>
        <sz val="9.5"/>
        <color rgb="FF404040"/>
        <rFont val="Noto Sans CJK SC"/>
        <family val="2"/>
      </rPr>
      <t xml:space="preserve">貼到本表空白列的 </t>
    </r>
    <r>
      <rPr>
        <i val="true"/>
        <sz val="9.5"/>
        <color rgb="FF404040"/>
        <rFont val="微軟正黑體"/>
        <family val="0"/>
        <charset val="1"/>
      </rPr>
      <t xml:space="preserve">B </t>
    </r>
    <r>
      <rPr>
        <i val="true"/>
        <sz val="9.5"/>
        <color rgb="FF404040"/>
        <rFont val="Noto Sans CJK SC"/>
        <family val="2"/>
      </rPr>
      <t xml:space="preserve">欄（右鍵→選擇性貼上→值，跳過</t>
    </r>
    <r>
      <rPr>
        <i val="true"/>
        <sz val="9.5"/>
        <color rgb="FF404040"/>
        <rFont val="微軟正黑體"/>
        <family val="0"/>
        <charset val="1"/>
      </rPr>
      <t xml:space="preserve">A</t>
    </r>
    <r>
      <rPr>
        <i val="true"/>
        <sz val="9.5"/>
        <color rgb="FF404040"/>
        <rFont val="Noto Sans CJK SC"/>
        <family val="2"/>
      </rPr>
      <t xml:space="preserve">欄不用貼），再複製 </t>
    </r>
    <r>
      <rPr>
        <i val="true"/>
        <sz val="9.5"/>
        <color rgb="FF404040"/>
        <rFont val="微軟正黑體"/>
        <family val="0"/>
        <charset val="1"/>
      </rPr>
      <t xml:space="preserve">Q7:S7 </t>
    </r>
    <r>
      <rPr>
        <i val="true"/>
        <sz val="9.5"/>
        <color rgb="FF404040"/>
        <rFont val="Noto Sans CJK SC"/>
        <family val="2"/>
      </rPr>
      <t xml:space="preserve">貼到 </t>
    </r>
    <r>
      <rPr>
        <i val="true"/>
        <sz val="9.5"/>
        <color rgb="FF404040"/>
        <rFont val="微軟正黑體"/>
        <family val="0"/>
        <charset val="1"/>
      </rPr>
      <t xml:space="preserve">Q </t>
    </r>
    <r>
      <rPr>
        <i val="true"/>
        <sz val="9.5"/>
        <color rgb="FF404040"/>
        <rFont val="Noto Sans CJK SC"/>
        <family val="2"/>
      </rPr>
      <t xml:space="preserve">欄；</t>
    </r>
    <r>
      <rPr>
        <i val="true"/>
        <sz val="9.5"/>
        <color rgb="FF404040"/>
        <rFont val="微軟正黑體"/>
        <family val="0"/>
        <charset val="1"/>
      </rPr>
      <t xml:space="preserve">P </t>
    </r>
    <r>
      <rPr>
        <i val="true"/>
        <sz val="9.5"/>
        <color rgb="FF404040"/>
        <rFont val="Noto Sans CJK SC"/>
        <family val="2"/>
      </rPr>
      <t xml:space="preserve">欄適配分會自動算出。</t>
    </r>
    <r>
      <rPr>
        <i val="true"/>
        <sz val="9.5"/>
        <color rgb="FF404040"/>
        <rFont val="微軟正黑體"/>
        <family val="0"/>
        <charset val="1"/>
      </rPr>
      <t xml:space="preserve">A</t>
    </r>
    <r>
      <rPr>
        <i val="true"/>
        <sz val="9.5"/>
        <color rgb="FF404040"/>
        <rFont val="Noto Sans CJK SC"/>
        <family val="2"/>
      </rPr>
      <t xml:space="preserve">欄（夥伴</t>
    </r>
    <r>
      <rPr>
        <i val="true"/>
        <sz val="9.5"/>
        <color rgb="FF404040"/>
        <rFont val="微軟正黑體"/>
        <family val="0"/>
        <charset val="1"/>
      </rPr>
      <t xml:space="preserve">ID</t>
    </r>
    <r>
      <rPr>
        <i val="true"/>
        <sz val="9.5"/>
        <color rgb="FF404040"/>
        <rFont val="Noto Sans CJK SC"/>
        <family val="2"/>
      </rPr>
      <t xml:space="preserve">）只要</t>
    </r>
    <r>
      <rPr>
        <i val="true"/>
        <sz val="9.5"/>
        <color rgb="FF404040"/>
        <rFont val="微軟正黑體"/>
        <family val="0"/>
        <charset val="1"/>
      </rPr>
      <t xml:space="preserve">B</t>
    </r>
    <r>
      <rPr>
        <i val="true"/>
        <sz val="9.5"/>
        <color rgb="FF404040"/>
        <rFont val="Noto Sans CJK SC"/>
        <family val="2"/>
      </rPr>
      <t xml:space="preserve">欄一填名稱就會自動編號，不用手打（請由上而下依序新增，不要跳列）；</t>
    </r>
    <r>
      <rPr>
        <i val="true"/>
        <sz val="9.5"/>
        <color rgb="FF404040"/>
        <rFont val="微軟正黑體"/>
        <family val="0"/>
        <charset val="1"/>
      </rPr>
      <t xml:space="preserve">B</t>
    </r>
    <r>
      <rPr>
        <i val="true"/>
        <sz val="9.5"/>
        <color rgb="FF404040"/>
        <rFont val="Noto Sans CJK SC"/>
        <family val="2"/>
      </rPr>
      <t xml:space="preserve">欄下拉為建議清單、可自行輸入新名稱；</t>
    </r>
    <r>
      <rPr>
        <i val="true"/>
        <sz val="9.5"/>
        <color rgb="FF404040"/>
        <rFont val="微軟正黑體"/>
        <family val="0"/>
        <charset val="1"/>
      </rPr>
      <t xml:space="preserve">U-AD</t>
    </r>
    <r>
      <rPr>
        <i val="true"/>
        <sz val="9.5"/>
        <color rgb="FF404040"/>
        <rFont val="Noto Sans CJK SC"/>
        <family val="2"/>
      </rPr>
      <t xml:space="preserve">為領域勾選欄（勾了哪個就算哪個），</t>
    </r>
    <r>
      <rPr>
        <i val="true"/>
        <sz val="9.5"/>
        <color rgb="FF404040"/>
        <rFont val="微軟正黑體"/>
        <family val="0"/>
        <charset val="1"/>
      </rPr>
      <t xml:space="preserve">F</t>
    </r>
    <r>
      <rPr>
        <i val="true"/>
        <sz val="9.5"/>
        <color rgb="FF404040"/>
        <rFont val="Noto Sans CJK SC"/>
        <family val="2"/>
      </rPr>
      <t xml:space="preserve">欄會自動組成；</t>
    </r>
    <r>
      <rPr>
        <i val="true"/>
        <sz val="9.5"/>
        <color rgb="FF404040"/>
        <rFont val="微軟正黑體"/>
        <family val="0"/>
        <charset val="1"/>
      </rPr>
      <t xml:space="preserve">T</t>
    </r>
    <r>
      <rPr>
        <i val="true"/>
        <sz val="9.5"/>
        <color rgb="FF404040"/>
        <rFont val="Noto Sans CJK SC"/>
        <family val="2"/>
      </rPr>
      <t xml:space="preserve">欄（夥伴代號＋名稱）為公式自動組合，是</t>
    </r>
    <r>
      <rPr>
        <i val="true"/>
        <sz val="9.5"/>
        <color rgb="FF404040"/>
        <rFont val="微軟正黑體"/>
        <family val="0"/>
        <charset val="1"/>
      </rPr>
      <t xml:space="preserve">03/12</t>
    </r>
    <r>
      <rPr>
        <i val="true"/>
        <sz val="9.5"/>
        <color rgb="FF404040"/>
        <rFont val="Noto Sans CJK SC"/>
        <family val="2"/>
      </rPr>
      <t xml:space="preserve">分頁下拉選單實際取用的清單。以上均不需手動填。</t>
    </r>
  </si>
  <si>
    <r>
      <rPr>
        <b val="true"/>
        <sz val="10"/>
        <color rgb="FFFFFFFF"/>
        <rFont val="Noto Sans CJK SC"/>
        <family val="2"/>
      </rPr>
      <t xml:space="preserve">夥伴 </t>
    </r>
    <r>
      <rPr>
        <b val="true"/>
        <sz val="10"/>
        <color rgb="FFFFFFFF"/>
        <rFont val="微軟正黑體"/>
        <family val="0"/>
        <charset val="1"/>
      </rPr>
      <t xml:space="preserve">ID</t>
    </r>
  </si>
  <si>
    <r>
      <rPr>
        <b val="true"/>
        <sz val="10"/>
        <color rgb="FFFFFFFF"/>
        <rFont val="Noto Sans CJK SC"/>
        <family val="2"/>
      </rPr>
      <t xml:space="preserve">夥伴</t>
    </r>
    <r>
      <rPr>
        <b val="true"/>
        <sz val="10"/>
        <color rgb="FFFFFFFF"/>
        <rFont val="微軟正黑體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角色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中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</si>
  <si>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t xml:space="preserve">Partner (EN)</t>
  </si>
  <si>
    <t xml:space="preserve">類型</t>
  </si>
  <si>
    <t xml:space="preserve">國別</t>
  </si>
  <si>
    <r>
      <rPr>
        <b val="true"/>
        <sz val="10"/>
        <color rgb="FFFFFFFF"/>
        <rFont val="Noto Sans CJK SC"/>
        <family val="2"/>
      </rPr>
      <t xml:space="preserve">涵蓋領域
</t>
    </r>
    <r>
      <rPr>
        <b val="true"/>
        <sz val="10"/>
        <color rgb="FFFFFFFF"/>
        <rFont val="微軟正黑體"/>
        <family val="0"/>
        <charset val="1"/>
      </rPr>
      <t xml:space="preserve">Domains</t>
    </r>
  </si>
  <si>
    <r>
      <rPr>
        <b val="true"/>
        <sz val="10"/>
        <color rgb="FFFFFFFF"/>
        <rFont val="Noto Sans CJK SC"/>
        <family val="2"/>
      </rPr>
      <t xml:space="preserve">聯盟定位
</t>
    </r>
    <r>
      <rPr>
        <b val="true"/>
        <sz val="10"/>
        <color rgb="FFFFFFFF"/>
        <rFont val="微軟正黑體"/>
        <family val="0"/>
        <charset val="1"/>
      </rPr>
      <t xml:space="preserve">Role</t>
    </r>
  </si>
  <si>
    <t xml:space="preserve">越南據點</t>
  </si>
  <si>
    <t xml:space="preserve">實績</t>
  </si>
  <si>
    <t xml:space="preserve">顧問</t>
  </si>
  <si>
    <t xml:space="preserve">建置</t>
  </si>
  <si>
    <t xml:space="preserve">營運</t>
  </si>
  <si>
    <t xml:space="preserve">財務</t>
  </si>
  <si>
    <t xml:space="preserve">互通</t>
  </si>
  <si>
    <t xml:space="preserve">在地</t>
  </si>
  <si>
    <r>
      <rPr>
        <b val="true"/>
        <sz val="10"/>
        <color rgb="FFFFFFFF"/>
        <rFont val="Noto Sans CJK SC"/>
        <family val="2"/>
      </rPr>
      <t xml:space="preserve">適配分
</t>
    </r>
    <r>
      <rPr>
        <b val="true"/>
        <sz val="10"/>
        <color rgb="FFFFFFFF"/>
        <rFont val="微軟正黑體"/>
        <family val="0"/>
        <charset val="1"/>
      </rPr>
      <t xml:space="preserve">Fit</t>
    </r>
  </si>
  <si>
    <t xml:space="preserve">來源風險</t>
  </si>
  <si>
    <t xml:space="preserve">狀態</t>
  </si>
  <si>
    <r>
      <rPr>
        <b val="true"/>
        <sz val="10"/>
        <color rgb="FFFFFFFF"/>
        <rFont val="Noto Sans CJK SC"/>
        <family val="2"/>
      </rPr>
      <t xml:space="preserve">夥伴代號＋名稱
</t>
    </r>
    <r>
      <rPr>
        <b val="true"/>
        <sz val="10"/>
        <color rgb="FFFFFFFF"/>
        <rFont val="微軟正黑體"/>
        <family val="0"/>
        <charset val="1"/>
      </rPr>
      <t xml:space="preserve">ID + Name</t>
    </r>
  </si>
  <si>
    <r>
      <rPr>
        <b val="true"/>
        <sz val="10"/>
        <color rgb="FFFFFFFF"/>
        <rFont val="微軟正黑體"/>
        <family val="0"/>
        <charset val="1"/>
      </rPr>
      <t xml:space="preserve">D01
</t>
    </r>
    <r>
      <rPr>
        <b val="true"/>
        <sz val="10"/>
        <color rgb="FFFFFFFF"/>
        <rFont val="Noto Sans CJK SC"/>
        <family val="2"/>
      </rPr>
      <t xml:space="preserve">治理</t>
    </r>
  </si>
  <si>
    <r>
      <rPr>
        <b val="true"/>
        <sz val="10"/>
        <color rgb="FFFFFFFF"/>
        <rFont val="微軟正黑體"/>
        <family val="0"/>
        <charset val="1"/>
      </rPr>
      <t xml:space="preserve">D02
</t>
    </r>
    <r>
      <rPr>
        <b val="true"/>
        <sz val="10"/>
        <color rgb="FFFFFFFF"/>
        <rFont val="Noto Sans CJK SC"/>
        <family val="2"/>
      </rPr>
      <t xml:space="preserve">臨床</t>
    </r>
  </si>
  <si>
    <r>
      <rPr>
        <b val="true"/>
        <sz val="10"/>
        <color rgb="FFFFFFFF"/>
        <rFont val="微軟正黑體"/>
        <family val="0"/>
        <charset val="1"/>
      </rPr>
      <t xml:space="preserve">D03
</t>
    </r>
    <r>
      <rPr>
        <b val="true"/>
        <sz val="10"/>
        <color rgb="FFFFFFFF"/>
        <rFont val="Noto Sans CJK SC"/>
        <family val="2"/>
      </rPr>
      <t xml:space="preserve">設施</t>
    </r>
  </si>
  <si>
    <r>
      <rPr>
        <b val="true"/>
        <sz val="10"/>
        <color rgb="FFFFFFFF"/>
        <rFont val="微軟正黑體"/>
        <family val="0"/>
        <charset val="1"/>
      </rPr>
      <t xml:space="preserve">D04
</t>
    </r>
    <r>
      <rPr>
        <b val="true"/>
        <sz val="10"/>
        <color rgb="FFFFFFFF"/>
        <rFont val="Noto Sans CJK SC"/>
        <family val="2"/>
      </rPr>
      <t xml:space="preserve">數位</t>
    </r>
  </si>
  <si>
    <r>
      <rPr>
        <b val="true"/>
        <sz val="10"/>
        <color rgb="FFFFFFFF"/>
        <rFont val="微軟正黑體"/>
        <family val="0"/>
        <charset val="1"/>
      </rPr>
      <t xml:space="preserve">D05
</t>
    </r>
    <r>
      <rPr>
        <b val="true"/>
        <sz val="10"/>
        <color rgb="FFFFFFFF"/>
        <rFont val="Noto Sans CJK SC"/>
        <family val="2"/>
      </rPr>
      <t xml:space="preserve">醫材</t>
    </r>
  </si>
  <si>
    <r>
      <rPr>
        <b val="true"/>
        <sz val="10"/>
        <color rgb="FFFFFFFF"/>
        <rFont val="微軟正黑體"/>
        <family val="0"/>
        <charset val="1"/>
      </rPr>
      <t xml:space="preserve">D06
</t>
    </r>
    <r>
      <rPr>
        <b val="true"/>
        <sz val="10"/>
        <color rgb="FFFFFFFF"/>
        <rFont val="Noto Sans CJK SC"/>
        <family val="2"/>
      </rPr>
      <t xml:space="preserve">醫資</t>
    </r>
  </si>
  <si>
    <r>
      <rPr>
        <b val="true"/>
        <sz val="10"/>
        <color rgb="FFFFFFFF"/>
        <rFont val="微軟正黑體"/>
        <family val="0"/>
        <charset val="1"/>
      </rPr>
      <t xml:space="preserve">D07
</t>
    </r>
    <r>
      <rPr>
        <b val="true"/>
        <sz val="10"/>
        <color rgb="FFFFFFFF"/>
        <rFont val="Noto Sans CJK SC"/>
        <family val="2"/>
      </rPr>
      <t xml:space="preserve">品質</t>
    </r>
  </si>
  <si>
    <r>
      <rPr>
        <b val="true"/>
        <sz val="10"/>
        <color rgb="FFFFFFFF"/>
        <rFont val="微軟正黑體"/>
        <family val="0"/>
        <charset val="1"/>
      </rPr>
      <t xml:space="preserve">D08
</t>
    </r>
    <r>
      <rPr>
        <b val="true"/>
        <sz val="10"/>
        <color rgb="FFFFFFFF"/>
        <rFont val="Noto Sans CJK SC"/>
        <family val="2"/>
      </rPr>
      <t xml:space="preserve">人才</t>
    </r>
  </si>
  <si>
    <r>
      <rPr>
        <b val="true"/>
        <sz val="10"/>
        <color rgb="FFFFFFFF"/>
        <rFont val="微軟正黑體"/>
        <family val="0"/>
        <charset val="1"/>
      </rPr>
      <t xml:space="preserve">D09
</t>
    </r>
    <r>
      <rPr>
        <b val="true"/>
        <sz val="10"/>
        <color rgb="FFFFFFFF"/>
        <rFont val="Noto Sans CJK SC"/>
        <family val="2"/>
      </rPr>
      <t xml:space="preserve">供應</t>
    </r>
  </si>
  <si>
    <r>
      <rPr>
        <b val="true"/>
        <sz val="10"/>
        <color rgb="FFFFFFFF"/>
        <rFont val="微軟正黑體"/>
        <family val="0"/>
        <charset val="1"/>
      </rPr>
      <t xml:space="preserve">D10
</t>
    </r>
    <r>
      <rPr>
        <b val="true"/>
        <sz val="10"/>
        <color rgb="FFFFFFFF"/>
        <rFont val="Noto Sans CJK SC"/>
        <family val="2"/>
      </rPr>
      <t xml:space="preserve">商模</t>
    </r>
  </si>
  <si>
    <r>
      <rPr>
        <b val="true"/>
        <sz val="10"/>
        <color rgb="FFFFFFFF"/>
        <rFont val="微軟正黑體"/>
        <family val="0"/>
        <charset val="1"/>
      </rPr>
      <t xml:space="preserve">F</t>
    </r>
    <r>
      <rPr>
        <b val="true"/>
        <sz val="10"/>
        <color rgb="FFFFFFFF"/>
        <rFont val="Noto Sans CJK SC"/>
        <family val="2"/>
      </rPr>
      <t xml:space="preserve">組成公式
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隱藏勿刪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</si>
  <si>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t xml:space="preserve">P-001</t>
  </si>
  <si>
    <t xml:space="preserve">群晶科技</t>
  </si>
  <si>
    <t xml:space="preserve">English legal name TBD</t>
  </si>
  <si>
    <r>
      <rPr>
        <sz val="9"/>
        <color rgb="FF000000"/>
        <rFont val="微軟正黑體"/>
        <family val="0"/>
        <charset val="1"/>
      </rPr>
      <t xml:space="preserve">Alliance convener / </t>
    </r>
    <r>
      <rPr>
        <sz val="9"/>
        <color rgb="FF000000"/>
        <rFont val="Noto Sans CJK SC"/>
        <family val="2"/>
      </rPr>
      <t xml:space="preserve">聯盟召集人</t>
    </r>
  </si>
  <si>
    <t xml:space="preserve">Taiwan</t>
  </si>
  <si>
    <t xml:space="preserve">Alliance convener; IDC/IoT/smart-infrastructure lead</t>
  </si>
  <si>
    <r>
      <rPr>
        <sz val="9"/>
        <color rgb="FF000000"/>
        <rFont val="微軟正黑體"/>
        <family val="0"/>
        <charset val="1"/>
      </rPr>
      <t xml:space="preserve">TBD / </t>
    </r>
    <r>
      <rPr>
        <sz val="9"/>
        <color rgb="FF000000"/>
        <rFont val="Noto Sans CJK SC"/>
        <family val="2"/>
      </rPr>
      <t xml:space="preserve">待確認</t>
    </r>
  </si>
  <si>
    <r>
      <rPr>
        <sz val="9"/>
        <color rgb="FF000000"/>
        <rFont val="微軟正黑體"/>
        <family val="0"/>
        <charset val="1"/>
      </rPr>
      <t xml:space="preserve">Medium / </t>
    </r>
    <r>
      <rPr>
        <sz val="9"/>
        <color rgb="FF000000"/>
        <rFont val="Noto Sans CJK SC"/>
        <family val="2"/>
      </rPr>
      <t xml:space="preserve">中</t>
    </r>
  </si>
  <si>
    <r>
      <rPr>
        <sz val="9"/>
        <color rgb="FF000000"/>
        <rFont val="微軟正黑體"/>
        <family val="0"/>
        <charset val="1"/>
      </rPr>
      <t xml:space="preserve">Target / </t>
    </r>
    <r>
      <rPr>
        <sz val="9"/>
        <color rgb="FF000000"/>
        <rFont val="Noto Sans CJK SC"/>
        <family val="2"/>
      </rPr>
      <t xml:space="preserve">目標邀請</t>
    </r>
  </si>
  <si>
    <t xml:space="preserve">Confirm legal name, references, Vietnam presence and accountable executive</t>
  </si>
  <si>
    <t xml:space="preserve">P-002</t>
  </si>
  <si>
    <t xml:space="preserve">越南政府贊助單位</t>
  </si>
  <si>
    <t xml:space="preserve">Vietnam government sponsor</t>
  </si>
  <si>
    <r>
      <rPr>
        <sz val="9"/>
        <color rgb="FF000000"/>
        <rFont val="微軟正黑體"/>
        <family val="0"/>
        <charset val="1"/>
      </rPr>
      <t xml:space="preserve">Government / </t>
    </r>
    <r>
      <rPr>
        <sz val="9"/>
        <color rgb="FF000000"/>
        <rFont val="Noto Sans CJK SC"/>
        <family val="2"/>
      </rPr>
      <t xml:space="preserve">政府</t>
    </r>
  </si>
  <si>
    <t xml:space="preserve">Vietnam</t>
  </si>
  <si>
    <t xml:space="preserve">Mandate, approvals, site and inter-agency coordination</t>
  </si>
  <si>
    <r>
      <rPr>
        <sz val="9"/>
        <color rgb="FF000000"/>
        <rFont val="微軟正黑體"/>
        <family val="0"/>
        <charset val="1"/>
      </rPr>
      <t xml:space="preserve">Yes / </t>
    </r>
    <r>
      <rPr>
        <sz val="9"/>
        <color rgb="FF000000"/>
        <rFont val="Noto Sans CJK SC"/>
        <family val="2"/>
      </rPr>
      <t xml:space="preserve">是</t>
    </r>
  </si>
  <si>
    <r>
      <rPr>
        <sz val="9"/>
        <color rgb="FF000000"/>
        <rFont val="微軟正黑體"/>
        <family val="0"/>
        <charset val="1"/>
      </rPr>
      <t xml:space="preserve">Low / </t>
    </r>
    <r>
      <rPr>
        <sz val="9"/>
        <color rgb="FF000000"/>
        <rFont val="Noto Sans CJK SC"/>
        <family val="2"/>
      </rPr>
      <t xml:space="preserve">低</t>
    </r>
  </si>
  <si>
    <r>
      <rPr>
        <sz val="9"/>
        <color rgb="FF000000"/>
        <rFont val="微軟正黑體"/>
        <family val="0"/>
        <charset val="1"/>
      </rPr>
      <t xml:space="preserve">Engaged / </t>
    </r>
    <r>
      <rPr>
        <sz val="9"/>
        <color rgb="FF000000"/>
        <rFont val="Noto Sans CJK SC"/>
        <family val="2"/>
      </rPr>
      <t xml:space="preserve">已接觸</t>
    </r>
  </si>
  <si>
    <t xml:space="preserve">Convert political support into formal governance and named owners</t>
  </si>
  <si>
    <t xml:space="preserve">P-003</t>
  </si>
  <si>
    <t xml:space="preserve">越南在地醫院營運者</t>
  </si>
  <si>
    <t xml:space="preserve">Vietnam local hospital operator</t>
  </si>
  <si>
    <r>
      <rPr>
        <sz val="9"/>
        <color rgb="FF000000"/>
        <rFont val="微軟正黑體"/>
        <family val="0"/>
        <charset val="1"/>
      </rPr>
      <t xml:space="preserve">Clinical operator / </t>
    </r>
    <r>
      <rPr>
        <sz val="9"/>
        <color rgb="FF000000"/>
        <rFont val="Noto Sans CJK SC"/>
        <family val="2"/>
      </rPr>
      <t xml:space="preserve">臨床營運</t>
    </r>
  </si>
  <si>
    <t xml:space="preserve">Licensed clinical operator and long-term accountable owner</t>
  </si>
  <si>
    <t xml:space="preserve">Identify licensed operators and verify outcomes</t>
  </si>
  <si>
    <t xml:space="preserve">P-004</t>
  </si>
  <si>
    <t xml:space="preserve">台灣參考醫院</t>
  </si>
  <si>
    <t xml:space="preserve">Taiwan reference hospital</t>
  </si>
  <si>
    <r>
      <rPr>
        <sz val="9"/>
        <color rgb="FF000000"/>
        <rFont val="微軟正黑體"/>
        <family val="0"/>
        <charset val="1"/>
      </rPr>
      <t xml:space="preserve">Reference hospital / </t>
    </r>
    <r>
      <rPr>
        <sz val="9"/>
        <color rgb="FF000000"/>
        <rFont val="Noto Sans CJK SC"/>
        <family val="2"/>
      </rPr>
      <t xml:space="preserve">參考醫院</t>
    </r>
  </si>
  <si>
    <t xml:space="preserve">Clinical model, quality, training and transfer</t>
  </si>
  <si>
    <r>
      <rPr>
        <sz val="9"/>
        <color rgb="FF000000"/>
        <rFont val="微軟正黑體"/>
        <family val="0"/>
        <charset val="1"/>
      </rPr>
      <t xml:space="preserve">No / </t>
    </r>
    <r>
      <rPr>
        <sz val="9"/>
        <color rgb="FF000000"/>
        <rFont val="Noto Sans CJK SC"/>
        <family val="2"/>
      </rPr>
      <t xml:space="preserve">否</t>
    </r>
  </si>
  <si>
    <t xml:space="preserve">Select by target specialties and willingness to transfer</t>
  </si>
  <si>
    <t xml:space="preserve">P-005</t>
  </si>
  <si>
    <t xml:space="preserve">醫療建築與總體規劃團隊</t>
  </si>
  <si>
    <t xml:space="preserve">Healthcare architect and planner</t>
  </si>
  <si>
    <r>
      <rPr>
        <sz val="9"/>
        <color rgb="FF000000"/>
        <rFont val="微軟正黑體"/>
        <family val="0"/>
        <charset val="1"/>
      </rPr>
      <t xml:space="preserve">Design / </t>
    </r>
    <r>
      <rPr>
        <sz val="9"/>
        <color rgb="FF000000"/>
        <rFont val="Noto Sans CJK SC"/>
        <family val="2"/>
      </rPr>
      <t xml:space="preserve">設計</t>
    </r>
  </si>
  <si>
    <t xml:space="preserve">TBD</t>
  </si>
  <si>
    <t xml:space="preserve">Clinical planning, masterplan and room data sheets</t>
  </si>
  <si>
    <t xml:space="preserve">Request regional hospital references</t>
  </si>
  <si>
    <t xml:space="preserve">P-006</t>
  </si>
  <si>
    <r>
      <rPr>
        <sz val="9"/>
        <color rgb="FF000000"/>
        <rFont val="Noto Sans CJK SC"/>
        <family val="2"/>
      </rPr>
      <t xml:space="preserve">越南</t>
    </r>
    <r>
      <rPr>
        <sz val="9"/>
        <color rgb="FF000000"/>
        <rFont val="微軟正黑體"/>
        <family val="0"/>
        <charset val="1"/>
      </rPr>
      <t xml:space="preserve">EPC</t>
    </r>
    <r>
      <rPr>
        <sz val="9"/>
        <color rgb="FF000000"/>
        <rFont val="Noto Sans CJK SC"/>
        <family val="2"/>
      </rPr>
      <t xml:space="preserve">／機電夥伴</t>
    </r>
  </si>
  <si>
    <t xml:space="preserve">Vietnam EPC and MEP partner</t>
  </si>
  <si>
    <r>
      <rPr>
        <sz val="9"/>
        <color rgb="FF000000"/>
        <rFont val="微軟正黑體"/>
        <family val="0"/>
        <charset val="1"/>
      </rPr>
      <t xml:space="preserve">EPC / </t>
    </r>
    <r>
      <rPr>
        <sz val="9"/>
        <color rgb="FF000000"/>
        <rFont val="Noto Sans CJK SC"/>
        <family val="2"/>
      </rPr>
      <t xml:space="preserve">工程</t>
    </r>
  </si>
  <si>
    <t xml:space="preserve">Local design, permits, construction and MEP delivery</t>
  </si>
  <si>
    <t xml:space="preserve">Prequalify for healthcare and data-centre capability</t>
  </si>
  <si>
    <t xml:space="preserve">P-007</t>
  </si>
  <si>
    <t xml:space="preserve">Health IT integrator</t>
  </si>
  <si>
    <r>
      <rPr>
        <sz val="9"/>
        <color rgb="FF000000"/>
        <rFont val="微軟正黑體"/>
        <family val="0"/>
        <charset val="1"/>
      </rPr>
      <t xml:space="preserve">Technology / </t>
    </r>
    <r>
      <rPr>
        <sz val="9"/>
        <color rgb="FF000000"/>
        <rFont val="Noto Sans CJK SC"/>
        <family val="2"/>
      </rPr>
      <t xml:space="preserve">科技</t>
    </r>
  </si>
  <si>
    <t xml:space="preserve">HIS/EMR, interfaces, data and go-live integration</t>
  </si>
  <si>
    <t xml:space="preserve">Issue architecture and conformance questionnaire</t>
  </si>
  <si>
    <t xml:space="preserve">P-008</t>
  </si>
  <si>
    <t xml:space="preserve">美國雲端服務商</t>
  </si>
  <si>
    <t xml:space="preserve">US cloud service provider</t>
  </si>
  <si>
    <r>
      <rPr>
        <sz val="9"/>
        <color rgb="FF000000"/>
        <rFont val="微軟正黑體"/>
        <family val="0"/>
        <charset val="1"/>
      </rPr>
      <t xml:space="preserve">Cloud / </t>
    </r>
    <r>
      <rPr>
        <sz val="9"/>
        <color rgb="FF000000"/>
        <rFont val="Noto Sans CJK SC"/>
        <family val="2"/>
      </rPr>
      <t xml:space="preserve">雲端</t>
    </r>
  </si>
  <si>
    <t xml:space="preserve">United States</t>
  </si>
  <si>
    <t xml:space="preserve">Cloud platform subject to Vietnam data and security review</t>
  </si>
  <si>
    <r>
      <rPr>
        <sz val="9"/>
        <color rgb="FF000000"/>
        <rFont val="微軟正黑體"/>
        <family val="0"/>
        <charset val="1"/>
      </rPr>
      <t xml:space="preserve">High / </t>
    </r>
    <r>
      <rPr>
        <sz val="9"/>
        <color rgb="FF000000"/>
        <rFont val="Noto Sans CJK SC"/>
        <family val="2"/>
      </rPr>
      <t xml:space="preserve">高</t>
    </r>
  </si>
  <si>
    <r>
      <rPr>
        <sz val="9"/>
        <color rgb="FF000000"/>
        <rFont val="微軟正黑體"/>
        <family val="0"/>
        <charset val="1"/>
      </rPr>
      <t xml:space="preserve">Due diligence / </t>
    </r>
    <r>
      <rPr>
        <sz val="9"/>
        <color rgb="FF000000"/>
        <rFont val="Noto Sans CJK SC"/>
        <family val="2"/>
      </rPr>
      <t xml:space="preserve">審查中</t>
    </r>
  </si>
  <si>
    <t xml:space="preserve">Assess Vietnam region, data transfer and key control</t>
  </si>
  <si>
    <t xml:space="preserve">P-009</t>
  </si>
  <si>
    <t xml:space="preserve">醫材整合商</t>
  </si>
  <si>
    <t xml:space="preserve">Medical device integrator</t>
  </si>
  <si>
    <r>
      <rPr>
        <sz val="9"/>
        <color rgb="FF000000"/>
        <rFont val="微軟正黑體"/>
        <family val="0"/>
        <charset val="1"/>
      </rPr>
      <t xml:space="preserve">Medical device / </t>
    </r>
    <r>
      <rPr>
        <sz val="9"/>
        <color rgb="FF000000"/>
        <rFont val="Noto Sans CJK SC"/>
        <family val="2"/>
      </rPr>
      <t xml:space="preserve">醫材</t>
    </r>
  </si>
  <si>
    <t xml:space="preserve">Equipment planning, registration, installation and lifecycle</t>
  </si>
  <si>
    <t xml:space="preserve">Separate planning neutrality from sales incentives</t>
  </si>
  <si>
    <t xml:space="preserve">P-010</t>
  </si>
  <si>
    <t xml:space="preserve">資安與隱私獨立驗證</t>
  </si>
  <si>
    <t xml:space="preserve">Cybersecurity and privacy assurance</t>
  </si>
  <si>
    <r>
      <rPr>
        <sz val="9"/>
        <color rgb="FF000000"/>
        <rFont val="微軟正黑體"/>
        <family val="0"/>
        <charset val="1"/>
      </rPr>
      <t xml:space="preserve">Independent assurance / </t>
    </r>
    <r>
      <rPr>
        <sz val="9"/>
        <color rgb="FF000000"/>
        <rFont val="Noto Sans CJK SC"/>
        <family val="2"/>
      </rPr>
      <t xml:space="preserve">獨立驗證</t>
    </r>
  </si>
  <si>
    <t xml:space="preserve">Independent threat, privacy and go-live assurance</t>
  </si>
  <si>
    <t xml:space="preserve">Define assurance scope and remediation authority</t>
  </si>
  <si>
    <t xml:space="preserve">P-011</t>
  </si>
  <si>
    <r>
      <rPr>
        <sz val="9"/>
        <color rgb="FF000000"/>
        <rFont val="Noto Sans CJK SC"/>
        <family val="2"/>
      </rPr>
      <t xml:space="preserve">財務與</t>
    </r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顧問</t>
    </r>
  </si>
  <si>
    <t xml:space="preserve">Finance and PPP advisor</t>
  </si>
  <si>
    <r>
      <rPr>
        <sz val="9"/>
        <color rgb="FF000000"/>
        <rFont val="微軟正黑體"/>
        <family val="0"/>
        <charset val="1"/>
      </rPr>
      <t xml:space="preserve">Advisor / </t>
    </r>
    <r>
      <rPr>
        <sz val="9"/>
        <color rgb="FF000000"/>
        <rFont val="Noto Sans CJK SC"/>
        <family val="2"/>
      </rPr>
      <t xml:space="preserve">顧問</t>
    </r>
  </si>
  <si>
    <t xml:space="preserve">Business case, bankability, financing and risk allocation</t>
  </si>
  <si>
    <t xml:space="preserve">Engage before selecting transaction model</t>
  </si>
  <si>
    <t xml:space="preserve">P-012</t>
  </si>
  <si>
    <t xml:space="preserve">越南法律與法規顧問</t>
  </si>
  <si>
    <t xml:space="preserve">Vietnam legal and regulatory counsel</t>
  </si>
  <si>
    <r>
      <rPr>
        <sz val="9"/>
        <color rgb="FF000000"/>
        <rFont val="微軟正黑體"/>
        <family val="0"/>
        <charset val="1"/>
      </rPr>
      <t xml:space="preserve">Legal / </t>
    </r>
    <r>
      <rPr>
        <sz val="9"/>
        <color rgb="FF000000"/>
        <rFont val="Noto Sans CJK SC"/>
        <family val="2"/>
      </rPr>
      <t xml:space="preserve">法律</t>
    </r>
  </si>
  <si>
    <t xml:space="preserve">Licensing, investment, procurement, data and contracting</t>
  </si>
  <si>
    <t xml:space="preserve">Appoint counsel with health and data expertise</t>
  </si>
  <si>
    <t xml:space="preserve">P-013</t>
  </si>
  <si>
    <r>
      <rPr>
        <sz val="9"/>
        <color rgb="FF000000"/>
        <rFont val="Noto Sans CJK SC"/>
        <family val="2"/>
      </rPr>
      <t xml:space="preserve">品質與</t>
    </r>
    <r>
      <rPr>
        <sz val="9"/>
        <color rgb="FF000000"/>
        <rFont val="微軟正黑體"/>
        <family val="0"/>
        <charset val="1"/>
      </rPr>
      <t xml:space="preserve">JCI</t>
    </r>
    <r>
      <rPr>
        <sz val="9"/>
        <color rgb="FF000000"/>
        <rFont val="Noto Sans CJK SC"/>
        <family val="2"/>
      </rPr>
      <t xml:space="preserve">顧問</t>
    </r>
  </si>
  <si>
    <t xml:space="preserve">Quality and JCI advisor</t>
  </si>
  <si>
    <r>
      <rPr>
        <sz val="9"/>
        <color rgb="FF000000"/>
        <rFont val="微軟正黑體"/>
        <family val="0"/>
        <charset val="1"/>
      </rPr>
      <t xml:space="preserve">Quality / </t>
    </r>
    <r>
      <rPr>
        <sz val="9"/>
        <color rgb="FF000000"/>
        <rFont val="Noto Sans CJK SC"/>
        <family val="2"/>
      </rPr>
      <t xml:space="preserve">品質</t>
    </r>
  </si>
  <si>
    <t xml:space="preserve">Quality system, accreditation and readiness audits</t>
  </si>
  <si>
    <t xml:space="preserve">Decide whether formal JCI accreditation is a target</t>
  </si>
  <si>
    <t xml:space="preserve">P-014</t>
  </si>
  <si>
    <r>
      <rPr>
        <sz val="9"/>
        <color rgb="FF000000"/>
        <rFont val="Noto Sans CJK SC"/>
        <family val="2"/>
      </rPr>
      <t xml:space="preserve">物流／</t>
    </r>
    <r>
      <rPr>
        <sz val="9"/>
        <color rgb="FF000000"/>
        <rFont val="微軟正黑體"/>
        <family val="0"/>
        <charset val="1"/>
      </rPr>
      <t xml:space="preserve">SPD</t>
    </r>
    <r>
      <rPr>
        <sz val="9"/>
        <color rgb="FF000000"/>
        <rFont val="Noto Sans CJK SC"/>
        <family val="2"/>
      </rPr>
      <t xml:space="preserve">與冷鏈夥伴</t>
    </r>
  </si>
  <si>
    <t xml:space="preserve">Logistics, SPD and cold-chain partner</t>
  </si>
  <si>
    <r>
      <rPr>
        <sz val="9"/>
        <color rgb="FF000000"/>
        <rFont val="微軟正黑體"/>
        <family val="0"/>
        <charset val="1"/>
      </rPr>
      <t xml:space="preserve">Logistics / </t>
    </r>
    <r>
      <rPr>
        <sz val="9"/>
        <color rgb="FF000000"/>
        <rFont val="Noto Sans CJK SC"/>
        <family val="2"/>
      </rPr>
      <t xml:space="preserve">物流</t>
    </r>
  </si>
  <si>
    <t xml:space="preserve">Local supply, warehouse, distribution and cold chain</t>
  </si>
  <si>
    <t xml:space="preserve">Map service levels and geographic coverage</t>
  </si>
  <si>
    <t xml:space="preserve">P-015</t>
  </si>
  <si>
    <t xml:space="preserve">獨立臨床與成本驗證</t>
  </si>
  <si>
    <t xml:space="preserve">Independent clinical and cost assurance</t>
  </si>
  <si>
    <t xml:space="preserve">Validate demand, design, cost and clinical readiness</t>
  </si>
  <si>
    <t xml:space="preserve">Define stage-gate assurance reports</t>
  </si>
  <si>
    <t xml:space="preserve">P-016</t>
  </si>
  <si>
    <r>
      <rPr>
        <sz val="9"/>
        <color rgb="FF000000"/>
        <rFont val="微軟正黑體"/>
        <family val="0"/>
        <charset val="1"/>
      </rPr>
      <t xml:space="preserve">PI </t>
    </r>
    <r>
      <rPr>
        <sz val="9"/>
        <color rgb="FF000000"/>
        <rFont val="Noto Sans CJK SC"/>
        <family val="2"/>
      </rPr>
      <t xml:space="preserve">計畫辦公室</t>
    </r>
  </si>
  <si>
    <t xml:space="preserve">Programme Office (PI)</t>
  </si>
  <si>
    <r>
      <rPr>
        <sz val="9"/>
        <color rgb="FF000000"/>
        <rFont val="Noto Sans CJK SC"/>
        <family val="2"/>
      </rPr>
      <t xml:space="preserve">顧問 </t>
    </r>
    <r>
      <rPr>
        <sz val="9"/>
        <color rgb="FF000000"/>
        <rFont val="微軟正黑體"/>
        <family val="0"/>
        <charset val="1"/>
      </rPr>
      <t xml:space="preserve">/ PI</t>
    </r>
  </si>
  <si>
    <t xml:space="preserve">需求、架構、階段門檻與效益驗收；維持供應商中立</t>
  </si>
  <si>
    <r>
      <rPr>
        <sz val="9"/>
        <color rgb="FF000000"/>
        <rFont val="微軟正黑體"/>
        <family val="0"/>
        <charset val="1"/>
      </rPr>
      <t xml:space="preserve">Qualified / </t>
    </r>
    <r>
      <rPr>
        <sz val="9"/>
        <color rgb="FF000000"/>
        <rFont val="Noto Sans CJK SC"/>
        <family val="2"/>
      </rPr>
      <t xml:space="preserve">已通過</t>
    </r>
  </si>
  <si>
    <t xml:space="preserve">確認人力配置與獨立性</t>
  </si>
  <si>
    <t xml:space="preserve">P-017</t>
  </si>
  <si>
    <t xml:space="preserve">越南公共事務顧問</t>
  </si>
  <si>
    <t xml:space="preserve">Vietnam public affairs advisor</t>
  </si>
  <si>
    <t xml:space="preserve">利害關係人與權力地圖、政府溝通</t>
  </si>
  <si>
    <t xml:space="preserve">確認政商往來合規性</t>
  </si>
  <si>
    <t xml:space="preserve">P-018</t>
  </si>
  <si>
    <t xml:space="preserve">越南環保與廢棄物處理商</t>
  </si>
  <si>
    <t xml:space="preserve">Vietnam environmental &amp; waste partner</t>
  </si>
  <si>
    <r>
      <rPr>
        <sz val="9"/>
        <color rgb="FF000000"/>
        <rFont val="Noto Sans CJK SC"/>
        <family val="2"/>
      </rPr>
      <t xml:space="preserve">環保 </t>
    </r>
    <r>
      <rPr>
        <sz val="9"/>
        <color rgb="FF000000"/>
        <rFont val="微軟正黑體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廢棄物</t>
    </r>
  </si>
  <si>
    <t xml:space="preserve">醫療廢棄物、水處理與環評</t>
  </si>
  <si>
    <t xml:space="preserve">確認醫療廢棄物處理許可</t>
  </si>
  <si>
    <t xml:space="preserve">P-019</t>
  </si>
  <si>
    <r>
      <rPr>
        <sz val="9"/>
        <color rgb="FF000000"/>
        <rFont val="Noto Sans CJK SC"/>
        <family val="2"/>
      </rPr>
      <t xml:space="preserve">影像設備與</t>
    </r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整合商</t>
    </r>
  </si>
  <si>
    <t xml:space="preserve">Imaging &amp; PACS integrator</t>
  </si>
  <si>
    <t xml:space="preserve">醫材</t>
  </si>
  <si>
    <r>
      <rPr>
        <sz val="9"/>
        <color rgb="FF000000"/>
        <rFont val="Noto Sans CJK SC"/>
        <family val="2"/>
      </rPr>
      <t xml:space="preserve">影像設備供應＋</t>
    </r>
    <r>
      <rPr>
        <sz val="9"/>
        <color rgb="FF000000"/>
        <rFont val="微軟正黑體"/>
        <family val="0"/>
        <charset val="1"/>
      </rPr>
      <t xml:space="preserve">PACS/RIS </t>
    </r>
    <r>
      <rPr>
        <sz val="9"/>
        <color rgb="FF000000"/>
        <rFont val="Noto Sans CJK SC"/>
        <family val="2"/>
      </rPr>
      <t xml:space="preserve">整合與報告流程</t>
    </r>
  </si>
  <si>
    <r>
      <rPr>
        <b val="true"/>
        <sz val="9"/>
        <color rgb="FFC00000"/>
        <rFont val="Noto Sans CJK SC"/>
        <family val="2"/>
      </rPr>
      <t xml:space="preserve">缺口</t>
    </r>
    <r>
      <rPr>
        <b val="true"/>
        <sz val="9"/>
        <color rgb="FFC00000"/>
        <rFont val="微軟正黑體"/>
        <family val="0"/>
        <charset val="1"/>
      </rPr>
      <t xml:space="preserve">-</t>
    </r>
    <r>
      <rPr>
        <b val="true"/>
        <sz val="9"/>
        <color rgb="FFC00000"/>
        <rFont val="Noto Sans CJK SC"/>
        <family val="2"/>
      </rPr>
      <t xml:space="preserve">待尋找</t>
    </r>
  </si>
  <si>
    <r>
      <rPr>
        <sz val="9"/>
        <color rgb="FF000000"/>
        <rFont val="Noto Sans CJK SC"/>
        <family val="2"/>
      </rPr>
      <t xml:space="preserve">★缺口：需 </t>
    </r>
    <r>
      <rPr>
        <sz val="9"/>
        <color rgb="FF000000"/>
        <rFont val="微軟正黑體"/>
        <family val="0"/>
        <charset val="1"/>
      </rPr>
      <t xml:space="preserve">DICOM/IHE </t>
    </r>
    <r>
      <rPr>
        <sz val="9"/>
        <color rgb="FF000000"/>
        <rFont val="Noto Sans CJK SC"/>
        <family val="2"/>
      </rPr>
      <t xml:space="preserve">實績與越南醫材註冊路徑</t>
    </r>
  </si>
  <si>
    <t xml:space="preserve">P-020</t>
  </si>
  <si>
    <r>
      <rPr>
        <sz val="9"/>
        <color rgb="FF000000"/>
        <rFont val="Noto Sans CJK SC"/>
        <family val="2"/>
      </rPr>
      <t xml:space="preserve">檢驗自動化與</t>
    </r>
    <r>
      <rPr>
        <sz val="9"/>
        <color rgb="FF000000"/>
        <rFont val="微軟正黑體"/>
        <family val="0"/>
        <charset val="1"/>
      </rPr>
      <t xml:space="preserve">LIS</t>
    </r>
    <r>
      <rPr>
        <sz val="9"/>
        <color rgb="FF000000"/>
        <rFont val="Noto Sans CJK SC"/>
        <family val="2"/>
      </rPr>
      <t xml:space="preserve">供應商</t>
    </r>
  </si>
  <si>
    <t xml:space="preserve">Lab automation &amp; LIS vendor</t>
  </si>
  <si>
    <r>
      <rPr>
        <sz val="9"/>
        <color rgb="FF000000"/>
        <rFont val="Noto Sans CJK SC"/>
        <family val="2"/>
      </rPr>
      <t xml:space="preserve">實驗室自動化產線與 </t>
    </r>
    <r>
      <rPr>
        <sz val="9"/>
        <color rgb="FF000000"/>
        <rFont val="微軟正黑體"/>
        <family val="0"/>
        <charset val="1"/>
      </rPr>
      <t xml:space="preserve">LIS</t>
    </r>
  </si>
  <si>
    <r>
      <rPr>
        <sz val="9"/>
        <color rgb="FF000000"/>
        <rFont val="Noto Sans CJK SC"/>
        <family val="2"/>
      </rPr>
      <t xml:space="preserve">★缺口：需 </t>
    </r>
    <r>
      <rPr>
        <sz val="9"/>
        <color rgb="FF000000"/>
        <rFont val="微軟正黑體"/>
        <family val="0"/>
        <charset val="1"/>
      </rPr>
      <t xml:space="preserve">HL7 v2/LOINC </t>
    </r>
    <r>
      <rPr>
        <sz val="9"/>
        <color rgb="FF000000"/>
        <rFont val="Noto Sans CJK SC"/>
        <family val="2"/>
      </rPr>
      <t xml:space="preserve">對接實績</t>
    </r>
  </si>
  <si>
    <t xml:space="preserve">P-021</t>
  </si>
  <si>
    <t xml:space="preserve">手術室與重症設備整合商</t>
  </si>
  <si>
    <t xml:space="preserve">OR &amp; ICU integration vendor</t>
  </si>
  <si>
    <t xml:space="preserve">手術室、麻醉、重症監視與整合</t>
  </si>
  <si>
    <r>
      <rPr>
        <sz val="9"/>
        <color rgb="FF000000"/>
        <rFont val="Noto Sans CJK SC"/>
        <family val="2"/>
      </rPr>
      <t xml:space="preserve">★缺口：需 </t>
    </r>
    <r>
      <rPr>
        <sz val="9"/>
        <color rgb="FF000000"/>
        <rFont val="微軟正黑體"/>
        <family val="0"/>
        <charset val="1"/>
      </rPr>
      <t xml:space="preserve">IEC 60601/80001 </t>
    </r>
    <r>
      <rPr>
        <sz val="9"/>
        <color rgb="FF000000"/>
        <rFont val="Noto Sans CJK SC"/>
        <family val="2"/>
      </rPr>
      <t xml:space="preserve">證明</t>
    </r>
  </si>
  <si>
    <t xml:space="preserve">P-022</t>
  </si>
  <si>
    <t xml:space="preserve">越南數位身分介接夥伴</t>
  </si>
  <si>
    <t xml:space="preserve">Vietnam digital identity partner</t>
  </si>
  <si>
    <r>
      <rPr>
        <sz val="9"/>
        <color rgb="FF000000"/>
        <rFont val="Noto Sans CJK SC"/>
        <family val="2"/>
      </rPr>
      <t xml:space="preserve">科技 </t>
    </r>
    <r>
      <rPr>
        <sz val="9"/>
        <color rgb="FF000000"/>
        <rFont val="微軟正黑體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系統整合</t>
    </r>
  </si>
  <si>
    <r>
      <rPr>
        <sz val="9"/>
        <color rgb="FF000000"/>
        <rFont val="微軟正黑體"/>
        <family val="0"/>
        <charset val="1"/>
      </rPr>
      <t xml:space="preserve">VNeID </t>
    </r>
    <r>
      <rPr>
        <sz val="9"/>
        <color rgb="FF000000"/>
        <rFont val="Noto Sans CJK SC"/>
        <family val="2"/>
      </rPr>
      <t xml:space="preserve">與主病人索引身分整合</t>
    </r>
  </si>
  <si>
    <t xml:space="preserve">★缺口：需政府平台介接資格</t>
  </si>
  <si>
    <t xml:space="preserve">P-023</t>
  </si>
  <si>
    <r>
      <rPr>
        <sz val="9"/>
        <color rgb="FF000000"/>
        <rFont val="Noto Sans CJK SC"/>
        <family val="2"/>
      </rPr>
      <t xml:space="preserve">病人</t>
    </r>
    <r>
      <rPr>
        <sz val="9"/>
        <color rgb="FF000000"/>
        <rFont val="微軟正黑體"/>
        <family val="0"/>
        <charset val="1"/>
      </rPr>
      <t xml:space="preserve">App</t>
    </r>
    <r>
      <rPr>
        <sz val="9"/>
        <color rgb="FF000000"/>
        <rFont val="Noto Sans CJK SC"/>
        <family val="2"/>
      </rPr>
      <t xml:space="preserve">與在地支付夥伴</t>
    </r>
  </si>
  <si>
    <t xml:space="preserve">Patient app &amp; local payment partner</t>
  </si>
  <si>
    <r>
      <rPr>
        <sz val="9"/>
        <color rgb="FF000000"/>
        <rFont val="Noto Sans CJK SC"/>
        <family val="2"/>
      </rPr>
      <t xml:space="preserve">支付 </t>
    </r>
    <r>
      <rPr>
        <sz val="9"/>
        <color rgb="FF000000"/>
        <rFont val="微軟正黑體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金流</t>
    </r>
  </si>
  <si>
    <t xml:space="preserve">病人入口、行動掛號、線上支付</t>
  </si>
  <si>
    <t xml:space="preserve">★缺口：需越南支付牌照與個資合規</t>
  </si>
  <si>
    <t xml:space="preserve">P-024</t>
  </si>
  <si>
    <t xml:space="preserve">越南醫護大學／人力機構</t>
  </si>
  <si>
    <t xml:space="preserve">Vietnam nursing &amp; medical university</t>
  </si>
  <si>
    <r>
      <rPr>
        <sz val="9"/>
        <color rgb="FF000000"/>
        <rFont val="Noto Sans CJK SC"/>
        <family val="2"/>
      </rPr>
      <t xml:space="preserve">教育 </t>
    </r>
    <r>
      <rPr>
        <sz val="9"/>
        <color rgb="FF000000"/>
        <rFont val="微軟正黑體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人力</t>
    </r>
  </si>
  <si>
    <t xml:space="preserve">人力供給、實習、職能訓練與認證</t>
  </si>
  <si>
    <t xml:space="preserve">★缺口：需人力供給規模與訓練量能</t>
  </si>
  <si>
    <t xml:space="preserve">P-025</t>
  </si>
  <si>
    <t xml:space="preserve">越南健保申報介接夥伴</t>
  </si>
  <si>
    <t xml:space="preserve">Vietnam social insurance (VSS) integrator</t>
  </si>
  <si>
    <t xml:space="preserve">健保申報、數位理賠與對帳</t>
  </si>
  <si>
    <r>
      <rPr>
        <sz val="9"/>
        <color rgb="FF000000"/>
        <rFont val="Noto Sans CJK SC"/>
        <family val="2"/>
      </rPr>
      <t xml:space="preserve">★缺口：需 </t>
    </r>
    <r>
      <rPr>
        <sz val="9"/>
        <color rgb="FF000000"/>
        <rFont val="微軟正黑體"/>
        <family val="0"/>
        <charset val="1"/>
      </rPr>
      <t xml:space="preserve">VSS </t>
    </r>
    <r>
      <rPr>
        <sz val="9"/>
        <color rgb="FF000000"/>
        <rFont val="Noto Sans CJK SC"/>
        <family val="2"/>
      </rPr>
      <t xml:space="preserve">實際申報介接經驗</t>
    </r>
  </si>
  <si>
    <t xml:space="preserve">P-026</t>
  </si>
  <si>
    <t xml:space="preserve">醫院收費與金流服務商</t>
  </si>
  <si>
    <t xml:space="preserve">Hospital revenue cycle &amp; payment provider</t>
  </si>
  <si>
    <t xml:space="preserve">收費、現金流、收入週期管理</t>
  </si>
  <si>
    <t xml:space="preserve">★缺口：需醫院收費系統與金流合規</t>
  </si>
  <si>
    <t xml:space="preserve">P-027</t>
  </si>
  <si>
    <t xml:space="preserve">國際醫療行銷與保險通路</t>
  </si>
  <si>
    <t xml:space="preserve">International patient &amp; insurance channel</t>
  </si>
  <si>
    <r>
      <rPr>
        <sz val="9"/>
        <color rgb="FF000000"/>
        <rFont val="Noto Sans CJK SC"/>
        <family val="2"/>
      </rPr>
      <t xml:space="preserve">行銷 </t>
    </r>
    <r>
      <rPr>
        <sz val="9"/>
        <color rgb="FF000000"/>
        <rFont val="微軟正黑體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通路</t>
    </r>
  </si>
  <si>
    <t xml:space="preserve">國際醫療客源、保險給付通路</t>
  </si>
  <si>
    <t xml:space="preserve">★缺口：需國際保險合約與客源實績</t>
  </si>
  <si>
    <t xml:space="preserve">P-028</t>
  </si>
  <si>
    <t xml:space="preserve">越南在地維修服務網</t>
  </si>
  <si>
    <t xml:space="preserve">Vietnam local service network</t>
  </si>
  <si>
    <t xml:space="preserve">備品、維修、校正與汰換</t>
  </si>
  <si>
    <t xml:space="preserve">確認覆蓋省份與回應時間</t>
  </si>
  <si>
    <t xml:space="preserve">P-029</t>
  </si>
  <si>
    <r>
      <rPr>
        <sz val="9"/>
        <color rgb="FF000000"/>
        <rFont val="Noto Sans CJK SC"/>
        <family val="2"/>
      </rPr>
      <t xml:space="preserve">智慧院區設備商（</t>
    </r>
    <r>
      <rPr>
        <sz val="9"/>
        <color rgb="FF000000"/>
        <rFont val="微軟正黑體"/>
        <family val="0"/>
        <charset val="1"/>
      </rPr>
      <t xml:space="preserve">BMS/RTLS</t>
    </r>
    <r>
      <rPr>
        <sz val="9"/>
        <color rgb="FF000000"/>
        <rFont val="Noto Sans CJK SC"/>
        <family val="2"/>
      </rPr>
      <t xml:space="preserve">）</t>
    </r>
  </si>
  <si>
    <t xml:space="preserve">Smart hospital device vendor</t>
  </si>
  <si>
    <r>
      <rPr>
        <sz val="9"/>
        <color rgb="FF000000"/>
        <rFont val="微軟正黑體"/>
        <family val="0"/>
        <charset val="1"/>
      </rPr>
      <t xml:space="preserve">BMS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RTLS</t>
    </r>
    <r>
      <rPr>
        <sz val="9"/>
        <color rgb="FF000000"/>
        <rFont val="Noto Sans CJK SC"/>
        <family val="2"/>
      </rPr>
      <t xml:space="preserve">、護理呼叫與感測</t>
    </r>
  </si>
  <si>
    <t xml:space="preserve">與群晶整合分工需先界定</t>
  </si>
  <si>
    <r>
      <rPr>
        <b val="true"/>
        <sz val="11"/>
        <color rgb="FF1F3864"/>
        <rFont val="Noto Sans CJK SC"/>
        <family val="2"/>
      </rPr>
      <t xml:space="preserve">夥伴 </t>
    </r>
    <r>
      <rPr>
        <b val="true"/>
        <sz val="11"/>
        <color rgb="FF1F3864"/>
        <rFont val="微軟正黑體"/>
        <family val="0"/>
        <charset val="1"/>
      </rPr>
      <t xml:space="preserve">× </t>
    </r>
    <r>
      <rPr>
        <b val="true"/>
        <sz val="11"/>
        <color rgb="FF1F3864"/>
        <rFont val="Noto Sans CJK SC"/>
        <family val="2"/>
      </rPr>
      <t xml:space="preserve">領域 覆蓋矩陣（拼圖視角）— 全公式，新增夥伴自動出現</t>
    </r>
  </si>
  <si>
    <t xml:space="preserve">夥伴</t>
  </si>
  <si>
    <t xml:space="preserve">D01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</si>
  <si>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</si>
  <si>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</si>
  <si>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</si>
  <si>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</si>
  <si>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</si>
  <si>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</si>
  <si>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</si>
  <si>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</si>
  <si>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</si>
  <si>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覆蓋數</t>
  </si>
  <si>
    <r>
      <rPr>
        <b val="true"/>
        <sz val="9"/>
        <color rgb="FF1F3864"/>
        <rFont val="Noto Sans CJK SC"/>
        <family val="2"/>
      </rPr>
      <t xml:space="preserve">覆蓋夥伴數 </t>
    </r>
    <r>
      <rPr>
        <b val="true"/>
        <sz val="9"/>
        <color rgb="FF1F3864"/>
        <rFont val="微軟正黑體"/>
        <family val="0"/>
        <charset val="1"/>
      </rPr>
      <t xml:space="preserve">/ </t>
    </r>
    <r>
      <rPr>
        <b val="true"/>
        <sz val="9"/>
        <color rgb="FF1F3864"/>
        <rFont val="Noto Sans CJK SC"/>
        <family val="2"/>
      </rPr>
      <t xml:space="preserve">領域</t>
    </r>
  </si>
  <si>
    <r>
      <rPr>
        <b val="true"/>
        <sz val="9"/>
        <color rgb="FFC00000"/>
        <rFont val="Noto Sans CJK SC"/>
        <family val="2"/>
      </rPr>
      <t xml:space="preserve">○ 能力缺口數 </t>
    </r>
    <r>
      <rPr>
        <b val="true"/>
        <sz val="9"/>
        <color rgb="FFC00000"/>
        <rFont val="微軟正黑體"/>
        <family val="0"/>
        <charset val="1"/>
      </rPr>
      <t xml:space="preserve">/ </t>
    </r>
    <r>
      <rPr>
        <b val="true"/>
        <sz val="9"/>
        <color rgb="FFC00000"/>
        <rFont val="Noto Sans CJK SC"/>
        <family val="2"/>
      </rPr>
      <t xml:space="preserve">領域</t>
    </r>
  </si>
  <si>
    <r>
      <rPr>
        <sz val="9"/>
        <color rgb="FF404040"/>
        <rFont val="Noto Sans CJK SC"/>
        <family val="2"/>
      </rPr>
      <t xml:space="preserve">判讀：某領域「覆蓋夥伴數」低且「能力缺口數」</t>
    </r>
    <r>
      <rPr>
        <sz val="9"/>
        <color rgb="FF404040"/>
        <rFont val="微軟正黑體"/>
        <family val="0"/>
        <charset val="1"/>
      </rPr>
      <t xml:space="preserve">&gt;0 </t>
    </r>
    <r>
      <rPr>
        <sz val="9"/>
        <color rgb="FF404040"/>
        <rFont val="Noto Sans CJK SC"/>
        <family val="2"/>
      </rPr>
      <t xml:space="preserve">＝優先補強的拼圖；詳細缺口項目見 </t>
    </r>
    <r>
      <rPr>
        <sz val="9"/>
        <color rgb="FF404040"/>
        <rFont val="微軟正黑體"/>
        <family val="0"/>
        <charset val="1"/>
      </rPr>
      <t xml:space="preserve">01</t>
    </r>
    <r>
      <rPr>
        <sz val="9"/>
        <color rgb="FF404040"/>
        <rFont val="Noto Sans CJK SC"/>
        <family val="2"/>
      </rPr>
      <t xml:space="preserve">總藍圖 紅色儲存格與 </t>
    </r>
    <r>
      <rPr>
        <sz val="9"/>
        <color rgb="FF404040"/>
        <rFont val="微軟正黑體"/>
        <family val="0"/>
        <charset val="1"/>
      </rPr>
      <t xml:space="preserve">03</t>
    </r>
    <r>
      <rPr>
        <sz val="9"/>
        <color rgb="FF404040"/>
        <rFont val="Noto Sans CJK SC"/>
        <family val="2"/>
      </rPr>
      <t xml:space="preserve">能力總表 篩選「缺口</t>
    </r>
    <r>
      <rPr>
        <sz val="9"/>
        <color rgb="FF404040"/>
        <rFont val="微軟正黑體"/>
        <family val="0"/>
        <charset val="1"/>
      </rPr>
      <t xml:space="preserve">-</t>
    </r>
    <r>
      <rPr>
        <sz val="9"/>
        <color rgb="FF404040"/>
        <rFont val="Noto Sans CJK SC"/>
        <family val="2"/>
      </rPr>
      <t xml:space="preserve">待尋找」。</t>
    </r>
  </si>
  <si>
    <r>
      <rPr>
        <b val="true"/>
        <sz val="15"/>
        <color rgb="FFFFFFFF"/>
        <rFont val="微軟正黑體"/>
        <family val="0"/>
        <charset val="1"/>
      </rPr>
      <t xml:space="preserve">05 </t>
    </r>
    <r>
      <rPr>
        <b val="true"/>
        <sz val="15"/>
        <color rgb="FFFFFFFF"/>
        <rFont val="Noto Sans CJK SC"/>
        <family val="2"/>
      </rPr>
      <t xml:space="preserve">法規門檻｜</t>
    </r>
    <r>
      <rPr>
        <b val="true"/>
        <sz val="15"/>
        <color rgb="FFFFFFFF"/>
        <rFont val="微軟正黑體"/>
        <family val="0"/>
        <charset val="1"/>
      </rPr>
      <t xml:space="preserve">Regulations &amp; Standards</t>
    </r>
    <r>
      <rPr>
        <b val="true"/>
        <sz val="15"/>
        <color rgb="FFFFFFFF"/>
        <rFont val="Noto Sans CJK SC"/>
        <family val="2"/>
      </rPr>
      <t xml:space="preserve">（</t>
    </r>
    <r>
      <rPr>
        <b val="true"/>
        <sz val="15"/>
        <color rgb="FFFFFFFF"/>
        <rFont val="微軟正黑體"/>
        <family val="0"/>
        <charset val="1"/>
      </rPr>
      <t xml:space="preserve">B</t>
    </r>
    <r>
      <rPr>
        <b val="true"/>
        <sz val="15"/>
        <color rgb="FFFFFFFF"/>
        <rFont val="Noto Sans CJK SC"/>
        <family val="2"/>
      </rPr>
      <t xml:space="preserve">軸：每階段的合格門檻）</t>
    </r>
  </si>
  <si>
    <r>
      <rPr>
        <i val="true"/>
        <sz val="9.5"/>
        <color rgb="FF404040"/>
        <rFont val="Noto Sans CJK SC"/>
        <family val="2"/>
      </rPr>
      <t xml:space="preserve">❓ 這頁在回答：這個階段的越南法規，過了沒？　　▸ 越南強制法規優先；●＝該標準在該階段（</t>
    </r>
    <r>
      <rPr>
        <i val="true"/>
        <sz val="9.5"/>
        <color rgb="FF404040"/>
        <rFont val="微軟正黑體"/>
        <family val="0"/>
        <charset val="1"/>
      </rPr>
      <t xml:space="preserve">G0-G6</t>
    </r>
    <r>
      <rPr>
        <i val="true"/>
        <sz val="9.5"/>
        <color rgb="FF404040"/>
        <rFont val="Noto Sans CJK SC"/>
        <family val="2"/>
      </rPr>
      <t xml:space="preserve">）為門檻</t>
    </r>
    <r>
      <rPr>
        <i val="true"/>
        <sz val="9.5"/>
        <color rgb="FF404040"/>
        <rFont val="微軟正黑體"/>
        <family val="0"/>
        <charset val="1"/>
      </rPr>
      <t xml:space="preserve">/</t>
    </r>
    <r>
      <rPr>
        <i val="true"/>
        <sz val="9.5"/>
        <color rgb="FF404040"/>
        <rFont val="Noto Sans CJK SC"/>
        <family val="2"/>
      </rPr>
      <t xml:space="preserve">適用。狀態</t>
    </r>
    <r>
      <rPr>
        <i val="true"/>
        <sz val="9.5"/>
        <color rgb="FF404040"/>
        <rFont val="微軟正黑體"/>
        <family val="0"/>
        <charset val="1"/>
      </rPr>
      <t xml:space="preserve">=</t>
    </r>
    <r>
      <rPr>
        <i val="true"/>
        <sz val="9.5"/>
        <color rgb="FF404040"/>
        <rFont val="Noto Sans CJK SC"/>
        <family val="2"/>
      </rPr>
      <t xml:space="preserve">待確認者，於</t>
    </r>
    <r>
      <rPr>
        <i val="true"/>
        <sz val="9.5"/>
        <color rgb="FF404040"/>
        <rFont val="微軟正黑體"/>
        <family val="0"/>
        <charset val="1"/>
      </rPr>
      <t xml:space="preserve">01</t>
    </r>
    <r>
      <rPr>
        <i val="true"/>
        <sz val="9.5"/>
        <color rgb="FF404040"/>
        <rFont val="Noto Sans CJK SC"/>
        <family val="2"/>
      </rPr>
      <t xml:space="preserve">總藍圖之門檻列自動加總示警。</t>
    </r>
  </si>
  <si>
    <r>
      <rPr>
        <b val="true"/>
        <sz val="10"/>
        <color rgb="FFFFFFFF"/>
        <rFont val="Noto Sans CJK SC"/>
        <family val="2"/>
      </rPr>
      <t xml:space="preserve">標準 </t>
    </r>
    <r>
      <rPr>
        <b val="true"/>
        <sz val="10"/>
        <color rgb="FFFFFFFF"/>
        <rFont val="微軟正黑體"/>
        <family val="0"/>
        <charset val="1"/>
      </rPr>
      <t xml:space="preserve">ID</t>
    </r>
  </si>
  <si>
    <t xml:space="preserve">類別</t>
  </si>
  <si>
    <r>
      <rPr>
        <b val="true"/>
        <sz val="10"/>
        <color rgb="FFFFFFFF"/>
        <rFont val="Noto Sans CJK SC"/>
        <family val="2"/>
      </rPr>
      <t xml:space="preserve">要求</t>
    </r>
    <r>
      <rPr>
        <b val="true"/>
        <sz val="10"/>
        <color rgb="FFFFFFFF"/>
        <rFont val="微軟正黑體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標準 </t>
    </r>
    <r>
      <rPr>
        <b val="true"/>
        <sz val="10"/>
        <color rgb="FFFFFFFF"/>
        <rFont val="微軟正黑體"/>
        <family val="0"/>
        <charset val="1"/>
      </rPr>
      <t xml:space="preserve">Requirement</t>
    </r>
  </si>
  <si>
    <t xml:space="preserve">主管機關</t>
  </si>
  <si>
    <r>
      <rPr>
        <b val="true"/>
        <sz val="10"/>
        <color rgb="FFFFFFFF"/>
        <rFont val="Noto Sans CJK SC"/>
        <family val="2"/>
      </rPr>
      <t xml:space="preserve">層級
</t>
    </r>
    <r>
      <rPr>
        <b val="true"/>
        <sz val="10"/>
        <color rgb="FFFFFFFF"/>
        <rFont val="微軟正黑體"/>
        <family val="0"/>
        <charset val="1"/>
      </rPr>
      <t xml:space="preserve">Level</t>
    </r>
  </si>
  <si>
    <r>
      <rPr>
        <b val="true"/>
        <sz val="10"/>
        <color rgb="FFFFFFFF"/>
        <rFont val="Noto Sans CJK SC"/>
        <family val="2"/>
      </rPr>
      <t xml:space="preserve">狀態
</t>
    </r>
    <r>
      <rPr>
        <b val="true"/>
        <sz val="10"/>
        <color rgb="FFFFFFFF"/>
        <rFont val="微軟正黑體"/>
        <family val="0"/>
        <charset val="1"/>
      </rPr>
      <t xml:space="preserve">Status</t>
    </r>
  </si>
  <si>
    <t xml:space="preserve">負責人</t>
  </si>
  <si>
    <r>
      <rPr>
        <b val="true"/>
        <sz val="10"/>
        <color rgb="FFFFFFFF"/>
        <rFont val="Noto Sans CJK SC"/>
        <family val="2"/>
      </rPr>
      <t xml:space="preserve">來源 </t>
    </r>
    <r>
      <rPr>
        <b val="true"/>
        <sz val="10"/>
        <color rgb="FFFFFFFF"/>
        <rFont val="微軟正黑體"/>
        <family val="0"/>
        <charset val="1"/>
      </rPr>
      <t xml:space="preserve">URL</t>
    </r>
  </si>
  <si>
    <t xml:space="preserve">備註</t>
  </si>
  <si>
    <t xml:space="preserve">越南法規</t>
  </si>
  <si>
    <t xml:space="preserve">Law on Medical Examination and Treatment No.15/2023/QH15</t>
  </si>
  <si>
    <t xml:space="preserve">National Assembly</t>
  </si>
  <si>
    <t xml:space="preserve">強制</t>
  </si>
  <si>
    <t xml:space="preserve">●</t>
  </si>
  <si>
    <t xml:space="preserve">https://english.luatvietnam.vn/law-on-medical-examination-and-treatment-no-15-2023-qh15-242305-doc1.html</t>
  </si>
  <si>
    <t xml:space="preserve">Legal verification required</t>
  </si>
  <si>
    <t xml:space="preserve">Decree 96/2023/ND-CP implementing the Medical Examination and Treatment Law</t>
  </si>
  <si>
    <t xml:space="preserve">Government</t>
  </si>
  <si>
    <t xml:space="preserve">https://english.luatvietnam.vn/y-te/decree-96-2023-nd-cp-detailing-the-law-on-medical-examination-and-treatment-288711-d1.html</t>
  </si>
  <si>
    <t xml:space="preserve">Confirm official Vietnamese text</t>
  </si>
  <si>
    <t xml:space="preserve">VN-EMR-13</t>
  </si>
  <si>
    <t xml:space="preserve">Circular 13/2025/TT-BYT on electronic medical records</t>
  </si>
  <si>
    <t xml:space="preserve">Ministry of Health</t>
  </si>
  <si>
    <t xml:space="preserve">Health IT + Legal</t>
  </si>
  <si>
    <t xml:space="preserve">https://moh.gov.vn/thong-tin-chi-dao-dieu-hanh/-/asset_publisher/DOHhlnDN87WZ/content/huong-dan-moi-nhat-trien-khai-ho-so-benh-an-ien-tu?inheritRedirect=false</t>
  </si>
  <si>
    <t xml:space="preserve">Current implementation status must be checked</t>
  </si>
  <si>
    <t xml:space="preserve">VN-MD-98</t>
  </si>
  <si>
    <t xml:space="preserve">Decree 98/2021 and amendments on medical device management</t>
  </si>
  <si>
    <t xml:space="preserve">Device Regulatory Lead</t>
  </si>
  <si>
    <t xml:space="preserve">https://moh.gov.vn/thong-tin-chi-dao-dieu-hanh/-/asset_publisher/DOHhlnDN87WZ/content/van-ban-hop-nhat-quy-inh-ve-phan-loai-thiet-bi-y-te</t>
  </si>
  <si>
    <t xml:space="preserve">Product-by-product verification</t>
  </si>
  <si>
    <t xml:space="preserve">VN-PDP-91</t>
  </si>
  <si>
    <r>
      <rPr>
        <sz val="9"/>
        <color rgb="FF000000"/>
        <rFont val="微軟正黑體"/>
        <family val="0"/>
        <charset val="1"/>
      </rPr>
      <t xml:space="preserve">PDPL — Law on Personal Data Protection No.91/2025/QH15 + Decree 356/2025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2026/1/1</t>
    </r>
    <r>
      <rPr>
        <sz val="9"/>
        <color rgb="FF000000"/>
        <rFont val="Noto Sans CJK SC"/>
        <family val="2"/>
      </rPr>
      <t xml:space="preserve">生效，取代 </t>
    </r>
    <r>
      <rPr>
        <sz val="9"/>
        <color rgb="FF000000"/>
        <rFont val="微軟正黑體"/>
        <family val="0"/>
        <charset val="1"/>
      </rPr>
      <t xml:space="preserve">Decree 13/2023</t>
    </r>
    <r>
      <rPr>
        <sz val="9"/>
        <color rgb="FF000000"/>
        <rFont val="Noto Sans CJK SC"/>
        <family val="2"/>
      </rPr>
      <t xml:space="preserve">）</t>
    </r>
  </si>
  <si>
    <t xml:space="preserve">Privacy Lead</t>
  </si>
  <si>
    <t xml:space="preserve">https://english.luatvietnam.vn/</t>
  </si>
  <si>
    <r>
      <rPr>
        <sz val="9"/>
        <color rgb="FF000000"/>
        <rFont val="Noto Sans CJK SC"/>
        <family val="2"/>
      </rPr>
      <t xml:space="preserve">病歷列敏感資料；外洩</t>
    </r>
    <r>
      <rPr>
        <sz val="9"/>
        <color rgb="FF000000"/>
        <rFont val="微軟正黑體"/>
        <family val="0"/>
        <charset val="1"/>
      </rPr>
      <t xml:space="preserve">72</t>
    </r>
    <r>
      <rPr>
        <sz val="9"/>
        <color rgb="FF000000"/>
        <rFont val="Noto Sans CJK SC"/>
        <family val="2"/>
      </rPr>
      <t xml:space="preserve">小時通報；跨境傳輸影響評估</t>
    </r>
    <r>
      <rPr>
        <sz val="9"/>
        <color rgb="FF000000"/>
        <rFont val="微軟正黑體"/>
        <family val="0"/>
        <charset val="1"/>
      </rPr>
      <t xml:space="preserve">60</t>
    </r>
    <r>
      <rPr>
        <sz val="9"/>
        <color rgb="FF000000"/>
        <rFont val="Noto Sans CJK SC"/>
        <family val="2"/>
      </rPr>
      <t xml:space="preserve">日內報公安部</t>
    </r>
  </si>
  <si>
    <t xml:space="preserve">VN-DATA-60</t>
  </si>
  <si>
    <t xml:space="preserve">Law on Data No.60/2024/QH15</t>
  </si>
  <si>
    <t xml:space="preserve">https://english.luatvietnam.vn/thong-tin/law-on-data-2024-no-60-2024-qh15-380165-d1.html</t>
  </si>
  <si>
    <t xml:space="preserve">Confirm implementing decrees</t>
  </si>
  <si>
    <t xml:space="preserve">VN-CYBER-53</t>
  </si>
  <si>
    <t xml:space="preserve">Decree 53/2022/ND-CP implementing Cybersecurity Law</t>
  </si>
  <si>
    <t xml:space="preserve">CISO + Legal</t>
  </si>
  <si>
    <t xml:space="preserve">https://mst.gov.vn/van-ban-phap-luat/24998.htm</t>
  </si>
  <si>
    <t xml:space="preserve">Scope depends on service model</t>
  </si>
  <si>
    <r>
      <rPr>
        <sz val="9"/>
        <color rgb="FF000000"/>
        <rFont val="微軟正黑體"/>
        <family val="0"/>
        <charset val="1"/>
      </rPr>
      <t xml:space="preserve">WHO</t>
    </r>
    <r>
      <rPr>
        <sz val="9"/>
        <color rgb="FF000000"/>
        <rFont val="Noto Sans CJK SC"/>
        <family val="2"/>
      </rPr>
      <t xml:space="preserve">指引</t>
    </r>
  </si>
  <si>
    <t xml:space="preserve">Digital Implementation Investment Guide</t>
  </si>
  <si>
    <t xml:space="preserve">WHO</t>
  </si>
  <si>
    <t xml:space="preserve">參考</t>
  </si>
  <si>
    <t xml:space="preserve">通過</t>
  </si>
  <si>
    <t xml:space="preserve">https://www.who.int/publications/i/item/9789240010567</t>
  </si>
  <si>
    <t xml:space="preserve">Core planning method</t>
  </si>
  <si>
    <t xml:space="preserve">WHO-DHP</t>
  </si>
  <si>
    <r>
      <rPr>
        <sz val="9"/>
        <color rgb="FF000000"/>
        <rFont val="微軟正黑體"/>
        <family val="0"/>
        <charset val="1"/>
      </rPr>
      <t xml:space="preserve">WHO/ITU</t>
    </r>
    <r>
      <rPr>
        <sz val="9"/>
        <color rgb="FF000000"/>
        <rFont val="Noto Sans CJK SC"/>
        <family val="2"/>
      </rPr>
      <t xml:space="preserve">指引</t>
    </r>
  </si>
  <si>
    <t xml:space="preserve">Digital Health Platform Handbook</t>
  </si>
  <si>
    <t xml:space="preserve">WHO &amp; ITU</t>
  </si>
  <si>
    <t xml:space="preserve">Enterprise Architect</t>
  </si>
  <si>
    <t xml:space="preserve">https://www.who.int/publications/i/item/9789240013728</t>
  </si>
  <si>
    <t xml:space="preserve">Architecture reference</t>
  </si>
  <si>
    <t xml:space="preserve">Hospitals in Viet Nam: system role and performance challenges</t>
  </si>
  <si>
    <t xml:space="preserve">WHO Viet Nam</t>
  </si>
  <si>
    <t xml:space="preserve">https://www.who.int/vietnam/health-topics/hospitals</t>
  </si>
  <si>
    <t xml:space="preserve">Country context</t>
  </si>
  <si>
    <t xml:space="preserve">Climate-resilient and environmentally sustainable health care</t>
  </si>
  <si>
    <t xml:space="preserve">https://www.who.int/australia/news/feature-stories/detail/climate-resilience-and-sustainability-for-safer-health-care-in-viet-nam</t>
  </si>
  <si>
    <t xml:space="preserve">Adapt to local hazards</t>
  </si>
  <si>
    <t xml:space="preserve">WHO-IPC</t>
  </si>
  <si>
    <t xml:space="preserve">Infection prevention and control core components</t>
  </si>
  <si>
    <t xml:space="preserve">https://www.who.int/teams/integrated-health-services/infection-prevention-control/core-components</t>
  </si>
  <si>
    <t xml:space="preserve">Select current technical guidance</t>
  </si>
  <si>
    <t xml:space="preserve">Digital transformation handbook for health supply chain architecture</t>
  </si>
  <si>
    <t xml:space="preserve">https://www.who.int/publications/i/item/9789240101197</t>
  </si>
  <si>
    <t xml:space="preserve">Use for pharmacy and consumables</t>
  </si>
  <si>
    <t xml:space="preserve">認證</t>
  </si>
  <si>
    <t xml:space="preserve">JCI Hospital Accreditation Standards</t>
  </si>
  <si>
    <t xml:space="preserve">Joint Commission International</t>
  </si>
  <si>
    <t xml:space="preserve">契約</t>
  </si>
  <si>
    <t xml:space="preserve">https://www.jointcommission.org/en/accreditation/hospital?sc_lang=en</t>
  </si>
  <si>
    <t xml:space="preserve">Confirm target edition and accreditation intent</t>
  </si>
  <si>
    <t xml:space="preserve">HIMSS-EMRAM</t>
  </si>
  <si>
    <t xml:space="preserve">成熟度</t>
  </si>
  <si>
    <t xml:space="preserve">Electronic Medical Record Adoption Model</t>
  </si>
  <si>
    <t xml:space="preserve">HIMSS</t>
  </si>
  <si>
    <t xml:space="preserve">CMIO / Health IT</t>
  </si>
  <si>
    <t xml:space="preserve">https://www.himss.org/maturity-models/emram/</t>
  </si>
  <si>
    <t xml:space="preserve">Licensed assessment may be required</t>
  </si>
  <si>
    <t xml:space="preserve">Infrastructure Adoption Model</t>
  </si>
  <si>
    <t xml:space="preserve">https://www.himss.org/news-center/himss-launches-modernized-infrastructure-adoption-model-support-global-digital-health/</t>
  </si>
  <si>
    <r>
      <rPr>
        <sz val="9"/>
        <color rgb="FF000000"/>
        <rFont val="微軟正黑體"/>
        <family val="0"/>
        <charset val="1"/>
      </rPr>
      <t xml:space="preserve">Useful for </t>
    </r>
    <r>
      <rPr>
        <sz val="9"/>
        <color rgb="FF000000"/>
        <rFont val="Noto Sans CJK SC"/>
        <family val="2"/>
      </rPr>
      <t xml:space="preserve">群晶 </t>
    </r>
    <r>
      <rPr>
        <sz val="9"/>
        <color rgb="FF000000"/>
        <rFont val="微軟正黑體"/>
        <family val="0"/>
        <charset val="1"/>
      </rPr>
      <t xml:space="preserve">workstream</t>
    </r>
  </si>
  <si>
    <t xml:space="preserve">HL7-FHIR</t>
  </si>
  <si>
    <t xml:space="preserve">HL7 FHIR</t>
  </si>
  <si>
    <t xml:space="preserve">HL7 International</t>
  </si>
  <si>
    <t xml:space="preserve">設計</t>
  </si>
  <si>
    <t xml:space="preserve">https://fhir.hl7.org/fhir/overview.html</t>
  </si>
  <si>
    <t xml:space="preserve">Define Vietnam implementation profiles</t>
  </si>
  <si>
    <t xml:space="preserve">HL7-V2</t>
  </si>
  <si>
    <t xml:space="preserve">HL7 Version 2 messaging</t>
  </si>
  <si>
    <t xml:space="preserve">https://www.hl7.org/implement/standards/product_brief.cfm?product_id=185</t>
  </si>
  <si>
    <t xml:space="preserve">Needed for legacy and device integration</t>
  </si>
  <si>
    <t xml:space="preserve">DICOM</t>
  </si>
  <si>
    <t xml:space="preserve">DICOM standard</t>
  </si>
  <si>
    <t xml:space="preserve">DICOM Standards Committee</t>
  </si>
  <si>
    <t xml:space="preserve">https://www.dicomstandard.org/</t>
  </si>
  <si>
    <t xml:space="preserve">Use with IHE profiles</t>
  </si>
  <si>
    <t xml:space="preserve">IHE</t>
  </si>
  <si>
    <t xml:space="preserve">IHE integration profiles</t>
  </si>
  <si>
    <t xml:space="preserve">IHE International</t>
  </si>
  <si>
    <t xml:space="preserve">https://www.ihe.net/resources/profiles/</t>
  </si>
  <si>
    <t xml:space="preserve">Choose profiles by use case</t>
  </si>
  <si>
    <t xml:space="preserve">ICD</t>
  </si>
  <si>
    <t xml:space="preserve">術語</t>
  </si>
  <si>
    <t xml:space="preserve">WHO ICD classifications</t>
  </si>
  <si>
    <t xml:space="preserve">依用途</t>
  </si>
  <si>
    <t xml:space="preserve">https://www.who.int/standards/classifications/classification-of-diseases</t>
  </si>
  <si>
    <t xml:space="preserve">Confirm Vietnam-required version</t>
  </si>
  <si>
    <t xml:space="preserve">LOINC</t>
  </si>
  <si>
    <t xml:space="preserve">Regenstrief Institute</t>
  </si>
  <si>
    <t xml:space="preserve">Lab + Data Lead</t>
  </si>
  <si>
    <t xml:space="preserve">https://loinc.org/</t>
  </si>
  <si>
    <t xml:space="preserve">Licensing and localization review</t>
  </si>
  <si>
    <t xml:space="preserve">SNOMED</t>
  </si>
  <si>
    <t xml:space="preserve">SNOMED CT</t>
  </si>
  <si>
    <t xml:space="preserve">SNOMED International</t>
  </si>
  <si>
    <t xml:space="preserve">https://www.snomed.org/</t>
  </si>
  <si>
    <t xml:space="preserve">Confirm Vietnam membership/licensing</t>
  </si>
  <si>
    <t xml:space="preserve">資安</t>
  </si>
  <si>
    <t xml:space="preserve">ISO/IEC 27001</t>
  </si>
  <si>
    <t xml:space="preserve">ISO/IEC</t>
  </si>
  <si>
    <t xml:space="preserve">CISO</t>
  </si>
  <si>
    <t xml:space="preserve">https://www.iso.org/standard/27001</t>
  </si>
  <si>
    <t xml:space="preserve">Certification scope to be defined</t>
  </si>
  <si>
    <t xml:space="preserve">ISO-27799</t>
  </si>
  <si>
    <t xml:space="preserve">ISO 27799 Health informatics — information security</t>
  </si>
  <si>
    <t xml:space="preserve">ISO</t>
  </si>
  <si>
    <t xml:space="preserve">https://www.iso.org/standard/62777.html</t>
  </si>
  <si>
    <t xml:space="preserve">Check current edition</t>
  </si>
  <si>
    <t xml:space="preserve">持續營運</t>
  </si>
  <si>
    <t xml:space="preserve">ISO 22301 Business continuity</t>
  </si>
  <si>
    <t xml:space="preserve">https://www.iso.org/standard/75106.html</t>
  </si>
  <si>
    <t xml:space="preserve">Apply to hospital-wide continuity</t>
  </si>
  <si>
    <r>
      <rPr>
        <sz val="9"/>
        <color rgb="FF000000"/>
        <rFont val="Noto Sans CJK SC"/>
        <family val="2"/>
      </rPr>
      <t xml:space="preserve">醫療</t>
    </r>
    <r>
      <rPr>
        <sz val="9"/>
        <color rgb="FF000000"/>
        <rFont val="微軟正黑體"/>
        <family val="0"/>
        <charset val="1"/>
      </rPr>
      <t xml:space="preserve">IT</t>
    </r>
    <r>
      <rPr>
        <sz val="9"/>
        <color rgb="FF000000"/>
        <rFont val="Noto Sans CJK SC"/>
        <family val="2"/>
      </rPr>
      <t xml:space="preserve">風險</t>
    </r>
  </si>
  <si>
    <t xml:space="preserve">IEC 80001-1</t>
  </si>
  <si>
    <t xml:space="preserve">IEC</t>
  </si>
  <si>
    <t xml:space="preserve">Clinical Engineering + CISO</t>
  </si>
  <si>
    <t xml:space="preserve">https://www.iso.org/standard/72026.html</t>
  </si>
  <si>
    <t xml:space="preserve">Verify current publication</t>
  </si>
  <si>
    <t xml:space="preserve">醫材品質</t>
  </si>
  <si>
    <t xml:space="preserve">ISO 13485</t>
  </si>
  <si>
    <t xml:space="preserve">供應商</t>
  </si>
  <si>
    <t xml:space="preserve">https://www.iso.org/standard/59752.html</t>
  </si>
  <si>
    <t xml:space="preserve">Supplier evidence</t>
  </si>
  <si>
    <t xml:space="preserve">ISO-14971</t>
  </si>
  <si>
    <t xml:space="preserve">醫材風險</t>
  </si>
  <si>
    <t xml:space="preserve">ISO 14971</t>
  </si>
  <si>
    <t xml:space="preserve">Clinical Engineering</t>
  </si>
  <si>
    <t xml:space="preserve">https://www.iso.org/standard/72704.html</t>
  </si>
  <si>
    <t xml:space="preserve">Supplier and integration evidence</t>
  </si>
  <si>
    <t xml:space="preserve">IEC-60601</t>
  </si>
  <si>
    <t xml:space="preserve">醫電安全</t>
  </si>
  <si>
    <t xml:space="preserve">IEC 60601 series</t>
  </si>
  <si>
    <t xml:space="preserve">https://www.iec.ch/medical-equipment</t>
  </si>
  <si>
    <t xml:space="preserve">Product-specific evidence</t>
  </si>
  <si>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指引</t>
    </r>
  </si>
  <si>
    <t xml:space="preserve">Public-Private Partnerships for Health in Vietnam: Issues and Options</t>
  </si>
  <si>
    <t xml:space="preserve">World Bank</t>
  </si>
  <si>
    <t xml:space="preserve">https://ppp.worldbank.org/library/public-private-partnerships-health-vietnam-issues-and-options</t>
  </si>
  <si>
    <t xml:space="preserve">Avoid assuming fully integrated PPP</t>
  </si>
  <si>
    <t xml:space="preserve">NHS-GDE</t>
  </si>
  <si>
    <t xml:space="preserve">複製模式</t>
  </si>
  <si>
    <t xml:space="preserve">Global Digital Exemplar Blueprints</t>
  </si>
  <si>
    <t xml:space="preserve">NHS England</t>
  </si>
  <si>
    <t xml:space="preserve">https://www.england.nhs.uk/digitaltechnology/connecteddigitalsystems/exemplars/gde-blueprints/</t>
  </si>
  <si>
    <t xml:space="preserve">Adapt, do not copy blindly</t>
  </si>
  <si>
    <t xml:space="preserve">VN-PPP-71</t>
  </si>
  <si>
    <r>
      <rPr>
        <sz val="9"/>
        <color rgb="FF000000"/>
        <rFont val="微軟正黑體"/>
        <family val="0"/>
        <charset val="1"/>
      </rPr>
      <t xml:space="preserve">Nghị định 243/2025/NĐ-CP on PPP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2025-09-11</t>
    </r>
    <r>
      <rPr>
        <sz val="9"/>
        <color rgb="FF000000"/>
        <rFont val="Noto Sans CJK SC"/>
        <family val="2"/>
      </rPr>
      <t xml:space="preserve">生效，第</t>
    </r>
    <r>
      <rPr>
        <sz val="9"/>
        <color rgb="FF000000"/>
        <rFont val="微軟正黑體"/>
        <family val="0"/>
        <charset val="1"/>
      </rPr>
      <t xml:space="preserve">81</t>
    </r>
    <r>
      <rPr>
        <sz val="9"/>
        <color rgb="FF000000"/>
        <rFont val="Noto Sans CJK SC"/>
        <family val="2"/>
      </rPr>
      <t xml:space="preserve">條全部廢止 </t>
    </r>
    <r>
      <rPr>
        <sz val="9"/>
        <color rgb="FF000000"/>
        <rFont val="微軟正黑體"/>
        <family val="0"/>
        <charset val="1"/>
      </rPr>
      <t xml:space="preserve">Decree 71/2025</t>
    </r>
    <r>
      <rPr>
        <sz val="9"/>
        <color rgb="FF000000"/>
        <rFont val="Noto Sans CJK SC"/>
        <family val="2"/>
      </rPr>
      <t xml:space="preserve">）</t>
    </r>
  </si>
  <si>
    <t xml:space="preserve">PPP Advisor + Legal</t>
  </si>
  <si>
    <r>
      <rPr>
        <sz val="9"/>
        <color rgb="FF000000"/>
        <rFont val="Noto Sans CJK SC"/>
        <family val="2"/>
      </rPr>
      <t xml:space="preserve">全國健康</t>
    </r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僅</t>
    </r>
    <r>
      <rPr>
        <sz val="9"/>
        <color rgb="FF000000"/>
        <rFont val="微軟正黑體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案（安沛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峴港），先行者需自建先例；</t>
    </r>
    <r>
      <rPr>
        <sz val="9"/>
        <color rgb="FF000000"/>
        <rFont val="微軟正黑體"/>
        <family val="0"/>
        <charset val="1"/>
      </rPr>
      <t xml:space="preserve">OPP-01</t>
    </r>
    <r>
      <rPr>
        <sz val="9"/>
        <color rgb="FF000000"/>
        <rFont val="Noto Sans CJK SC"/>
        <family val="2"/>
      </rPr>
      <t xml:space="preserve">的立案依據</t>
    </r>
  </si>
  <si>
    <t xml:space="preserve">VN-ERX-26</t>
  </si>
  <si>
    <r>
      <rPr>
        <sz val="9"/>
        <color rgb="FF000000"/>
        <rFont val="微軟正黑體"/>
        <family val="0"/>
        <charset val="1"/>
      </rPr>
      <t xml:space="preserve">Circular 26/2025/TT-BYT on electronic prescriptions</t>
    </r>
    <r>
      <rPr>
        <sz val="9"/>
        <color rgb="FF000000"/>
        <rFont val="Noto Sans CJK SC"/>
        <family val="2"/>
      </rPr>
      <t xml:space="preserve">（電子處方強制）</t>
    </r>
  </si>
  <si>
    <t xml:space="preserve">https://moh.gov.vn/</t>
  </si>
  <si>
    <r>
      <rPr>
        <sz val="9"/>
        <color rgb="FF000000"/>
        <rFont val="Noto Sans CJK SC"/>
        <family val="2"/>
      </rPr>
      <t xml:space="preserve">醫院</t>
    </r>
    <r>
      <rPr>
        <sz val="9"/>
        <color rgb="FF000000"/>
        <rFont val="微軟正黑體"/>
        <family val="0"/>
        <charset val="1"/>
      </rPr>
      <t xml:space="preserve">2025/10/1</t>
    </r>
    <r>
      <rPr>
        <sz val="9"/>
        <color rgb="FF000000"/>
        <rFont val="Noto Sans CJK SC"/>
        <family val="2"/>
      </rPr>
      <t xml:space="preserve">、其他機構</t>
    </r>
    <r>
      <rPr>
        <sz val="9"/>
        <color rgb="FF000000"/>
        <rFont val="微軟正黑體"/>
        <family val="0"/>
        <charset val="1"/>
      </rPr>
      <t xml:space="preserve">2026/1/1</t>
    </r>
    <r>
      <rPr>
        <sz val="9"/>
        <color rgb="FF000000"/>
        <rFont val="Noto Sans CJK SC"/>
        <family val="2"/>
      </rPr>
      <t xml:space="preserve">起強制；</t>
    </r>
    <r>
      <rPr>
        <sz val="9"/>
        <color rgb="FF000000"/>
        <rFont val="微軟正黑體"/>
        <family val="0"/>
        <charset val="1"/>
      </rPr>
      <t xml:space="preserve">OPP-41</t>
    </r>
    <r>
      <rPr>
        <sz val="9"/>
        <color rgb="FF000000"/>
        <rFont val="Noto Sans CJK SC"/>
        <family val="2"/>
      </rPr>
      <t xml:space="preserve">依據</t>
    </r>
  </si>
  <si>
    <t xml:space="preserve">VN-AI-134</t>
  </si>
  <si>
    <r>
      <rPr>
        <sz val="9"/>
        <color rgb="FF000000"/>
        <rFont val="微軟正黑體"/>
        <family val="0"/>
        <charset val="1"/>
      </rPr>
      <t xml:space="preserve">Law on Artificial Intelligence No.134/2025</t>
    </r>
    <r>
      <rPr>
        <sz val="9"/>
        <color rgb="FF000000"/>
        <rFont val="Noto Sans CJK SC"/>
        <family val="2"/>
      </rPr>
      <t xml:space="preserve">（醫療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列高風險）</t>
    </r>
  </si>
  <si>
    <t xml:space="preserve">Regulatory + Health IT</t>
  </si>
  <si>
    <r>
      <rPr>
        <sz val="9"/>
        <color rgb="FF000000"/>
        <rFont val="微軟正黑體"/>
        <family val="0"/>
        <charset val="1"/>
      </rPr>
      <t xml:space="preserve">2026/3/1</t>
    </r>
    <r>
      <rPr>
        <sz val="9"/>
        <color rgb="FF000000"/>
        <rFont val="Noto Sans CJK SC"/>
        <family val="2"/>
      </rPr>
      <t xml:space="preserve">生效；高風險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須登記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留存紀錄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在地法律代表；既有系統</t>
    </r>
    <r>
      <rPr>
        <sz val="9"/>
        <color rgb="FF000000"/>
        <rFont val="微軟正黑體"/>
        <family val="0"/>
        <charset val="1"/>
      </rPr>
      <t xml:space="preserve">2027/9/1</t>
    </r>
    <r>
      <rPr>
        <sz val="9"/>
        <color rgb="FF000000"/>
        <rFont val="Noto Sans CJK SC"/>
        <family val="2"/>
      </rPr>
      <t xml:space="preserve">前補件；</t>
    </r>
    <r>
      <rPr>
        <sz val="9"/>
        <color rgb="FF000000"/>
        <rFont val="微軟正黑體"/>
        <family val="0"/>
        <charset val="1"/>
      </rPr>
      <t xml:space="preserve">17</t>
    </r>
    <r>
      <rPr>
        <sz val="9"/>
        <color rgb="FF000000"/>
        <rFont val="Noto Sans CJK SC"/>
        <family val="2"/>
      </rPr>
      <t xml:space="preserve">個</t>
    </r>
    <r>
      <rPr>
        <sz val="9"/>
        <color rgb="FF000000"/>
        <rFont val="微軟正黑體"/>
        <family val="0"/>
        <charset val="1"/>
      </rPr>
      <t xml:space="preserve">F</t>
    </r>
    <r>
      <rPr>
        <sz val="9"/>
        <color rgb="FF000000"/>
        <rFont val="Noto Sans CJK SC"/>
        <family val="2"/>
      </rPr>
      <t xml:space="preserve">族群商機全部適用</t>
    </r>
  </si>
  <si>
    <t xml:space="preserve">VN-FHIR-2146</t>
  </si>
  <si>
    <r>
      <rPr>
        <sz val="9"/>
        <color rgb="FF000000"/>
        <rFont val="微軟正黑體"/>
        <family val="0"/>
        <charset val="1"/>
      </rPr>
      <t xml:space="preserve">Decision 2146/QĐ-BYT — HL7 FHIR R4 + DICOM </t>
    </r>
    <r>
      <rPr>
        <sz val="9"/>
        <color rgb="FF000000"/>
        <rFont val="Noto Sans CJK SC"/>
        <family val="2"/>
      </rPr>
      <t xml:space="preserve">為國家互通標準</t>
    </r>
  </si>
  <si>
    <r>
      <rPr>
        <sz val="9"/>
        <color rgb="FF000000"/>
        <rFont val="Noto Sans CJK SC"/>
        <family val="2"/>
      </rPr>
      <t xml:space="preserve">越南本地</t>
    </r>
    <r>
      <rPr>
        <sz val="9"/>
        <color rgb="FF000000"/>
        <rFont val="微軟正黑體"/>
        <family val="0"/>
        <charset val="1"/>
      </rPr>
      <t xml:space="preserve">FHIR IG</t>
    </r>
    <r>
      <rPr>
        <sz val="9"/>
        <color rgb="FF000000"/>
        <rFont val="Noto Sans CJK SC"/>
        <family val="2"/>
      </rPr>
      <t xml:space="preserve">仍為試用版；</t>
    </r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驗收的互通前提</t>
    </r>
  </si>
  <si>
    <t xml:space="preserve">VN-CHK-72</t>
  </si>
  <si>
    <r>
      <rPr>
        <sz val="9"/>
        <color rgb="FF000000"/>
        <rFont val="微軟正黑體"/>
        <family val="0"/>
        <charset val="1"/>
      </rPr>
      <t xml:space="preserve">Resolution 72-NQ/TW — </t>
    </r>
    <r>
      <rPr>
        <sz val="9"/>
        <color rgb="FF000000"/>
        <rFont val="Noto Sans CJK SC"/>
        <family val="2"/>
      </rPr>
      <t xml:space="preserve">全民免費健康檢查（</t>
    </r>
    <r>
      <rPr>
        <sz val="9"/>
        <color rgb="FF000000"/>
        <rFont val="微軟正黑體"/>
        <family val="0"/>
        <charset val="1"/>
      </rPr>
      <t xml:space="preserve">2026</t>
    </r>
    <r>
      <rPr>
        <sz val="9"/>
        <color rgb="FF000000"/>
        <rFont val="Noto Sans CJK SC"/>
        <family val="2"/>
      </rPr>
      <t xml:space="preserve">起）</t>
    </r>
  </si>
  <si>
    <t xml:space="preserve">Politburo / Government</t>
  </si>
  <si>
    <t xml:space="preserve">https://vietnamnews.vn/</t>
  </si>
  <si>
    <r>
      <rPr>
        <sz val="9"/>
        <color rgb="FF000000"/>
        <rFont val="Noto Sans CJK SC"/>
        <family val="2"/>
      </rPr>
      <t xml:space="preserve">政策需求來源：全國優先族群約</t>
    </r>
    <r>
      <rPr>
        <sz val="9"/>
        <color rgb="FF000000"/>
        <rFont val="微軟正黑體"/>
        <family val="0"/>
        <charset val="1"/>
      </rPr>
      <t xml:space="preserve">US$227m/</t>
    </r>
    <r>
      <rPr>
        <sz val="9"/>
        <color rgb="FF000000"/>
        <rFont val="Noto Sans CJK SC"/>
        <family val="2"/>
      </rPr>
      <t xml:space="preserve">年、</t>
    </r>
    <r>
      <rPr>
        <sz val="9"/>
        <color rgb="FF000000"/>
        <rFont val="微軟正黑體"/>
        <family val="0"/>
        <charset val="1"/>
      </rPr>
      <t xml:space="preserve">HCMC</t>
    </r>
    <r>
      <rPr>
        <sz val="9"/>
        <color rgb="FF000000"/>
        <rFont val="Noto Sans CJK SC"/>
        <family val="2"/>
      </rPr>
      <t xml:space="preserve">約</t>
    </r>
    <r>
      <rPr>
        <sz val="9"/>
        <color rgb="FF000000"/>
        <rFont val="微軟正黑體"/>
        <family val="0"/>
        <charset val="1"/>
      </rPr>
      <t xml:space="preserve">US$95m/</t>
    </r>
    <r>
      <rPr>
        <sz val="9"/>
        <color rgb="FF000000"/>
        <rFont val="Noto Sans CJK SC"/>
        <family val="2"/>
      </rPr>
      <t xml:space="preserve">年；</t>
    </r>
    <r>
      <rPr>
        <sz val="9"/>
        <color rgb="FF000000"/>
        <rFont val="微軟正黑體"/>
        <family val="0"/>
        <charset val="1"/>
      </rPr>
      <t xml:space="preserve">OPP-23/75</t>
    </r>
    <r>
      <rPr>
        <sz val="9"/>
        <color rgb="FF000000"/>
        <rFont val="Noto Sans CJK SC"/>
        <family val="2"/>
      </rPr>
      <t xml:space="preserve">依據</t>
    </r>
  </si>
  <si>
    <t xml:space="preserve">VN-PPP-243</t>
  </si>
  <si>
    <t xml:space="preserve">VN-EMR-965</t>
  </si>
  <si>
    <r>
      <rPr>
        <sz val="9"/>
        <color rgb="FF000000"/>
        <rFont val="微軟正黑體"/>
        <family val="0"/>
        <charset val="1"/>
      </rPr>
      <t xml:space="preserve">Quyết định 965/QĐ-BYT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2026-04-10</t>
    </r>
    <r>
      <rPr>
        <sz val="9"/>
        <color rgb="FF000000"/>
        <rFont val="Noto Sans CJK SC"/>
        <family val="2"/>
      </rPr>
      <t xml:space="preserve">）— 全國</t>
    </r>
    <r>
      <rPr>
        <sz val="9"/>
        <color rgb="FF000000"/>
        <rFont val="微軟正黑體"/>
        <family val="0"/>
        <charset val="1"/>
      </rPr>
      <t xml:space="preserve">EMR 2026-2030</t>
    </r>
    <r>
      <rPr>
        <sz val="9"/>
        <color rgb="FF000000"/>
        <rFont val="Noto Sans CJK SC"/>
        <family val="2"/>
      </rPr>
      <t xml:space="preserve">計畫：</t>
    </r>
    <r>
      <rPr>
        <sz val="9"/>
        <color rgb="FF000000"/>
        <rFont val="微軟正黑體"/>
        <family val="0"/>
        <charset val="1"/>
      </rPr>
      <t xml:space="preserve">2026-12-31</t>
    </r>
    <r>
      <rPr>
        <sz val="9"/>
        <color rgb="FF000000"/>
        <rFont val="Noto Sans CJK SC"/>
        <family val="2"/>
      </rPr>
      <t xml:space="preserve">完成、</t>
    </r>
    <r>
      <rPr>
        <sz val="9"/>
        <color rgb="FF000000"/>
        <rFont val="微軟正黑體"/>
        <family val="0"/>
        <charset val="1"/>
      </rPr>
      <t xml:space="preserve">2027-01-01</t>
    </r>
    <r>
      <rPr>
        <sz val="9"/>
        <color rgb="FF000000"/>
        <rFont val="Noto Sans CJK SC"/>
        <family val="2"/>
      </rPr>
      <t xml:space="preserve">停用紙本</t>
    </r>
  </si>
  <si>
    <t xml:space="preserve">VN-BHYT-1468</t>
  </si>
  <si>
    <r>
      <rPr>
        <sz val="9"/>
        <color rgb="FF000000"/>
        <rFont val="微軟正黑體"/>
        <family val="0"/>
        <charset val="1"/>
      </rPr>
      <t xml:space="preserve">Quyết định 1468/QĐ-TTg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2026-08</t>
    </r>
    <r>
      <rPr>
        <sz val="9"/>
        <color rgb="FF000000"/>
        <rFont val="Noto Sans CJK SC"/>
        <family val="2"/>
      </rPr>
      <t xml:space="preserve">）— 健保覆蓋率逐年指標，</t>
    </r>
    <r>
      <rPr>
        <sz val="9"/>
        <color rgb="FF000000"/>
        <rFont val="微軟正黑體"/>
        <family val="0"/>
        <charset val="1"/>
      </rPr>
      <t xml:space="preserve">2030</t>
    </r>
    <r>
      <rPr>
        <sz val="9"/>
        <color rgb="FF000000"/>
        <rFont val="Noto Sans CJK SC"/>
        <family val="2"/>
      </rPr>
      <t xml:space="preserve">年</t>
    </r>
    <r>
      <rPr>
        <sz val="9"/>
        <color rgb="FF000000"/>
        <rFont val="微軟正黑體"/>
        <family val="0"/>
        <charset val="1"/>
      </rPr>
      <t xml:space="preserve">100%</t>
    </r>
  </si>
  <si>
    <t xml:space="preserve">Prime Minister</t>
  </si>
  <si>
    <t xml:space="preserve">VN-PREV-114</t>
  </si>
  <si>
    <r>
      <rPr>
        <sz val="9"/>
        <color rgb="FF000000"/>
        <rFont val="微軟正黑體"/>
        <family val="0"/>
        <charset val="1"/>
      </rPr>
      <t xml:space="preserve">Luật Phòng bệnh 114/2025/QH15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2026-07-01</t>
    </r>
    <r>
      <rPr>
        <sz val="9"/>
        <color rgb="FF000000"/>
        <rFont val="Noto Sans CJK SC"/>
        <family val="2"/>
      </rPr>
      <t xml:space="preserve">生效）＋</t>
    </r>
    <r>
      <rPr>
        <sz val="9"/>
        <color rgb="FF000000"/>
        <rFont val="微軟正黑體"/>
        <family val="0"/>
        <charset val="1"/>
      </rPr>
      <t xml:space="preserve">Nghị định 165/2026 — </t>
    </r>
    <r>
      <rPr>
        <sz val="9"/>
        <color rgb="FF000000"/>
        <rFont val="Noto Sans CJK SC"/>
        <family val="2"/>
      </rPr>
      <t xml:space="preserve">定期健檢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篩檢</t>
    </r>
    <r>
      <rPr>
        <sz val="9"/>
        <color rgb="FF000000"/>
        <rFont val="微軟正黑體"/>
        <family val="0"/>
        <charset val="1"/>
      </rPr>
      <t xml:space="preserve">100%</t>
    </r>
    <r>
      <rPr>
        <sz val="9"/>
        <color rgb="FF000000"/>
        <rFont val="Noto Sans CJK SC"/>
        <family val="2"/>
      </rPr>
      <t xml:space="preserve">健保給付</t>
    </r>
  </si>
  <si>
    <t xml:space="preserve">VN-HDATA-102</t>
  </si>
  <si>
    <r>
      <rPr>
        <sz val="9"/>
        <color rgb="FF000000"/>
        <rFont val="微軟正黑體"/>
        <family val="0"/>
        <charset val="1"/>
      </rPr>
      <t xml:space="preserve">Nghị định 102/2025/NĐ-CP — </t>
    </r>
    <r>
      <rPr>
        <sz val="9"/>
        <color rgb="FF000000"/>
        <rFont val="Noto Sans CJK SC"/>
        <family val="2"/>
      </rPr>
      <t xml:space="preserve">醫療資料管理（越南首部醫療資料專法令）</t>
    </r>
  </si>
  <si>
    <t xml:space="preserve">VN-DX-148</t>
  </si>
  <si>
    <r>
      <rPr>
        <sz val="9"/>
        <color rgb="FF000000"/>
        <rFont val="微軟正黑體"/>
        <family val="0"/>
        <charset val="1"/>
      </rPr>
      <t xml:space="preserve">Luật Chuyển đổi số 148/2025/QH15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2026-07-01</t>
    </r>
    <r>
      <rPr>
        <sz val="9"/>
        <color rgb="FF000000"/>
        <rFont val="Noto Sans CJK SC"/>
        <family val="2"/>
      </rPr>
      <t xml:space="preserve">生效）</t>
    </r>
  </si>
  <si>
    <t xml:space="preserve">VN-SOLAR-243</t>
  </si>
  <si>
    <r>
      <rPr>
        <sz val="9"/>
        <color rgb="FF000000"/>
        <rFont val="微軟正黑體"/>
        <family val="0"/>
        <charset val="1"/>
      </rPr>
      <t xml:space="preserve">Nghị định 243/2026/NĐ-CP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2026-06-26</t>
    </r>
    <r>
      <rPr>
        <sz val="9"/>
        <color rgb="FF000000"/>
        <rFont val="Noto Sans CJK SC"/>
        <family val="2"/>
      </rPr>
      <t xml:space="preserve">生效）— 修訂</t>
    </r>
    <r>
      <rPr>
        <sz val="9"/>
        <color rgb="FF000000"/>
        <rFont val="微軟正黑體"/>
        <family val="0"/>
        <charset val="1"/>
      </rPr>
      <t xml:space="preserve">58/2025</t>
    </r>
    <r>
      <rPr>
        <sz val="9"/>
        <color rgb="FF000000"/>
        <rFont val="Noto Sans CJK SC"/>
        <family val="2"/>
      </rPr>
      <t xml:space="preserve">，屋頂光電餘電可售上限</t>
    </r>
    <r>
      <rPr>
        <sz val="9"/>
        <color rgb="FF000000"/>
        <rFont val="微軟正黑體"/>
        <family val="0"/>
        <charset val="1"/>
      </rPr>
      <t xml:space="preserve">50%</t>
    </r>
  </si>
  <si>
    <r>
      <rPr>
        <b val="true"/>
        <sz val="15"/>
        <color rgb="FFFFFFFF"/>
        <rFont val="微軟正黑體"/>
        <family val="0"/>
        <charset val="1"/>
      </rPr>
      <t xml:space="preserve">06 </t>
    </r>
    <r>
      <rPr>
        <b val="true"/>
        <sz val="15"/>
        <color rgb="FFFFFFFF"/>
        <rFont val="Noto Sans CJK SC"/>
        <family val="2"/>
      </rPr>
      <t xml:space="preserve">行動路線｜</t>
    </r>
    <r>
      <rPr>
        <b val="true"/>
        <sz val="15"/>
        <color rgb="FFFFFFFF"/>
        <rFont val="微軟正黑體"/>
        <family val="0"/>
        <charset val="1"/>
      </rPr>
      <t xml:space="preserve">Work Packages &amp; 60-Month Roadmap</t>
    </r>
    <r>
      <rPr>
        <b val="true"/>
        <sz val="15"/>
        <color rgb="FFFFFFFF"/>
        <rFont val="Noto Sans CJK SC"/>
        <family val="2"/>
      </rPr>
      <t xml:space="preserve">（何時做：</t>
    </r>
    <r>
      <rPr>
        <b val="true"/>
        <sz val="15"/>
        <color rgb="FFFFFFFF"/>
        <rFont val="微軟正黑體"/>
        <family val="0"/>
        <charset val="1"/>
      </rPr>
      <t xml:space="preserve">A</t>
    </r>
    <r>
      <rPr>
        <b val="true"/>
        <sz val="15"/>
        <color rgb="FFFFFFFF"/>
        <rFont val="Noto Sans CJK SC"/>
        <family val="2"/>
      </rPr>
      <t xml:space="preserve">軸的執行版）</t>
    </r>
  </si>
  <si>
    <r>
      <rPr>
        <i val="true"/>
        <sz val="9.5"/>
        <color rgb="FF404040"/>
        <rFont val="Noto Sans CJK SC"/>
        <family val="2"/>
      </rPr>
      <t xml:space="preserve">❓ 這頁在回答：什麼時候做、誰主責、怎麼驗收？　　▸ </t>
    </r>
    <r>
      <rPr>
        <i val="true"/>
        <sz val="9.5"/>
        <color rgb="FF404040"/>
        <rFont val="微軟正黑體"/>
        <family val="0"/>
        <charset val="1"/>
      </rPr>
      <t xml:space="preserve">20</t>
    </r>
    <r>
      <rPr>
        <i val="true"/>
        <sz val="9.5"/>
        <color rgb="FF404040"/>
        <rFont val="Noto Sans CJK SC"/>
        <family val="2"/>
      </rPr>
      <t xml:space="preserve">個工作包＝可簽約、可驗收的行動單位；右側甘特圖由起月</t>
    </r>
    <r>
      <rPr>
        <i val="true"/>
        <sz val="9.5"/>
        <color rgb="FF404040"/>
        <rFont val="微軟正黑體"/>
        <family val="0"/>
        <charset val="1"/>
      </rPr>
      <t xml:space="preserve">/</t>
    </r>
    <r>
      <rPr>
        <i val="true"/>
        <sz val="9.5"/>
        <color rgb="FF404040"/>
        <rFont val="Noto Sans CJK SC"/>
        <family val="2"/>
      </rPr>
      <t xml:space="preserve">月數自動繪製（</t>
    </r>
    <r>
      <rPr>
        <i val="true"/>
        <sz val="9.5"/>
        <color rgb="FF404040"/>
        <rFont val="微軟正黑體"/>
        <family val="0"/>
        <charset val="1"/>
      </rPr>
      <t xml:space="preserve">Q1-Q20</t>
    </r>
    <r>
      <rPr>
        <i val="true"/>
        <sz val="9.5"/>
        <color rgb="FF404040"/>
        <rFont val="Noto Sans CJK SC"/>
        <family val="2"/>
      </rPr>
      <t xml:space="preserve">，每季</t>
    </r>
    <r>
      <rPr>
        <i val="true"/>
        <sz val="9.5"/>
        <color rgb="FF404040"/>
        <rFont val="微軟正黑體"/>
        <family val="0"/>
        <charset val="1"/>
      </rPr>
      <t xml:space="preserve">3</t>
    </r>
    <r>
      <rPr>
        <i val="true"/>
        <sz val="9.5"/>
        <color rgb="FF404040"/>
        <rFont val="Noto Sans CJK SC"/>
        <family val="2"/>
      </rPr>
      <t xml:space="preserve">個月，時程為示意）。每個工作包須通過對應階段之法規門檻（</t>
    </r>
    <r>
      <rPr>
        <i val="true"/>
        <sz val="9.5"/>
        <color rgb="FF404040"/>
        <rFont val="微軟正黑體"/>
        <family val="0"/>
        <charset val="1"/>
      </rPr>
      <t xml:space="preserve">05</t>
    </r>
    <r>
      <rPr>
        <i val="true"/>
        <sz val="9.5"/>
        <color rgb="FF404040"/>
        <rFont val="Noto Sans CJK SC"/>
        <family val="2"/>
      </rPr>
      <t xml:space="preserve">）方可過關。</t>
    </r>
  </si>
  <si>
    <t xml:space="preserve">WP ID</t>
  </si>
  <si>
    <r>
      <rPr>
        <b val="true"/>
        <sz val="10"/>
        <color rgb="FFFFFFFF"/>
        <rFont val="Noto Sans CJK SC"/>
        <family val="2"/>
      </rPr>
      <t xml:space="preserve">工作包 </t>
    </r>
    <r>
      <rPr>
        <b val="true"/>
        <sz val="10"/>
        <color rgb="FFFFFFFF"/>
        <rFont val="微軟正黑體"/>
        <family val="0"/>
        <charset val="1"/>
      </rPr>
      <t xml:space="preserve">Work package</t>
    </r>
  </si>
  <si>
    <r>
      <rPr>
        <b val="true"/>
        <sz val="10"/>
        <color rgb="FFFFFFFF"/>
        <rFont val="Noto Sans CJK SC"/>
        <family val="2"/>
      </rPr>
      <t xml:space="preserve">協作 </t>
    </r>
    <r>
      <rPr>
        <b val="true"/>
        <sz val="10"/>
        <color rgb="FFFFFFFF"/>
        <rFont val="微軟正黑體"/>
        <family val="0"/>
        <charset val="1"/>
      </rPr>
      <t xml:space="preserve">Partners</t>
    </r>
  </si>
  <si>
    <r>
      <rPr>
        <b val="true"/>
        <sz val="10"/>
        <color rgb="FFFFFFFF"/>
        <rFont val="Noto Sans CJK SC"/>
        <family val="2"/>
      </rPr>
      <t xml:space="preserve">前置
</t>
    </r>
    <r>
      <rPr>
        <b val="true"/>
        <sz val="10"/>
        <color rgb="FFFFFFFF"/>
        <rFont val="微軟正黑體"/>
        <family val="0"/>
        <charset val="1"/>
      </rPr>
      <t xml:space="preserve">Pred.</t>
    </r>
  </si>
  <si>
    <t xml:space="preserve">起月</t>
  </si>
  <si>
    <t xml:space="preserve">月數</t>
  </si>
  <si>
    <t xml:space="preserve">迄月</t>
  </si>
  <si>
    <r>
      <rPr>
        <b val="true"/>
        <sz val="10"/>
        <color rgb="FFFFFFFF"/>
        <rFont val="Noto Sans CJK SC"/>
        <family val="2"/>
      </rPr>
      <t xml:space="preserve">完成</t>
    </r>
    <r>
      <rPr>
        <b val="true"/>
        <sz val="10"/>
        <color rgb="FFFFFFFF"/>
        <rFont val="微軟正黑體"/>
        <family val="0"/>
        <charset val="1"/>
      </rPr>
      <t xml:space="preserve">%</t>
    </r>
  </si>
  <si>
    <r>
      <rPr>
        <b val="true"/>
        <sz val="10"/>
        <color rgb="FFFFFFFF"/>
        <rFont val="Noto Sans CJK SC"/>
        <family val="2"/>
      </rPr>
      <t xml:space="preserve">驗收門檻 </t>
    </r>
    <r>
      <rPr>
        <b val="true"/>
        <sz val="10"/>
        <color rgb="FFFFFFFF"/>
        <rFont val="微軟正黑體"/>
        <family val="0"/>
        <charset val="1"/>
      </rPr>
      <t xml:space="preserve">Acceptance</t>
    </r>
  </si>
  <si>
    <r>
      <rPr>
        <b val="true"/>
        <sz val="10"/>
        <color rgb="FFFFFFFF"/>
        <rFont val="Noto Sans CJK SC"/>
        <family val="2"/>
      </rPr>
      <t xml:space="preserve">對應能力 </t>
    </r>
    <r>
      <rPr>
        <b val="true"/>
        <sz val="10"/>
        <color rgb="FFFFFFFF"/>
        <rFont val="微軟正黑體"/>
        <family val="0"/>
        <charset val="1"/>
      </rPr>
      <t xml:space="preserve">CAPs</t>
    </r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</si>
  <si>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</si>
  <si>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</si>
  <si>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</si>
  <si>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</si>
  <si>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</si>
  <si>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</si>
  <si>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</si>
  <si>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</si>
  <si>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</si>
  <si>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</si>
  <si>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</si>
  <si>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</si>
  <si>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</si>
  <si>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</si>
  <si>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</si>
  <si>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Q16</t>
  </si>
  <si>
    <t xml:space="preserve">Q17</t>
  </si>
  <si>
    <t xml:space="preserve">Q18</t>
  </si>
  <si>
    <t xml:space="preserve">Q19</t>
  </si>
  <si>
    <t xml:space="preserve">Q20</t>
  </si>
  <si>
    <t xml:space="preserve">WP-01</t>
  </si>
  <si>
    <r>
      <rPr>
        <sz val="9"/>
        <color rgb="FF000000"/>
        <rFont val="微軟正黑體"/>
        <family val="0"/>
        <charset val="1"/>
      </rPr>
      <t xml:space="preserve">Government sponsor; </t>
    </r>
    <r>
      <rPr>
        <sz val="9"/>
        <color rgb="FF000000"/>
        <rFont val="Noto Sans CJK SC"/>
        <family val="2"/>
      </rPr>
      <t xml:space="preserve">群晶科技</t>
    </r>
  </si>
  <si>
    <t xml:space="preserve">未開始</t>
  </si>
  <si>
    <t xml:space="preserve">Sponsor charter signed</t>
  </si>
  <si>
    <t xml:space="preserve">CAP-001; CAP-002</t>
  </si>
  <si>
    <t xml:space="preserve">WP-02</t>
  </si>
  <si>
    <t xml:space="preserve">商機與場址快速評估</t>
  </si>
  <si>
    <t xml:space="preserve">Local counsel; Architect; Clinical planner</t>
  </si>
  <si>
    <t xml:space="preserve">Screening report accepted</t>
  </si>
  <si>
    <t xml:space="preserve">CAP-007; CAP-013</t>
  </si>
  <si>
    <t xml:space="preserve">WP-03</t>
  </si>
  <si>
    <t xml:space="preserve">醫療需求與服務模式</t>
  </si>
  <si>
    <t xml:space="preserve">Operator; Reference hospital</t>
  </si>
  <si>
    <t xml:space="preserve">Service portfolio approved</t>
  </si>
  <si>
    <t xml:space="preserve">CAP-007 to CAP-012</t>
  </si>
  <si>
    <t xml:space="preserve">WP-04</t>
  </si>
  <si>
    <t xml:space="preserve">法規、資料與執照盤點</t>
  </si>
  <si>
    <t xml:space="preserve">Health IT; Device regulatory; Architect</t>
  </si>
  <si>
    <t xml:space="preserve">No-go register and licensing route approved</t>
  </si>
  <si>
    <t xml:space="preserve">WP-05</t>
  </si>
  <si>
    <t xml:space="preserve">醫院功能與總體規劃</t>
  </si>
  <si>
    <t xml:space="preserve">Clinical planner; MEP; Operator</t>
  </si>
  <si>
    <t xml:space="preserve">WP-03; WP-04</t>
  </si>
  <si>
    <t xml:space="preserve">Functional programme and masterplan approved</t>
  </si>
  <si>
    <t xml:space="preserve">CAP-013 to CAP-019</t>
  </si>
  <si>
    <t xml:space="preserve">WP-06</t>
  </si>
  <si>
    <t xml:space="preserve">企業架構與標準藍圖</t>
  </si>
  <si>
    <r>
      <rPr>
        <sz val="9"/>
        <color rgb="FF000000"/>
        <rFont val="Noto Sans CJK SC"/>
        <family val="2"/>
      </rPr>
      <t xml:space="preserve">群晶科技</t>
    </r>
    <r>
      <rPr>
        <sz val="9"/>
        <color rgb="FF000000"/>
        <rFont val="微軟正黑體"/>
        <family val="0"/>
        <charset val="1"/>
      </rPr>
      <t xml:space="preserve">; Health IT; Clinical engineering</t>
    </r>
  </si>
  <si>
    <t xml:space="preserve">Architecture review passed</t>
  </si>
  <si>
    <t xml:space="preserve">CAP-020 to CAP-039</t>
  </si>
  <si>
    <t xml:space="preserve">WP-07</t>
  </si>
  <si>
    <t xml:space="preserve">聯盟夥伴資格審查</t>
  </si>
  <si>
    <t xml:space="preserve">All candidate partners</t>
  </si>
  <si>
    <t xml:space="preserve">Minimum consortium coverage achieved</t>
  </si>
  <si>
    <t xml:space="preserve">WP-08</t>
  </si>
  <si>
    <t xml:space="preserve">商業模式與交易架構</t>
  </si>
  <si>
    <t xml:space="preserve">Government; Investors; Operator</t>
  </si>
  <si>
    <t xml:space="preserve">WP-02; WP-03; WP-04</t>
  </si>
  <si>
    <t xml:space="preserve">Preferred model and risk allocation approved</t>
  </si>
  <si>
    <t xml:space="preserve">CAP-003; CAP-056 to CAP-060</t>
  </si>
  <si>
    <t xml:space="preserve">WP-09</t>
  </si>
  <si>
    <t xml:space="preserve">可行性與投資決策</t>
  </si>
  <si>
    <t xml:space="preserve">Finance; Legal; Independent assurance</t>
  </si>
  <si>
    <t xml:space="preserve">WP-05; WP-06; WP-08</t>
  </si>
  <si>
    <t xml:space="preserve">Investment committee decision</t>
  </si>
  <si>
    <t xml:space="preserve">CAP-056; CAP-059</t>
  </si>
  <si>
    <t xml:space="preserve">WP-10</t>
  </si>
  <si>
    <t xml:space="preserve">設計深化、許可與採購</t>
  </si>
  <si>
    <t xml:space="preserve">EPC / Design Lead</t>
  </si>
  <si>
    <t xml:space="preserve">Legal; Procurement; PI Office</t>
  </si>
  <si>
    <t xml:space="preserve">Permits and contract awards</t>
  </si>
  <si>
    <t xml:space="preserve">CAP-014 to CAP-019; CAP-051</t>
  </si>
  <si>
    <t xml:space="preserve">WP-11</t>
  </si>
  <si>
    <t xml:space="preserve">土建、機電與關鍵公用系統</t>
  </si>
  <si>
    <t xml:space="preserve">EPC Lead</t>
  </si>
  <si>
    <t xml:space="preserve">Architect; MEP; IPC; Assurance</t>
  </si>
  <si>
    <t xml:space="preserve">Facility and utilities commissioned</t>
  </si>
  <si>
    <t xml:space="preserve">WP-12</t>
  </si>
  <si>
    <r>
      <rPr>
        <sz val="9"/>
        <color rgb="FF000000"/>
        <rFont val="微軟正黑體"/>
        <family val="0"/>
        <charset val="1"/>
      </rPr>
      <t xml:space="preserve">IDC</t>
    </r>
    <r>
      <rPr>
        <sz val="9"/>
        <color rgb="FF000000"/>
        <rFont val="Noto Sans CJK SC"/>
        <family val="2"/>
      </rPr>
      <t xml:space="preserve">、網路、資安與</t>
    </r>
    <r>
      <rPr>
        <sz val="9"/>
        <color rgb="FF000000"/>
        <rFont val="微軟正黑體"/>
        <family val="0"/>
        <charset val="1"/>
      </rPr>
      <t xml:space="preserve">IoT</t>
    </r>
  </si>
  <si>
    <t xml:space="preserve">EPC; Security; BMS/IoT partners</t>
  </si>
  <si>
    <t xml:space="preserve">Infrastructure acceptance and DR test</t>
  </si>
  <si>
    <t xml:space="preserve">CAP-020 to CAP-026</t>
  </si>
  <si>
    <t xml:space="preserve">WP-13</t>
  </si>
  <si>
    <t xml:space="preserve">醫材採購、安裝與介接</t>
  </si>
  <si>
    <t xml:space="preserve">Medical Device Integrator</t>
  </si>
  <si>
    <t xml:space="preserve">Clinical engineering; Health IT</t>
  </si>
  <si>
    <t xml:space="preserve">WP-10; WP-11</t>
  </si>
  <si>
    <t xml:space="preserve">Device acceptance and asset register</t>
  </si>
  <si>
    <t xml:space="preserve">CAP-027 to CAP-032</t>
  </si>
  <si>
    <t xml:space="preserve">WP-14</t>
  </si>
  <si>
    <r>
      <rPr>
        <sz val="9"/>
        <color rgb="FF000000"/>
        <rFont val="微軟正黑體"/>
        <family val="0"/>
        <charset val="1"/>
      </rPr>
      <t xml:space="preserve">HIS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與資料平台</t>
    </r>
  </si>
  <si>
    <t xml:space="preserve">Operator; Reference hospital; Cloud partner</t>
  </si>
  <si>
    <t xml:space="preserve">WP-06; WP-10; WP-12</t>
  </si>
  <si>
    <t xml:space="preserve">System validation and adoption readiness</t>
  </si>
  <si>
    <t xml:space="preserve">CAP-033 to CAP-039</t>
  </si>
  <si>
    <t xml:space="preserve">WP-15</t>
  </si>
  <si>
    <t xml:space="preserve">品質、病安與營運制度</t>
  </si>
  <si>
    <t xml:space="preserve">Quality advisor; Reference hospital</t>
  </si>
  <si>
    <t xml:space="preserve">WP-03; WP-07</t>
  </si>
  <si>
    <t xml:space="preserve">Operating manuals and audit readiness</t>
  </si>
  <si>
    <t xml:space="preserve">CAP-040 to CAP-044</t>
  </si>
  <si>
    <t xml:space="preserve">WP-16</t>
  </si>
  <si>
    <t xml:space="preserve">人才招募、訓練與技轉</t>
  </si>
  <si>
    <t xml:space="preserve">Reference hospital; Vendors; University</t>
  </si>
  <si>
    <t xml:space="preserve">WP-03; WP-07; WP-15</t>
  </si>
  <si>
    <t xml:space="preserve">Staffing and competency thresholds met</t>
  </si>
  <si>
    <t xml:space="preserve">CAP-045 to CAP-049</t>
  </si>
  <si>
    <t xml:space="preserve">WP-17</t>
  </si>
  <si>
    <r>
      <rPr>
        <sz val="9"/>
        <color rgb="FF000000"/>
        <rFont val="Noto Sans CJK SC"/>
        <family val="2"/>
      </rPr>
      <t xml:space="preserve">供應鏈、</t>
    </r>
    <r>
      <rPr>
        <sz val="9"/>
        <color rgb="FF000000"/>
        <rFont val="微軟正黑體"/>
        <family val="0"/>
        <charset val="1"/>
      </rPr>
      <t xml:space="preserve">SPD</t>
    </r>
    <r>
      <rPr>
        <sz val="9"/>
        <color rgb="FF000000"/>
        <rFont val="Noto Sans CJK SC"/>
        <family val="2"/>
      </rPr>
      <t xml:space="preserve">與維運準備</t>
    </r>
  </si>
  <si>
    <t xml:space="preserve">Operations Lead</t>
  </si>
  <si>
    <t xml:space="preserve">Logistics; FM; Clinical engineering</t>
  </si>
  <si>
    <t xml:space="preserve">WP-10; WP-13</t>
  </si>
  <si>
    <t xml:space="preserve">Opening stock, contracts and SLA ready</t>
  </si>
  <si>
    <t xml:space="preserve">CAP-050 to CAP-054</t>
  </si>
  <si>
    <t xml:space="preserve">WP-18</t>
  </si>
  <si>
    <t xml:space="preserve">整合測試與開院模擬</t>
  </si>
  <si>
    <t xml:space="preserve">Independent Assurance</t>
  </si>
  <si>
    <t xml:space="preserve">All workstream leads</t>
  </si>
  <si>
    <t xml:space="preserve">WP-11; WP-12; WP-13; WP-14; WP-15; WP-16; WP-17</t>
  </si>
  <si>
    <t xml:space="preserve">Critical risks closed and readiness signed</t>
  </si>
  <si>
    <t xml:space="preserve">CAP-044; CAP-048</t>
  </si>
  <si>
    <t xml:space="preserve">WP-19</t>
  </si>
  <si>
    <t xml:space="preserve">分階段開院與穩定</t>
  </si>
  <si>
    <t xml:space="preserve">PI Office; All workstreams</t>
  </si>
  <si>
    <t xml:space="preserve">Stabilization KPIs achieved</t>
  </si>
  <si>
    <t xml:space="preserve">CAP-039; CAP-060</t>
  </si>
  <si>
    <t xml:space="preserve">WP-20</t>
  </si>
  <si>
    <t xml:space="preserve">認證、效益與複製</t>
  </si>
  <si>
    <t xml:space="preserve">Government; Operator; Quality advisor</t>
  </si>
  <si>
    <t xml:space="preserve">Benefits report and replication package approved</t>
  </si>
  <si>
    <t xml:space="preserve">CAP-040; CAP-060</t>
  </si>
  <si>
    <r>
      <rPr>
        <b val="true"/>
        <sz val="15"/>
        <color rgb="FFFFFFFF"/>
        <rFont val="微軟正黑體"/>
        <family val="0"/>
        <charset val="1"/>
      </rPr>
      <t xml:space="preserve">07 </t>
    </r>
    <r>
      <rPr>
        <b val="true"/>
        <sz val="15"/>
        <color rgb="FFFFFFFF"/>
        <rFont val="Noto Sans CJK SC"/>
        <family val="2"/>
      </rPr>
      <t xml:space="preserve">整案量級｜</t>
    </r>
    <r>
      <rPr>
        <b val="true"/>
        <sz val="15"/>
        <color rgb="FFFFFFFF"/>
        <rFont val="微軟正黑體"/>
        <family val="0"/>
        <charset val="1"/>
      </rPr>
      <t xml:space="preserve">Portfolio Economics</t>
    </r>
    <r>
      <rPr>
        <b val="true"/>
        <sz val="15"/>
        <color rgb="FFFFFFFF"/>
        <rFont val="Noto Sans CJK SC"/>
        <family val="2"/>
      </rPr>
      <t xml:space="preserve">（整案量級與交易模式，非單一專案商模）</t>
    </r>
  </si>
  <si>
    <r>
      <rPr>
        <i val="true"/>
        <sz val="9.5"/>
        <color rgb="FF404040"/>
        <rFont val="Noto Sans CJK SC"/>
        <family val="2"/>
      </rPr>
      <t xml:space="preserve">❓ 這頁在回答：整案大概多少錢、多大規模？　　▸ 本頁只回答「整案大約多大、用哪種交易模式」。單一子專案（</t>
    </r>
    <r>
      <rPr>
        <i val="true"/>
        <sz val="9.5"/>
        <color rgb="FF404040"/>
        <rFont val="微軟正黑體"/>
        <family val="0"/>
        <charset val="1"/>
      </rPr>
      <t xml:space="preserve">CT</t>
    </r>
    <r>
      <rPr>
        <i val="true"/>
        <sz val="9.5"/>
        <color rgb="FF404040"/>
        <rFont val="Noto Sans CJK SC"/>
        <family val="2"/>
      </rPr>
      <t xml:space="preserve">、</t>
    </r>
    <r>
      <rPr>
        <i val="true"/>
        <sz val="9.5"/>
        <color rgb="FF404040"/>
        <rFont val="微軟正黑體"/>
        <family val="0"/>
        <charset val="1"/>
      </rPr>
      <t xml:space="preserve">IDC</t>
    </r>
    <r>
      <rPr>
        <i val="true"/>
        <sz val="9.5"/>
        <color rgb="FF404040"/>
        <rFont val="Noto Sans CJK SC"/>
        <family val="2"/>
      </rPr>
      <t xml:space="preserve">、</t>
    </r>
    <r>
      <rPr>
        <i val="true"/>
        <sz val="9.5"/>
        <color rgb="FF404040"/>
        <rFont val="微軟正黑體"/>
        <family val="0"/>
        <charset val="1"/>
      </rPr>
      <t xml:space="preserve">HIS…</t>
    </r>
    <r>
      <rPr>
        <i val="true"/>
        <sz val="9.5"/>
        <color rgb="FF404040"/>
        <rFont val="Noto Sans CJK SC"/>
        <family val="2"/>
      </rPr>
      <t xml:space="preserve">）的詳細商模請用另一個檔案：</t>
    </r>
    <r>
      <rPr>
        <i val="true"/>
        <sz val="9.5"/>
        <color rgb="FF404040"/>
        <rFont val="微軟正黑體"/>
        <family val="0"/>
        <charset val="1"/>
      </rPr>
      <t xml:space="preserve">VMH-EcoMap-2_</t>
    </r>
    <r>
      <rPr>
        <i val="true"/>
        <sz val="9.5"/>
        <color rgb="FF404040"/>
        <rFont val="Noto Sans CJK SC"/>
        <family val="2"/>
      </rPr>
      <t xml:space="preserve">專案商模試算器</t>
    </r>
    <r>
      <rPr>
        <i val="true"/>
        <sz val="9.5"/>
        <color rgb="FF404040"/>
        <rFont val="微軟正黑體"/>
        <family val="0"/>
        <charset val="1"/>
      </rPr>
      <t xml:space="preserve">_v1.0.xlsx</t>
    </r>
    <r>
      <rPr>
        <i val="true"/>
        <sz val="9.5"/>
        <color rgb="FF404040"/>
        <rFont val="Noto Sans CJK SC"/>
        <family val="2"/>
      </rPr>
      <t xml:space="preserve">。</t>
    </r>
  </si>
  <si>
    <r>
      <rPr>
        <b val="true"/>
        <sz val="11"/>
        <color rgb="FF1F3864"/>
        <rFont val="微軟正黑體"/>
        <family val="0"/>
        <charset val="1"/>
      </rPr>
      <t xml:space="preserve">A. </t>
    </r>
    <r>
      <rPr>
        <b val="true"/>
        <sz val="11"/>
        <color rgb="FF1F3864"/>
        <rFont val="Noto Sans CJK SC"/>
        <family val="2"/>
      </rPr>
      <t xml:space="preserve">醫院成本驅動（黃色可編輯）</t>
    </r>
  </si>
  <si>
    <t xml:space="preserve">驅動</t>
  </si>
  <si>
    <t xml:space="preserve">輸入</t>
  </si>
  <si>
    <t xml:space="preserve">單位</t>
  </si>
  <si>
    <t xml:space="preserve">說明</t>
  </si>
  <si>
    <r>
      <rPr>
        <b val="true"/>
        <sz val="9.5"/>
        <color rgb="FF000000"/>
        <rFont val="微軟正黑體"/>
        <family val="0"/>
        <charset val="1"/>
      </rPr>
      <t xml:space="preserve">Beds</t>
    </r>
    <r>
      <rPr>
        <b val="true"/>
        <sz val="9.5"/>
        <color rgb="FF000000"/>
        <rFont val="Noto Sans CJK SC"/>
        <family val="2"/>
      </rPr>
      <t xml:space="preserve">｜床數</t>
    </r>
  </si>
  <si>
    <t xml:space="preserve">beds</t>
  </si>
  <si>
    <t xml:space="preserve">Illustrative only; customize per opportunity</t>
  </si>
  <si>
    <r>
      <rPr>
        <b val="true"/>
        <sz val="9.5"/>
        <color rgb="FF000000"/>
        <rFont val="微軟正黑體"/>
        <family val="0"/>
        <charset val="1"/>
      </rPr>
      <t xml:space="preserve">Gross floor area per bed</t>
    </r>
    <r>
      <rPr>
        <b val="true"/>
        <sz val="9.5"/>
        <color rgb="FF000000"/>
        <rFont val="Noto Sans CJK SC"/>
        <family val="2"/>
      </rPr>
      <t xml:space="preserve">｜每床樓地板</t>
    </r>
  </si>
  <si>
    <t xml:space="preserve">m²/bed</t>
  </si>
  <si>
    <t xml:space="preserve">Legal and design verification required</t>
  </si>
  <si>
    <r>
      <rPr>
        <b val="true"/>
        <sz val="9.5"/>
        <color rgb="FF000000"/>
        <rFont val="微軟正黑體"/>
        <family val="0"/>
        <charset val="1"/>
      </rPr>
      <t xml:space="preserve">Gross floor area</t>
    </r>
    <r>
      <rPr>
        <b val="true"/>
        <sz val="9.5"/>
        <color rgb="FF000000"/>
        <rFont val="Noto Sans CJK SC"/>
        <family val="2"/>
      </rPr>
      <t xml:space="preserve">｜總樓地板</t>
    </r>
  </si>
  <si>
    <t xml:space="preserve">m²</t>
  </si>
  <si>
    <t xml:space="preserve">Formula</t>
  </si>
  <si>
    <r>
      <rPr>
        <b val="true"/>
        <sz val="9.5"/>
        <color rgb="FF000000"/>
        <rFont val="微軟正黑體"/>
        <family val="0"/>
        <charset val="1"/>
      </rPr>
      <t xml:space="preserve">Construction unit cost</t>
    </r>
    <r>
      <rPr>
        <b val="true"/>
        <sz val="9.5"/>
        <color rgb="FF000000"/>
        <rFont val="Noto Sans CJK SC"/>
        <family val="2"/>
      </rPr>
      <t xml:space="preserve">｜建造單價</t>
    </r>
  </si>
  <si>
    <t xml:space="preserve">USD/m²</t>
  </si>
  <si>
    <r>
      <rPr>
        <b val="true"/>
        <sz val="9"/>
        <color rgb="FF833C00"/>
        <rFont val="Noto Sans CJK SC"/>
        <family val="2"/>
      </rPr>
      <t xml:space="preserve">規劃假設值：</t>
    </r>
    <r>
      <rPr>
        <b val="true"/>
        <sz val="9"/>
        <color rgb="FF833C00"/>
        <rFont val="微軟正黑體"/>
        <family val="0"/>
        <charset val="1"/>
      </rPr>
      <t xml:space="preserve">2025 HCMC </t>
    </r>
    <r>
      <rPr>
        <b val="true"/>
        <sz val="9"/>
        <color rgb="FF833C00"/>
        <rFont val="Noto Sans CJK SC"/>
        <family val="2"/>
      </rPr>
      <t xml:space="preserve">三家</t>
    </r>
    <r>
      <rPr>
        <b val="true"/>
        <sz val="9"/>
        <color rgb="FF833C00"/>
        <rFont val="微軟正黑體"/>
        <family val="0"/>
        <charset val="1"/>
      </rPr>
      <t xml:space="preserve">1000</t>
    </r>
    <r>
      <rPr>
        <b val="true"/>
        <sz val="9"/>
        <color rgb="FF833C00"/>
        <rFont val="Noto Sans CJK SC"/>
        <family val="2"/>
      </rPr>
      <t xml:space="preserve">床門戶醫院實價回推（每床約</t>
    </r>
    <r>
      <rPr>
        <b val="true"/>
        <sz val="9"/>
        <color rgb="FF833C00"/>
        <rFont val="微軟正黑體"/>
        <family val="0"/>
        <charset val="1"/>
      </rPr>
      <t xml:space="preserve">US$73k÷50</t>
    </r>
    <r>
      <rPr>
        <b val="true"/>
        <sz val="9"/>
        <color rgb="FF833C00"/>
        <rFont val="Noto Sans CJK SC"/>
        <family val="2"/>
      </rPr>
      <t xml:space="preserve">㎡）；正式報價前須在地查證</t>
    </r>
  </si>
  <si>
    <r>
      <rPr>
        <b val="true"/>
        <sz val="9.5"/>
        <color rgb="FF000000"/>
        <rFont val="微軟正黑體"/>
        <family val="0"/>
        <charset val="1"/>
      </rPr>
      <t xml:space="preserve">Medical equipment per bed</t>
    </r>
    <r>
      <rPr>
        <b val="true"/>
        <sz val="9.5"/>
        <color rgb="FF000000"/>
        <rFont val="Noto Sans CJK SC"/>
        <family val="2"/>
      </rPr>
      <t xml:space="preserve">｜每床醫材</t>
    </r>
  </si>
  <si>
    <t xml:space="preserve">USD/bed</t>
  </si>
  <si>
    <r>
      <rPr>
        <sz val="9"/>
        <color rgb="FF808080"/>
        <rFont val="Noto Sans CJK SC"/>
        <family val="2"/>
      </rPr>
      <t xml:space="preserve">待填：依醫院定位差異大（區域綜合</t>
    </r>
    <r>
      <rPr>
        <sz val="9"/>
        <color rgb="FF808080"/>
        <rFont val="微軟正黑體"/>
        <family val="0"/>
        <charset val="1"/>
      </rPr>
      <t xml:space="preserve">vs</t>
    </r>
    <r>
      <rPr>
        <sz val="9"/>
        <color rgb="FF808080"/>
        <rFont val="Noto Sans CJK SC"/>
        <family val="2"/>
      </rPr>
      <t xml:space="preserve">專科旗艦）；參考值＝每床總投資約</t>
    </r>
    <r>
      <rPr>
        <sz val="9"/>
        <color rgb="FF808080"/>
        <rFont val="微軟正黑體"/>
        <family val="0"/>
        <charset val="1"/>
      </rPr>
      <t xml:space="preserve">US$73k(2025 HCMC)</t>
    </r>
    <r>
      <rPr>
        <sz val="9"/>
        <color rgb="FF808080"/>
        <rFont val="Noto Sans CJK SC"/>
        <family val="2"/>
      </rPr>
      <t xml:space="preserve">內含比例待拆分</t>
    </r>
  </si>
  <si>
    <r>
      <rPr>
        <b val="true"/>
        <sz val="9.5"/>
        <color rgb="FF000000"/>
        <rFont val="微軟正黑體"/>
        <family val="0"/>
        <charset val="1"/>
      </rPr>
      <t xml:space="preserve">Digital/IT share of construction</t>
    </r>
    <r>
      <rPr>
        <b val="true"/>
        <sz val="9.5"/>
        <color rgb="FF000000"/>
        <rFont val="Noto Sans CJK SC"/>
        <family val="2"/>
      </rPr>
      <t xml:space="preserve">｜數位</t>
    </r>
    <r>
      <rPr>
        <b val="true"/>
        <sz val="9.5"/>
        <color rgb="FF000000"/>
        <rFont val="微軟正黑體"/>
        <family val="0"/>
        <charset val="1"/>
      </rPr>
      <t xml:space="preserve">IT</t>
    </r>
    <r>
      <rPr>
        <b val="true"/>
        <sz val="9.5"/>
        <color rgb="FF000000"/>
        <rFont val="Noto Sans CJK SC"/>
        <family val="2"/>
      </rPr>
      <t xml:space="preserve">比例</t>
    </r>
  </si>
  <si>
    <t xml:space="preserve">% of construction</t>
  </si>
  <si>
    <t xml:space="preserve">Include infrastructure, software and integration</t>
  </si>
  <si>
    <r>
      <rPr>
        <b val="true"/>
        <sz val="9.5"/>
        <color rgb="FF000000"/>
        <rFont val="微軟正黑體"/>
        <family val="0"/>
        <charset val="1"/>
      </rPr>
      <t xml:space="preserve">Pre-opening &amp; training</t>
    </r>
    <r>
      <rPr>
        <b val="true"/>
        <sz val="9.5"/>
        <color rgb="FF000000"/>
        <rFont val="Noto Sans CJK SC"/>
        <family val="2"/>
      </rPr>
      <t xml:space="preserve">｜開院與訓練</t>
    </r>
  </si>
  <si>
    <t xml:space="preserve">USD</t>
  </si>
  <si>
    <t xml:space="preserve">Include simulation and activation</t>
  </si>
  <si>
    <r>
      <rPr>
        <b val="true"/>
        <sz val="9.5"/>
        <color rgb="FF000000"/>
        <rFont val="微軟正黑體"/>
        <family val="0"/>
        <charset val="1"/>
      </rPr>
      <t xml:space="preserve">Contingency</t>
    </r>
    <r>
      <rPr>
        <b val="true"/>
        <sz val="9.5"/>
        <color rgb="FF000000"/>
        <rFont val="Noto Sans CJK SC"/>
        <family val="2"/>
      </rPr>
      <t xml:space="preserve">｜預備金</t>
    </r>
  </si>
  <si>
    <t xml:space="preserve">%</t>
  </si>
  <si>
    <t xml:space="preserve">Editable planning assumption</t>
  </si>
  <si>
    <r>
      <rPr>
        <b val="true"/>
        <sz val="9.5"/>
        <color rgb="FF000000"/>
        <rFont val="微軟正黑體"/>
        <family val="0"/>
        <charset val="1"/>
      </rPr>
      <t xml:space="preserve">Model horizon</t>
    </r>
    <r>
      <rPr>
        <b val="true"/>
        <sz val="9.5"/>
        <color rgb="FF000000"/>
        <rFont val="Noto Sans CJK SC"/>
        <family val="2"/>
      </rPr>
      <t xml:space="preserve">｜模型期間</t>
    </r>
  </si>
  <si>
    <t xml:space="preserve">years</t>
  </si>
  <si>
    <t xml:space="preserve">Whole-life comparison period</t>
  </si>
  <si>
    <r>
      <rPr>
        <b val="true"/>
        <sz val="11"/>
        <color rgb="FF1F3864"/>
        <rFont val="微軟正黑體"/>
        <family val="0"/>
        <charset val="1"/>
      </rPr>
      <t xml:space="preserve">B. </t>
    </r>
    <r>
      <rPr>
        <b val="true"/>
        <sz val="11"/>
        <color rgb="FF1F3864"/>
        <rFont val="Noto Sans CJK SC"/>
        <family val="2"/>
      </rPr>
      <t xml:space="preserve">投資摘要（公式自動）</t>
    </r>
  </si>
  <si>
    <t xml:space="preserve">項目</t>
  </si>
  <si>
    <r>
      <rPr>
        <b val="true"/>
        <sz val="10"/>
        <color rgb="FFFFFFFF"/>
        <rFont val="Noto Sans CJK SC"/>
        <family val="2"/>
      </rPr>
      <t xml:space="preserve">結果 </t>
    </r>
    <r>
      <rPr>
        <b val="true"/>
        <sz val="10"/>
        <color rgb="FFFFFFFF"/>
        <rFont val="微軟正黑體"/>
        <family val="0"/>
        <charset val="1"/>
      </rPr>
      <t xml:space="preserve">USD</t>
    </r>
  </si>
  <si>
    <t xml:space="preserve">計算說明</t>
  </si>
  <si>
    <r>
      <rPr>
        <sz val="9.5"/>
        <color rgb="FF000000"/>
        <rFont val="Noto Sans CJK SC"/>
        <family val="2"/>
      </rPr>
      <t xml:space="preserve">建造成本 </t>
    </r>
    <r>
      <rPr>
        <sz val="9.5"/>
        <color rgb="FF000000"/>
        <rFont val="微軟正黑體"/>
        <family val="0"/>
        <charset val="1"/>
      </rPr>
      <t xml:space="preserve">Construction CAPEX</t>
    </r>
  </si>
  <si>
    <r>
      <rPr>
        <sz val="9"/>
        <color rgb="FF808080"/>
        <rFont val="Noto Sans CJK SC"/>
        <family val="2"/>
      </rPr>
      <t xml:space="preserve">總樓地板</t>
    </r>
    <r>
      <rPr>
        <sz val="9"/>
        <color rgb="FF808080"/>
        <rFont val="微軟正黑體"/>
        <family val="0"/>
        <charset val="1"/>
      </rPr>
      <t xml:space="preserve">×</t>
    </r>
    <r>
      <rPr>
        <sz val="9"/>
        <color rgb="FF808080"/>
        <rFont val="Noto Sans CJK SC"/>
        <family val="2"/>
      </rPr>
      <t xml:space="preserve">建造單價</t>
    </r>
  </si>
  <si>
    <r>
      <rPr>
        <sz val="9.5"/>
        <color rgb="FF000000"/>
        <rFont val="Noto Sans CJK SC"/>
        <family val="2"/>
      </rPr>
      <t xml:space="preserve">醫材成本 </t>
    </r>
    <r>
      <rPr>
        <sz val="9.5"/>
        <color rgb="FF000000"/>
        <rFont val="微軟正黑體"/>
        <family val="0"/>
        <charset val="1"/>
      </rPr>
      <t xml:space="preserve">Device CAPEX</t>
    </r>
  </si>
  <si>
    <r>
      <rPr>
        <sz val="9"/>
        <color rgb="FF808080"/>
        <rFont val="Noto Sans CJK SC"/>
        <family val="2"/>
      </rPr>
      <t xml:space="preserve">床數</t>
    </r>
    <r>
      <rPr>
        <sz val="9"/>
        <color rgb="FF808080"/>
        <rFont val="微軟正黑體"/>
        <family val="0"/>
        <charset val="1"/>
      </rPr>
      <t xml:space="preserve">×</t>
    </r>
    <r>
      <rPr>
        <sz val="9"/>
        <color rgb="FF808080"/>
        <rFont val="Noto Sans CJK SC"/>
        <family val="2"/>
      </rPr>
      <t xml:space="preserve">每床醫材</t>
    </r>
  </si>
  <si>
    <r>
      <rPr>
        <sz val="9.5"/>
        <color rgb="FF000000"/>
        <rFont val="Noto Sans CJK SC"/>
        <family val="2"/>
      </rPr>
      <t xml:space="preserve">數位</t>
    </r>
    <r>
      <rPr>
        <sz val="9.5"/>
        <color rgb="FF000000"/>
        <rFont val="微軟正黑體"/>
        <family val="0"/>
        <charset val="1"/>
      </rPr>
      <t xml:space="preserve">IT</t>
    </r>
    <r>
      <rPr>
        <sz val="9.5"/>
        <color rgb="FF000000"/>
        <rFont val="Noto Sans CJK SC"/>
        <family val="2"/>
      </rPr>
      <t xml:space="preserve">成本 </t>
    </r>
    <r>
      <rPr>
        <sz val="9.5"/>
        <color rgb="FF000000"/>
        <rFont val="微軟正黑體"/>
        <family val="0"/>
        <charset val="1"/>
      </rPr>
      <t xml:space="preserve">Digital/IT CAPEX</t>
    </r>
  </si>
  <si>
    <r>
      <rPr>
        <sz val="9"/>
        <color rgb="FF808080"/>
        <rFont val="Noto Sans CJK SC"/>
        <family val="2"/>
      </rPr>
      <t xml:space="preserve">建造成本</t>
    </r>
    <r>
      <rPr>
        <sz val="9"/>
        <color rgb="FF808080"/>
        <rFont val="微軟正黑體"/>
        <family val="0"/>
        <charset val="1"/>
      </rPr>
      <t xml:space="preserve">×IT</t>
    </r>
    <r>
      <rPr>
        <sz val="9"/>
        <color rgb="FF808080"/>
        <rFont val="Noto Sans CJK SC"/>
        <family val="2"/>
      </rPr>
      <t xml:space="preserve">比例</t>
    </r>
  </si>
  <si>
    <r>
      <rPr>
        <sz val="9.5"/>
        <color rgb="FF000000"/>
        <rFont val="Noto Sans CJK SC"/>
        <family val="2"/>
      </rPr>
      <t xml:space="preserve">開院前成本 </t>
    </r>
    <r>
      <rPr>
        <sz val="9.5"/>
        <color rgb="FF000000"/>
        <rFont val="微軟正黑體"/>
        <family val="0"/>
        <charset val="1"/>
      </rPr>
      <t xml:space="preserve">Pre-opening</t>
    </r>
  </si>
  <si>
    <t xml:space="preserve">輸入值</t>
  </si>
  <si>
    <r>
      <rPr>
        <sz val="9.5"/>
        <color rgb="FF000000"/>
        <rFont val="Noto Sans CJK SC"/>
        <family val="2"/>
      </rPr>
      <t xml:space="preserve">小計 </t>
    </r>
    <r>
      <rPr>
        <sz val="9.5"/>
        <color rgb="FF000000"/>
        <rFont val="微軟正黑體"/>
        <family val="0"/>
        <charset val="1"/>
      </rPr>
      <t xml:space="preserve">Subtotal</t>
    </r>
  </si>
  <si>
    <t xml:space="preserve">未含預備金</t>
  </si>
  <si>
    <r>
      <rPr>
        <sz val="9.5"/>
        <color rgb="FF000000"/>
        <rFont val="Noto Sans CJK SC"/>
        <family val="2"/>
      </rPr>
      <t xml:space="preserve">預備金 </t>
    </r>
    <r>
      <rPr>
        <sz val="9.5"/>
        <color rgb="FF000000"/>
        <rFont val="微軟正黑體"/>
        <family val="0"/>
        <charset val="1"/>
      </rPr>
      <t xml:space="preserve">Contingency</t>
    </r>
  </si>
  <si>
    <r>
      <rPr>
        <sz val="9"/>
        <color rgb="FF808080"/>
        <rFont val="Noto Sans CJK SC"/>
        <family val="2"/>
      </rPr>
      <t xml:space="preserve">小計</t>
    </r>
    <r>
      <rPr>
        <sz val="9"/>
        <color rgb="FF808080"/>
        <rFont val="微軟正黑體"/>
        <family val="0"/>
        <charset val="1"/>
      </rPr>
      <t xml:space="preserve">×</t>
    </r>
    <r>
      <rPr>
        <sz val="9"/>
        <color rgb="FF808080"/>
        <rFont val="Noto Sans CJK SC"/>
        <family val="2"/>
      </rPr>
      <t xml:space="preserve">預備金率</t>
    </r>
  </si>
  <si>
    <r>
      <rPr>
        <b val="true"/>
        <sz val="9.5"/>
        <color rgb="FF000000"/>
        <rFont val="Noto Sans CJK SC"/>
        <family val="2"/>
      </rPr>
      <t xml:space="preserve">示意總額 </t>
    </r>
    <r>
      <rPr>
        <b val="true"/>
        <sz val="9.5"/>
        <color rgb="FF000000"/>
        <rFont val="微軟正黑體"/>
        <family val="0"/>
        <charset val="1"/>
      </rPr>
      <t xml:space="preserve">Indicative total</t>
    </r>
  </si>
  <si>
    <r>
      <rPr>
        <sz val="9"/>
        <color rgb="FF808080"/>
        <rFont val="Noto Sans CJK SC"/>
        <family val="2"/>
      </rPr>
      <t xml:space="preserve">不含土地</t>
    </r>
    <r>
      <rPr>
        <sz val="9"/>
        <color rgb="FF808080"/>
        <rFont val="微軟正黑體"/>
        <family val="0"/>
        <charset val="1"/>
      </rPr>
      <t xml:space="preserve">/</t>
    </r>
    <r>
      <rPr>
        <sz val="9"/>
        <color rgb="FF808080"/>
        <rFont val="Noto Sans CJK SC"/>
        <family val="2"/>
      </rPr>
      <t xml:space="preserve">融資</t>
    </r>
    <r>
      <rPr>
        <sz val="9"/>
        <color rgb="FF808080"/>
        <rFont val="微軟正黑體"/>
        <family val="0"/>
        <charset val="1"/>
      </rPr>
      <t xml:space="preserve">/</t>
    </r>
    <r>
      <rPr>
        <sz val="9"/>
        <color rgb="FF808080"/>
        <rFont val="Noto Sans CJK SC"/>
        <family val="2"/>
      </rPr>
      <t xml:space="preserve">稅</t>
    </r>
    <r>
      <rPr>
        <sz val="9"/>
        <color rgb="FF808080"/>
        <rFont val="微軟正黑體"/>
        <family val="0"/>
        <charset val="1"/>
      </rPr>
      <t xml:space="preserve">/</t>
    </r>
    <r>
      <rPr>
        <sz val="9"/>
        <color rgb="FF808080"/>
        <rFont val="Noto Sans CJK SC"/>
        <family val="2"/>
      </rPr>
      <t xml:space="preserve">物價調整</t>
    </r>
  </si>
  <si>
    <r>
      <rPr>
        <b val="true"/>
        <sz val="11"/>
        <color rgb="FF1F3864"/>
        <rFont val="微軟正黑體"/>
        <family val="0"/>
        <charset val="1"/>
      </rPr>
      <t xml:space="preserve">C. </t>
    </r>
    <r>
      <rPr>
        <b val="true"/>
        <sz val="11"/>
        <color rgb="FF1F3864"/>
        <rFont val="Noto Sans CJK SC"/>
        <family val="2"/>
      </rPr>
      <t xml:space="preserve">交易模式比較（</t>
    </r>
    <r>
      <rPr>
        <b val="true"/>
        <sz val="11"/>
        <color rgb="FF1F3864"/>
        <rFont val="微軟正黑體"/>
        <family val="0"/>
        <charset val="1"/>
      </rPr>
      <t xml:space="preserve">1-5</t>
    </r>
    <r>
      <rPr>
        <b val="true"/>
        <sz val="11"/>
        <color rgb="FF1F3864"/>
        <rFont val="Noto Sans CJK SC"/>
        <family val="2"/>
      </rPr>
      <t xml:space="preserve">，越高越有利該面向）</t>
    </r>
  </si>
  <si>
    <t xml:space="preserve">模式</t>
  </si>
  <si>
    <t xml:space="preserve">公共
控制</t>
  </si>
  <si>
    <t xml:space="preserve">速度</t>
  </si>
  <si>
    <t xml:space="preserve">綜合分</t>
  </si>
  <si>
    <t xml:space="preserve">民間
資本</t>
  </si>
  <si>
    <t xml:space="preserve">民間
收入風險</t>
  </si>
  <si>
    <t xml:space="preserve">整合
複雜度</t>
  </si>
  <si>
    <t xml:space="preserve">近期
適配</t>
  </si>
  <si>
    <t xml:space="preserve">顧問說明</t>
  </si>
  <si>
    <r>
      <rPr>
        <b val="true"/>
        <sz val="9.5"/>
        <color rgb="FF000000"/>
        <rFont val="Noto Sans CJK SC"/>
        <family val="2"/>
      </rPr>
      <t xml:space="preserve">政府採購 </t>
    </r>
    <r>
      <rPr>
        <b val="true"/>
        <sz val="9.5"/>
        <color rgb="FF000000"/>
        <rFont val="微軟正黑體"/>
        <family val="0"/>
        <charset val="1"/>
      </rPr>
      <t xml:space="preserve">Procurement</t>
    </r>
  </si>
  <si>
    <t xml:space="preserve">公共預算與採購量能明確時最穩</t>
  </si>
  <si>
    <r>
      <rPr>
        <b val="true"/>
        <sz val="9.5"/>
        <color rgb="FF000000"/>
        <rFont val="Noto Sans CJK SC"/>
        <family val="2"/>
      </rPr>
      <t xml:space="preserve">設施</t>
    </r>
    <r>
      <rPr>
        <b val="true"/>
        <sz val="9.5"/>
        <color rgb="FF000000"/>
        <rFont val="微軟正黑體"/>
        <family val="0"/>
        <charset val="1"/>
      </rPr>
      <t xml:space="preserve">/</t>
    </r>
    <r>
      <rPr>
        <b val="true"/>
        <sz val="9.5"/>
        <color rgb="FF000000"/>
        <rFont val="Noto Sans CJK SC"/>
        <family val="2"/>
      </rPr>
      <t xml:space="preserve">設備</t>
    </r>
    <r>
      <rPr>
        <b val="true"/>
        <sz val="9.5"/>
        <color rgb="FF000000"/>
        <rFont val="微軟正黑體"/>
        <family val="0"/>
        <charset val="1"/>
      </rPr>
      <t xml:space="preserve">PPP Facility PPP</t>
    </r>
  </si>
  <si>
    <t xml:space="preserve">較貼近越南近期可行性；以可用性付費為主</t>
  </si>
  <si>
    <r>
      <rPr>
        <b val="true"/>
        <sz val="9.5"/>
        <color rgb="FF000000"/>
        <rFont val="Noto Sans CJK SC"/>
        <family val="2"/>
      </rPr>
      <t xml:space="preserve">共址合資 </t>
    </r>
    <r>
      <rPr>
        <b val="true"/>
        <sz val="9.5"/>
        <color rgb="FF000000"/>
        <rFont val="微軟正黑體"/>
        <family val="0"/>
        <charset val="1"/>
      </rPr>
      <t xml:space="preserve">Co-located JV</t>
    </r>
  </si>
  <si>
    <r>
      <rPr>
        <sz val="9"/>
        <color rgb="FF808080"/>
        <rFont val="Noto Sans CJK SC"/>
        <family val="2"/>
      </rPr>
      <t xml:space="preserve">公方臨床角色＋民間建置營運（參考</t>
    </r>
    <r>
      <rPr>
        <sz val="9"/>
        <color rgb="FF808080"/>
        <rFont val="微軟正黑體"/>
        <family val="0"/>
        <charset val="1"/>
      </rPr>
      <t xml:space="preserve">IFC</t>
    </r>
    <r>
      <rPr>
        <sz val="9"/>
        <color rgb="FF808080"/>
        <rFont val="Noto Sans CJK SC"/>
        <family val="2"/>
      </rPr>
      <t xml:space="preserve">胡志明案例）</t>
    </r>
  </si>
  <si>
    <r>
      <rPr>
        <b val="true"/>
        <sz val="9.5"/>
        <color rgb="FF000000"/>
        <rFont val="Noto Sans CJK SC"/>
        <family val="2"/>
      </rPr>
      <t xml:space="preserve">民營醫院投資 </t>
    </r>
    <r>
      <rPr>
        <b val="true"/>
        <sz val="9.5"/>
        <color rgb="FF000000"/>
        <rFont val="微軟正黑體"/>
        <family val="0"/>
        <charset val="1"/>
      </rPr>
      <t xml:space="preserve">Private</t>
    </r>
  </si>
  <si>
    <t xml:space="preserve">需市場需求、土地、營運方與執照信心</t>
  </si>
  <si>
    <r>
      <rPr>
        <b val="true"/>
        <sz val="9.5"/>
        <color rgb="FF000000"/>
        <rFont val="Noto Sans CJK SC"/>
        <family val="2"/>
      </rPr>
      <t xml:space="preserve">管理服務 </t>
    </r>
    <r>
      <rPr>
        <b val="true"/>
        <sz val="9.5"/>
        <color rgb="FF000000"/>
        <rFont val="微軟正黑體"/>
        <family val="0"/>
        <charset val="1"/>
      </rPr>
      <t xml:space="preserve">Managed service</t>
    </r>
  </si>
  <si>
    <r>
      <rPr>
        <sz val="9"/>
        <color rgb="FF808080"/>
        <rFont val="Noto Sans CJK SC"/>
        <family val="2"/>
      </rPr>
      <t xml:space="preserve">適合診斷、設施、設備、</t>
    </r>
    <r>
      <rPr>
        <sz val="9"/>
        <color rgb="FF808080"/>
        <rFont val="微軟正黑體"/>
        <family val="0"/>
        <charset val="1"/>
      </rPr>
      <t xml:space="preserve">IT</t>
    </r>
    <r>
      <rPr>
        <sz val="9"/>
        <color rgb="FF808080"/>
        <rFont val="Noto Sans CJK SC"/>
        <family val="2"/>
      </rPr>
      <t xml:space="preserve">等單項切入</t>
    </r>
    <r>
      <rPr>
        <sz val="9"/>
        <color rgb="FF808080"/>
        <rFont val="微軟正黑體"/>
        <family val="0"/>
        <charset val="1"/>
      </rPr>
      <t xml:space="preserve">=</t>
    </r>
    <r>
      <rPr>
        <sz val="9"/>
        <color rgb="FF808080"/>
        <rFont val="Noto Sans CJK SC"/>
        <family val="2"/>
      </rPr>
      <t xml:space="preserve">群晶近期機會</t>
    </r>
  </si>
  <si>
    <r>
      <rPr>
        <b val="true"/>
        <sz val="9"/>
        <color rgb="FFC00000"/>
        <rFont val="Noto Sans CJK SC"/>
        <family val="2"/>
      </rPr>
      <t xml:space="preserve">顧問立場：不要先選交易模式再找證據。世界銀行越南醫療</t>
    </r>
    <r>
      <rPr>
        <b val="true"/>
        <sz val="9"/>
        <color rgb="FFC00000"/>
        <rFont val="微軟正黑體"/>
        <family val="0"/>
        <charset val="1"/>
      </rPr>
      <t xml:space="preserve">PPP</t>
    </r>
    <r>
      <rPr>
        <b val="true"/>
        <sz val="9"/>
        <color rgb="FFC00000"/>
        <rFont val="Noto Sans CJK SC"/>
        <family val="2"/>
      </rPr>
      <t xml:space="preserve">研究提醒：全面整合型醫院</t>
    </r>
    <r>
      <rPr>
        <b val="true"/>
        <sz val="9"/>
        <color rgb="FFC00000"/>
        <rFont val="微軟正黑體"/>
        <family val="0"/>
        <charset val="1"/>
      </rPr>
      <t xml:space="preserve">PPP</t>
    </r>
    <r>
      <rPr>
        <b val="true"/>
        <sz val="9"/>
        <color rgb="FFC00000"/>
        <rFont val="Noto Sans CJK SC"/>
        <family val="2"/>
      </rPr>
      <t xml:space="preserve">須謹慎；較務實路徑是設施</t>
    </r>
    <r>
      <rPr>
        <b val="true"/>
        <sz val="9"/>
        <color rgb="FFC00000"/>
        <rFont val="微軟正黑體"/>
        <family val="0"/>
        <charset val="1"/>
      </rPr>
      <t xml:space="preserve">/</t>
    </r>
    <r>
      <rPr>
        <b val="true"/>
        <sz val="9"/>
        <color rgb="FFC00000"/>
        <rFont val="Noto Sans CJK SC"/>
        <family val="2"/>
      </rPr>
      <t xml:space="preserve">設備、專科服務或部分整合模式，並在建置前完成</t>
    </r>
    <r>
      <rPr>
        <b val="true"/>
        <sz val="9"/>
        <color rgb="FFC00000"/>
        <rFont val="微軟正黑體"/>
        <family val="0"/>
        <charset val="1"/>
      </rPr>
      <t xml:space="preserve">PPP</t>
    </r>
    <r>
      <rPr>
        <b val="true"/>
        <sz val="9"/>
        <color rgb="FFC00000"/>
        <rFont val="Noto Sans CJK SC"/>
        <family val="2"/>
      </rPr>
      <t xml:space="preserve">治理與長期預算（</t>
    </r>
    <r>
      <rPr>
        <b val="true"/>
        <sz val="9"/>
        <color rgb="FFC00000"/>
        <rFont val="微軟正黑體"/>
        <family val="0"/>
        <charset val="1"/>
      </rPr>
      <t xml:space="preserve">Lesotho</t>
    </r>
    <r>
      <rPr>
        <b val="true"/>
        <sz val="9"/>
        <color rgb="FFC00000"/>
        <rFont val="Noto Sans CJK SC"/>
        <family val="2"/>
      </rPr>
      <t xml:space="preserve">教訓）。</t>
    </r>
  </si>
  <si>
    <r>
      <rPr>
        <b val="true"/>
        <sz val="15"/>
        <color rgb="FFFFFFFF"/>
        <rFont val="微軟正黑體"/>
        <family val="0"/>
        <charset val="1"/>
      </rPr>
      <t xml:space="preserve">08 </t>
    </r>
    <r>
      <rPr>
        <b val="true"/>
        <sz val="15"/>
        <color rgb="FFFFFFFF"/>
        <rFont val="Noto Sans CJK SC"/>
        <family val="2"/>
      </rPr>
      <t xml:space="preserve">風險清冊｜</t>
    </r>
    <r>
      <rPr>
        <b val="true"/>
        <sz val="15"/>
        <color rgb="FFFFFFFF"/>
        <rFont val="微軟正黑體"/>
        <family val="0"/>
        <charset val="1"/>
      </rPr>
      <t xml:space="preserve">Risk &amp; Issue Register</t>
    </r>
    <r>
      <rPr>
        <b val="true"/>
        <sz val="15"/>
        <color rgb="FFFFFFFF"/>
        <rFont val="Noto Sans CJK SC"/>
        <family val="2"/>
      </rPr>
      <t xml:space="preserve">（機率</t>
    </r>
    <r>
      <rPr>
        <b val="true"/>
        <sz val="15"/>
        <color rgb="FFFFFFFF"/>
        <rFont val="微軟正黑體"/>
        <family val="0"/>
        <charset val="1"/>
      </rPr>
      <t xml:space="preserve">×</t>
    </r>
    <r>
      <rPr>
        <b val="true"/>
        <sz val="15"/>
        <color rgb="FFFFFFFF"/>
        <rFont val="Noto Sans CJK SC"/>
        <family val="2"/>
      </rPr>
      <t xml:space="preserve">衝擊；極高風險</t>
    </r>
    <r>
      <rPr>
        <b val="true"/>
        <sz val="15"/>
        <color rgb="FFFFFFFF"/>
        <rFont val="微軟正黑體"/>
        <family val="0"/>
        <charset val="1"/>
      </rPr>
      <t xml:space="preserve">=</t>
    </r>
    <r>
      <rPr>
        <b val="true"/>
        <sz val="15"/>
        <color rgb="FFFFFFFF"/>
        <rFont val="Noto Sans CJK SC"/>
        <family val="2"/>
      </rPr>
      <t xml:space="preserve">總藍圖自動暫緩）</t>
    </r>
  </si>
  <si>
    <r>
      <rPr>
        <i val="true"/>
        <sz val="9.5"/>
        <color rgb="FF404040"/>
        <rFont val="Noto Sans CJK SC"/>
        <family val="2"/>
      </rPr>
      <t xml:space="preserve">❓ 這頁在回答：有什麼風險？哪些要升級處理？　　▸ 極高</t>
    </r>
    <r>
      <rPr>
        <i val="true"/>
        <sz val="9.5"/>
        <color rgb="FF404040"/>
        <rFont val="微軟正黑體"/>
        <family val="0"/>
        <charset val="1"/>
      </rPr>
      <t xml:space="preserve">(≥20)</t>
    </r>
    <r>
      <rPr>
        <i val="true"/>
        <sz val="9.5"/>
        <color rgb="FF404040"/>
        <rFont val="Noto Sans CJK SC"/>
        <family val="2"/>
      </rPr>
      <t xml:space="preserve">須升級治理決策；高</t>
    </r>
    <r>
      <rPr>
        <i val="true"/>
        <sz val="9.5"/>
        <color rgb="FF404040"/>
        <rFont val="微軟正黑體"/>
        <family val="0"/>
        <charset val="1"/>
      </rPr>
      <t xml:space="preserve">(≥12)</t>
    </r>
    <r>
      <rPr>
        <i val="true"/>
        <sz val="9.5"/>
        <color rgb="FF404040"/>
        <rFont val="Noto Sans CJK SC"/>
        <family val="2"/>
      </rPr>
      <t xml:space="preserve">須有負責人與期限。風險等級同步影響</t>
    </r>
    <r>
      <rPr>
        <i val="true"/>
        <sz val="9.5"/>
        <color rgb="FF404040"/>
        <rFont val="微軟正黑體"/>
        <family val="0"/>
        <charset val="1"/>
      </rPr>
      <t xml:space="preserve">03</t>
    </r>
    <r>
      <rPr>
        <i val="true"/>
        <sz val="9.5"/>
        <color rgb="FF404040"/>
        <rFont val="Noto Sans CJK SC"/>
        <family val="2"/>
      </rPr>
      <t xml:space="preserve">能力總表的商業判斷。</t>
    </r>
  </si>
  <si>
    <r>
      <rPr>
        <b val="true"/>
        <sz val="10"/>
        <color rgb="FFFFFFFF"/>
        <rFont val="Noto Sans CJK SC"/>
        <family val="2"/>
      </rPr>
      <t xml:space="preserve">風險 </t>
    </r>
    <r>
      <rPr>
        <b val="true"/>
        <sz val="10"/>
        <color rgb="FFFFFFFF"/>
        <rFont val="微軟正黑體"/>
        <family val="0"/>
        <charset val="1"/>
      </rPr>
      <t xml:space="preserve">ID</t>
    </r>
  </si>
  <si>
    <r>
      <rPr>
        <b val="true"/>
        <sz val="10"/>
        <color rgb="FFFFFFFF"/>
        <rFont val="Noto Sans CJK SC"/>
        <family val="2"/>
      </rPr>
      <t xml:space="preserve">風險敘述 </t>
    </r>
    <r>
      <rPr>
        <b val="true"/>
        <sz val="10"/>
        <color rgb="FFFFFFFF"/>
        <rFont val="微軟正黑體"/>
        <family val="0"/>
        <charset val="1"/>
      </rPr>
      <t xml:space="preserve">Risk statement</t>
    </r>
  </si>
  <si>
    <r>
      <rPr>
        <b val="true"/>
        <sz val="10"/>
        <color rgb="FFFFFFFF"/>
        <rFont val="Noto Sans CJK SC"/>
        <family val="2"/>
      </rPr>
      <t xml:space="preserve">機率
</t>
    </r>
    <r>
      <rPr>
        <b val="true"/>
        <sz val="10"/>
        <color rgb="FFFFFFFF"/>
        <rFont val="微軟正黑體"/>
        <family val="0"/>
        <charset val="1"/>
      </rPr>
      <t xml:space="preserve">1-5</t>
    </r>
  </si>
  <si>
    <r>
      <rPr>
        <b val="true"/>
        <sz val="10"/>
        <color rgb="FFFFFFFF"/>
        <rFont val="Noto Sans CJK SC"/>
        <family val="2"/>
      </rPr>
      <t xml:space="preserve">衝擊
</t>
    </r>
    <r>
      <rPr>
        <b val="true"/>
        <sz val="10"/>
        <color rgb="FFFFFFFF"/>
        <rFont val="微軟正黑體"/>
        <family val="0"/>
        <charset val="1"/>
      </rPr>
      <t xml:space="preserve">1-5</t>
    </r>
  </si>
  <si>
    <t xml:space="preserve">分數</t>
  </si>
  <si>
    <t xml:space="preserve">等級</t>
  </si>
  <si>
    <r>
      <rPr>
        <b val="true"/>
        <sz val="10"/>
        <color rgb="FFFFFFFF"/>
        <rFont val="Noto Sans CJK SC"/>
        <family val="2"/>
      </rPr>
      <t xml:space="preserve">因應 </t>
    </r>
    <r>
      <rPr>
        <b val="true"/>
        <sz val="10"/>
        <color rgb="FFFFFFFF"/>
        <rFont val="微軟正黑體"/>
        <family val="0"/>
        <charset val="1"/>
      </rPr>
      <t xml:space="preserve">Mitigation</t>
    </r>
  </si>
  <si>
    <r>
      <rPr>
        <b val="true"/>
        <sz val="10"/>
        <color rgb="FFFFFFFF"/>
        <rFont val="Noto Sans CJK SC"/>
        <family val="2"/>
      </rPr>
      <t xml:space="preserve">觸發條件 </t>
    </r>
    <r>
      <rPr>
        <b val="true"/>
        <sz val="10"/>
        <color rgb="FFFFFFFF"/>
        <rFont val="微軟正黑體"/>
        <family val="0"/>
        <charset val="1"/>
      </rPr>
      <t xml:space="preserve">Trigger</t>
    </r>
  </si>
  <si>
    <t xml:space="preserve">關聯項目</t>
  </si>
  <si>
    <t xml:space="preserve">R-001</t>
  </si>
  <si>
    <t xml:space="preserve">Governance</t>
  </si>
  <si>
    <r>
      <rPr>
        <sz val="9"/>
        <color rgb="FF000000"/>
        <rFont val="微軟正黑體"/>
        <family val="0"/>
        <charset val="1"/>
      </rPr>
      <t xml:space="preserve">Political support is not converted into formal mandate</t>
    </r>
    <r>
      <rPr>
        <sz val="9"/>
        <color rgb="FF000000"/>
        <rFont val="Noto Sans CJK SC"/>
        <family val="2"/>
      </rPr>
      <t xml:space="preserve">｜政治支持未轉成正式授權</t>
    </r>
  </si>
  <si>
    <t xml:space="preserve">Obtain charter, decision rights, sponsor and escalation route</t>
  </si>
  <si>
    <t xml:space="preserve">No signed mandate by concept phase</t>
  </si>
  <si>
    <t xml:space="preserve">R-002</t>
  </si>
  <si>
    <r>
      <rPr>
        <sz val="9"/>
        <color rgb="FF000000"/>
        <rFont val="微軟正黑體"/>
        <family val="0"/>
        <charset val="1"/>
      </rPr>
      <t xml:space="preserve">Transaction model selected before evidence</t>
    </r>
    <r>
      <rPr>
        <sz val="9"/>
        <color rgb="FF000000"/>
        <rFont val="Noto Sans CJK SC"/>
        <family val="2"/>
      </rPr>
      <t xml:space="preserve">｜交易模式先於證據決定</t>
    </r>
  </si>
  <si>
    <t xml:space="preserve">Complete demand, fiscal, legal and risk-allocation options appraisal</t>
  </si>
  <si>
    <t xml:space="preserve">Term sheet requested before feasibility</t>
  </si>
  <si>
    <t xml:space="preserve">R-003</t>
  </si>
  <si>
    <t xml:space="preserve">Scope</t>
  </si>
  <si>
    <r>
      <rPr>
        <sz val="9"/>
        <color rgb="FF000000"/>
        <rFont val="微軟正黑體"/>
        <family val="0"/>
        <charset val="1"/>
      </rPr>
      <t xml:space="preserve">One generic hospital model is applied to all opportunities</t>
    </r>
    <r>
      <rPr>
        <sz val="9"/>
        <color rgb="FF000000"/>
        <rFont val="Noto Sans CJK SC"/>
        <family val="2"/>
      </rPr>
      <t xml:space="preserve">｜單一醫院模式套用所有商機</t>
    </r>
  </si>
  <si>
    <t xml:space="preserve">Use scenario-specific service, demand and operating model</t>
  </si>
  <si>
    <t xml:space="preserve">No city/service segmentation</t>
  </si>
  <si>
    <t xml:space="preserve">R-004</t>
  </si>
  <si>
    <t xml:space="preserve">Commercial</t>
  </si>
  <si>
    <r>
      <rPr>
        <sz val="9"/>
        <color rgb="FF000000"/>
        <rFont val="微軟正黑體"/>
        <family val="0"/>
        <charset val="1"/>
      </rPr>
      <t xml:space="preserve">Demand or revenue is overestimated</t>
    </r>
    <r>
      <rPr>
        <sz val="9"/>
        <color rgb="FF000000"/>
        <rFont val="Noto Sans CJK SC"/>
        <family val="2"/>
      </rPr>
      <t xml:space="preserve">｜需求或收入高估</t>
    </r>
  </si>
  <si>
    <t xml:space="preserve">Independent demand review and downside scenarios</t>
  </si>
  <si>
    <t xml:space="preserve">Low referral conversion or payer uncertainty</t>
  </si>
  <si>
    <t xml:space="preserve">CAP-007; CAP-056</t>
  </si>
  <si>
    <t xml:space="preserve">R-005</t>
  </si>
  <si>
    <t xml:space="preserve">Fiscal</t>
  </si>
  <si>
    <r>
      <rPr>
        <sz val="9"/>
        <color rgb="FF000000"/>
        <rFont val="微軟正黑體"/>
        <family val="0"/>
        <charset val="1"/>
      </rPr>
      <t xml:space="preserve">Long-term O&amp;M and contract variation are unaffordable</t>
    </r>
    <r>
      <rPr>
        <sz val="9"/>
        <color rgb="FF000000"/>
        <rFont val="Noto Sans CJK SC"/>
        <family val="2"/>
      </rPr>
      <t xml:space="preserve">｜長期維運與變更不可負擔</t>
    </r>
  </si>
  <si>
    <t xml:space="preserve">Whole-life model, variation governance and affordability cap</t>
  </si>
  <si>
    <t xml:space="preserve">Financial Lead</t>
  </si>
  <si>
    <t xml:space="preserve">OPEX omitted or indexation unclear</t>
  </si>
  <si>
    <t xml:space="preserve">CAP-006; CAP-056</t>
  </si>
  <si>
    <t xml:space="preserve">R-006</t>
  </si>
  <si>
    <t xml:space="preserve">Clinical</t>
  </si>
  <si>
    <r>
      <rPr>
        <sz val="9"/>
        <color rgb="FF000000"/>
        <rFont val="微軟正黑體"/>
        <family val="0"/>
        <charset val="1"/>
      </rPr>
      <t xml:space="preserve">No licensed and accountable clinical operator</t>
    </r>
    <r>
      <rPr>
        <sz val="9"/>
        <color rgb="FF000000"/>
        <rFont val="Noto Sans CJK SC"/>
        <family val="2"/>
      </rPr>
      <t xml:space="preserve">｜缺少合格且負責的臨床營運方</t>
    </r>
  </si>
  <si>
    <t xml:space="preserve">Select operator early and define clinical accountability</t>
  </si>
  <si>
    <t xml:space="preserve">Government Sponsor</t>
  </si>
  <si>
    <t xml:space="preserve">Operator role remains generic</t>
  </si>
  <si>
    <t xml:space="preserve">R-007</t>
  </si>
  <si>
    <t xml:space="preserve">Regulatory</t>
  </si>
  <si>
    <r>
      <rPr>
        <sz val="9"/>
        <color rgb="FF000000"/>
        <rFont val="微軟正黑體"/>
        <family val="0"/>
        <charset val="1"/>
      </rPr>
      <t xml:space="preserve">Hospital, practitioner or device licensing delays</t>
    </r>
    <r>
      <rPr>
        <sz val="9"/>
        <color rgb="FF000000"/>
        <rFont val="Noto Sans CJK SC"/>
        <family val="2"/>
      </rPr>
      <t xml:space="preserve">｜醫院、人員或醫材執照延誤</t>
    </r>
  </si>
  <si>
    <t xml:space="preserve">Regulatory critical path and product-by-product register</t>
  </si>
  <si>
    <t xml:space="preserve">Official feedback slips</t>
  </si>
  <si>
    <t xml:space="preserve">CAP-004; CAP-026</t>
  </si>
  <si>
    <t xml:space="preserve">R-008</t>
  </si>
  <si>
    <t xml:space="preserve">Data</t>
  </si>
  <si>
    <r>
      <rPr>
        <sz val="9"/>
        <color rgb="FF000000"/>
        <rFont val="微軟正黑體"/>
        <family val="0"/>
        <charset val="1"/>
      </rPr>
      <t xml:space="preserve">Cloud or data design breaches Vietnam requirements</t>
    </r>
    <r>
      <rPr>
        <sz val="9"/>
        <color rgb="FF000000"/>
        <rFont val="Noto Sans CJK SC"/>
        <family val="2"/>
      </rPr>
      <t xml:space="preserve">｜雲端或資料設計違反越南要求</t>
    </r>
  </si>
  <si>
    <t xml:space="preserve">Data classification, local counsel, residency and transfer assessment</t>
  </si>
  <si>
    <t xml:space="preserve">Architecture assumes unrestricted offshore cloud</t>
  </si>
  <si>
    <t xml:space="preserve">CAP-021; CAP-033</t>
  </si>
  <si>
    <t xml:space="preserve">R-009</t>
  </si>
  <si>
    <t xml:space="preserve">Technology</t>
  </si>
  <si>
    <r>
      <rPr>
        <sz val="9"/>
        <color rgb="FF000000"/>
        <rFont val="微軟正黑體"/>
        <family val="0"/>
        <charset val="1"/>
      </rPr>
      <t xml:space="preserve">Vendor lock-in and proprietary interfaces</t>
    </r>
    <r>
      <rPr>
        <sz val="9"/>
        <color rgb="FF000000"/>
        <rFont val="Noto Sans CJK SC"/>
        <family val="2"/>
      </rPr>
      <t xml:space="preserve">｜供應商鎖定與封閉介面</t>
    </r>
  </si>
  <si>
    <t xml:space="preserve">Contractual APIs, data portability, conformance tests and exit plan</t>
  </si>
  <si>
    <t xml:space="preserve">Interfaces quoted as custom only</t>
  </si>
  <si>
    <t xml:space="preserve">R-010</t>
  </si>
  <si>
    <t xml:space="preserve">Cyber</t>
  </si>
  <si>
    <r>
      <rPr>
        <sz val="9"/>
        <color rgb="FF000000"/>
        <rFont val="微軟正黑體"/>
        <family val="0"/>
        <charset val="1"/>
      </rPr>
      <t xml:space="preserve">Connected devices and OT are not segmented</t>
    </r>
    <r>
      <rPr>
        <sz val="9"/>
        <color rgb="FF000000"/>
        <rFont val="Noto Sans CJK SC"/>
        <family val="2"/>
      </rPr>
      <t xml:space="preserve">｜醫材與</t>
    </r>
    <r>
      <rPr>
        <sz val="9"/>
        <color rgb="FF000000"/>
        <rFont val="微軟正黑體"/>
        <family val="0"/>
        <charset val="1"/>
      </rPr>
      <t xml:space="preserve">OT</t>
    </r>
    <r>
      <rPr>
        <sz val="9"/>
        <color rgb="FF000000"/>
        <rFont val="Noto Sans CJK SC"/>
        <family val="2"/>
      </rPr>
      <t xml:space="preserve">未分區</t>
    </r>
  </si>
  <si>
    <t xml:space="preserve">Asset identity, segmentation, monitoring and IEC 80001 risk process</t>
  </si>
  <si>
    <t xml:space="preserve">Unknown connected-device inventory</t>
  </si>
  <si>
    <t xml:space="preserve">CAP-022; CAP-031</t>
  </si>
  <si>
    <t xml:space="preserve">R-011</t>
  </si>
  <si>
    <t xml:space="preserve">Workforce</t>
  </si>
  <si>
    <r>
      <rPr>
        <sz val="9"/>
        <color rgb="FF000000"/>
        <rFont val="微軟正黑體"/>
        <family val="0"/>
        <charset val="1"/>
      </rPr>
      <t xml:space="preserve">Imported model cannot be operated by Vietnam teams</t>
    </r>
    <r>
      <rPr>
        <sz val="9"/>
        <color rgb="FF000000"/>
        <rFont val="Noto Sans CJK SC"/>
        <family val="2"/>
      </rPr>
      <t xml:space="preserve">｜外來模式無法由越南團隊運作</t>
    </r>
  </si>
  <si>
    <t xml:space="preserve">Localization KPIs, ToT and handover acceptance</t>
  </si>
  <si>
    <t xml:space="preserve">No named local successors</t>
  </si>
  <si>
    <t xml:space="preserve">R-012</t>
  </si>
  <si>
    <t xml:space="preserve">Supply</t>
  </si>
  <si>
    <r>
      <rPr>
        <sz val="9"/>
        <color rgb="FF000000"/>
        <rFont val="微軟正黑體"/>
        <family val="0"/>
        <charset val="1"/>
      </rPr>
      <t xml:space="preserve">Imported spares and consumables cause downtime</t>
    </r>
    <r>
      <rPr>
        <sz val="9"/>
        <color rgb="FF000000"/>
        <rFont val="Noto Sans CJK SC"/>
        <family val="2"/>
      </rPr>
      <t xml:space="preserve">｜進口備品耗材造成停機</t>
    </r>
  </si>
  <si>
    <t xml:space="preserve">Local service coverage, buffer policy and alternatives</t>
  </si>
  <si>
    <t xml:space="preserve">Single source or long lead time</t>
  </si>
  <si>
    <t xml:space="preserve">R-013</t>
  </si>
  <si>
    <t xml:space="preserve">Integration</t>
  </si>
  <si>
    <r>
      <rPr>
        <sz val="9"/>
        <color rgb="FF000000"/>
        <rFont val="微軟正黑體"/>
        <family val="0"/>
        <charset val="1"/>
      </rPr>
      <t xml:space="preserve">Facility, devices and IT are procured in silos</t>
    </r>
    <r>
      <rPr>
        <sz val="9"/>
        <color rgb="FF000000"/>
        <rFont val="Noto Sans CJK SC"/>
        <family val="2"/>
      </rPr>
      <t xml:space="preserve">｜設施、醫材與資訊分開採購</t>
    </r>
  </si>
  <si>
    <t xml:space="preserve">Common architecture, interface responsibility and integrated tests</t>
  </si>
  <si>
    <t xml:space="preserve">No end-to-end acceptance owner</t>
  </si>
  <si>
    <t xml:space="preserve">WP-06; WP-18</t>
  </si>
  <si>
    <t xml:space="preserve">R-014</t>
  </si>
  <si>
    <t xml:space="preserve">Activation</t>
  </si>
  <si>
    <r>
      <rPr>
        <sz val="9"/>
        <color rgb="FF000000"/>
        <rFont val="微軟正黑體"/>
        <family val="0"/>
        <charset val="1"/>
      </rPr>
      <t xml:space="preserve">Opening date drives unsafe go-live</t>
    </r>
    <r>
      <rPr>
        <sz val="9"/>
        <color rgb="FF000000"/>
        <rFont val="Noto Sans CJK SC"/>
        <family val="2"/>
      </rPr>
      <t xml:space="preserve">｜開院日期壓過安全條件</t>
    </r>
  </si>
  <si>
    <t xml:space="preserve">Hard clinical safety gate and phased activation</t>
  </si>
  <si>
    <t xml:space="preserve">Critical simulation defects remain</t>
  </si>
  <si>
    <t xml:space="preserve">R-015</t>
  </si>
  <si>
    <t xml:space="preserve">Reputation</t>
  </si>
  <si>
    <r>
      <rPr>
        <sz val="9"/>
        <color rgb="FF000000"/>
        <rFont val="微軟正黑體"/>
        <family val="0"/>
        <charset val="1"/>
      </rPr>
      <t xml:space="preserve">External message is technology-led or politically insensitive</t>
    </r>
    <r>
      <rPr>
        <sz val="9"/>
        <color rgb="FF000000"/>
        <rFont val="Noto Sans CJK SC"/>
        <family val="2"/>
      </rPr>
      <t xml:space="preserve">｜對外論述過度技術或政治敏感</t>
    </r>
  </si>
  <si>
    <t xml:space="preserve">Use Vietnam-led, patient-outcome and local-capacity narrative</t>
  </si>
  <si>
    <t xml:space="preserve">Public materials compare countries disparagingly</t>
  </si>
  <si>
    <t xml:space="preserve">Decision D-007</t>
  </si>
  <si>
    <t xml:space="preserve">R-016</t>
  </si>
  <si>
    <r>
      <rPr>
        <sz val="9"/>
        <color rgb="FF000000"/>
        <rFont val="Noto Sans CJK SC"/>
        <family val="2"/>
      </rPr>
      <t xml:space="preserve">越南盾匯率與資金匯出限制侵蝕美元計價報酬｜</t>
    </r>
    <r>
      <rPr>
        <sz val="9"/>
        <color rgb="FF000000"/>
        <rFont val="微軟正黑體"/>
        <family val="0"/>
        <charset val="1"/>
      </rPr>
      <t xml:space="preserve">FX &amp; repatriation risk</t>
    </r>
  </si>
  <si>
    <t xml:space="preserve">合約幣別條款、自然對沖（在地成本在地收）、分潤模式優先於一次性大額收款</t>
  </si>
  <si>
    <r>
      <rPr>
        <sz val="9"/>
        <color rgb="FF000000"/>
        <rFont val="微軟正黑體"/>
        <family val="0"/>
        <charset val="1"/>
      </rPr>
      <t xml:space="preserve">VND</t>
    </r>
    <r>
      <rPr>
        <sz val="9"/>
        <color rgb="FF000000"/>
        <rFont val="Noto Sans CJK SC"/>
        <family val="2"/>
      </rPr>
      <t xml:space="preserve">對</t>
    </r>
    <r>
      <rPr>
        <sz val="9"/>
        <color rgb="FF000000"/>
        <rFont val="微軟正黑體"/>
        <family val="0"/>
        <charset val="1"/>
      </rPr>
      <t xml:space="preserve">USD</t>
    </r>
    <r>
      <rPr>
        <sz val="9"/>
        <color rgb="FF000000"/>
        <rFont val="Noto Sans CJK SC"/>
        <family val="2"/>
      </rPr>
      <t xml:space="preserve">年貶幅</t>
    </r>
    <r>
      <rPr>
        <sz val="9"/>
        <color rgb="FF000000"/>
        <rFont val="微軟正黑體"/>
        <family val="0"/>
        <charset val="1"/>
      </rPr>
      <t xml:space="preserve">&gt;3%</t>
    </r>
    <r>
      <rPr>
        <sz val="9"/>
        <color rgb="FF000000"/>
        <rFont val="Noto Sans CJK SC"/>
        <family val="2"/>
      </rPr>
      <t xml:space="preserve">或外匯管制收緊</t>
    </r>
  </si>
  <si>
    <r>
      <rPr>
        <sz val="9"/>
        <color rgb="FF000000"/>
        <rFont val="微軟正黑體"/>
        <family val="0"/>
        <charset val="1"/>
      </rPr>
      <t xml:space="preserve">07 </t>
    </r>
    <r>
      <rPr>
        <sz val="9"/>
        <color rgb="FF000000"/>
        <rFont val="Noto Sans CJK SC"/>
        <family val="2"/>
      </rPr>
      <t xml:space="preserve">整案量級、</t>
    </r>
    <r>
      <rPr>
        <sz val="9"/>
        <color rgb="FF000000"/>
        <rFont val="微軟正黑體"/>
        <family val="0"/>
        <charset val="1"/>
      </rPr>
      <t xml:space="preserve">14 </t>
    </r>
    <r>
      <rPr>
        <sz val="9"/>
        <color rgb="FF000000"/>
        <rFont val="Noto Sans CJK SC"/>
        <family val="2"/>
      </rPr>
      <t xml:space="preserve">商機清單</t>
    </r>
  </si>
  <si>
    <t xml:space="preserve">R-017</t>
  </si>
  <si>
    <r>
      <rPr>
        <sz val="9"/>
        <color rgb="FF000000"/>
        <rFont val="微軟正黑體"/>
        <family val="0"/>
        <charset val="1"/>
      </rPr>
      <t xml:space="preserve">VSS</t>
    </r>
    <r>
      <rPr>
        <sz val="9"/>
        <color rgb="FF000000"/>
        <rFont val="Noto Sans CJK SC"/>
        <family val="2"/>
      </rPr>
      <t xml:space="preserve">健保給付延遲或給付價低於成本（洗腎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放療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遠距商機的現金流基礎）｜</t>
    </r>
    <r>
      <rPr>
        <sz val="9"/>
        <color rgb="FF000000"/>
        <rFont val="微軟正黑體"/>
        <family val="0"/>
        <charset val="1"/>
      </rPr>
      <t xml:space="preserve">VSS payment risk</t>
    </r>
  </si>
  <si>
    <r>
      <rPr>
        <sz val="9"/>
        <color rgb="FF000000"/>
        <rFont val="Noto Sans CJK SC"/>
        <family val="2"/>
      </rPr>
      <t xml:space="preserve">先查證同類機構實際回款天數；混合付費設計（</t>
    </r>
    <r>
      <rPr>
        <sz val="9"/>
        <color rgb="FF000000"/>
        <rFont val="微軟正黑體"/>
        <family val="0"/>
        <charset val="1"/>
      </rPr>
      <t xml:space="preserve">VSS+</t>
    </r>
    <r>
      <rPr>
        <sz val="9"/>
        <color rgb="FF000000"/>
        <rFont val="Noto Sans CJK SC"/>
        <family val="2"/>
      </rPr>
      <t xml:space="preserve">自費</t>
    </r>
    <r>
      <rPr>
        <sz val="9"/>
        <color rgb="FF000000"/>
        <rFont val="微軟正黑體"/>
        <family val="0"/>
        <charset val="1"/>
      </rPr>
      <t xml:space="preserve">+</t>
    </r>
    <r>
      <rPr>
        <sz val="9"/>
        <color rgb="FF000000"/>
        <rFont val="Noto Sans CJK SC"/>
        <family val="2"/>
      </rPr>
      <t xml:space="preserve">保險）；營運資金緩衝</t>
    </r>
    <r>
      <rPr>
        <sz val="9"/>
        <color rgb="FF000000"/>
        <rFont val="微軟正黑體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個月</t>
    </r>
  </si>
  <si>
    <r>
      <rPr>
        <sz val="9"/>
        <color rgb="FF000000"/>
        <rFont val="Noto Sans CJK SC"/>
        <family val="2"/>
      </rPr>
      <t xml:space="preserve">同業回款天數</t>
    </r>
    <r>
      <rPr>
        <sz val="9"/>
        <color rgb="FF000000"/>
        <rFont val="微軟正黑體"/>
        <family val="0"/>
        <charset val="1"/>
      </rPr>
      <t xml:space="preserve">&gt;90</t>
    </r>
    <r>
      <rPr>
        <sz val="9"/>
        <color rgb="FF000000"/>
        <rFont val="Noto Sans CJK SC"/>
        <family val="2"/>
      </rPr>
      <t xml:space="preserve">天或給付價調降</t>
    </r>
  </si>
  <si>
    <r>
      <rPr>
        <sz val="9"/>
        <color rgb="FF000000"/>
        <rFont val="微軟正黑體"/>
        <family val="0"/>
        <charset val="1"/>
      </rPr>
      <t xml:space="preserve">OPP-71/73/80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15 </t>
    </r>
    <r>
      <rPr>
        <sz val="9"/>
        <color rgb="FF000000"/>
        <rFont val="Noto Sans CJK SC"/>
        <family val="2"/>
      </rPr>
      <t xml:space="preserve">商機字典</t>
    </r>
  </si>
  <si>
    <t xml:space="preserve">R-018</t>
  </si>
  <si>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法</t>
    </r>
    <r>
      <rPr>
        <sz val="9"/>
        <color rgb="FF000000"/>
        <rFont val="微軟正黑體"/>
        <family val="0"/>
        <charset val="1"/>
      </rPr>
      <t xml:space="preserve">134/2025</t>
    </r>
    <r>
      <rPr>
        <sz val="9"/>
        <color rgb="FF000000"/>
        <rFont val="Noto Sans CJK SC"/>
        <family val="2"/>
      </rPr>
      <t xml:space="preserve">合規時程卡住全部</t>
    </r>
    <r>
      <rPr>
        <sz val="9"/>
        <color rgb="FF000000"/>
        <rFont val="微軟正黑體"/>
        <family val="0"/>
        <charset val="1"/>
      </rPr>
      <t xml:space="preserve">17</t>
    </r>
    <r>
      <rPr>
        <sz val="9"/>
        <color rgb="FF000000"/>
        <rFont val="Noto Sans CJK SC"/>
        <family val="2"/>
      </rPr>
      <t xml:space="preserve">個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商機（高風險登記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在地代表</t>
    </r>
    <r>
      <rPr>
        <sz val="9"/>
        <color rgb="FF000000"/>
        <rFont val="微軟正黑體"/>
        <family val="0"/>
        <charset val="1"/>
      </rPr>
      <t xml:space="preserve">/2027/9</t>
    </r>
    <r>
      <rPr>
        <sz val="9"/>
        <color rgb="FF000000"/>
        <rFont val="Noto Sans CJK SC"/>
        <family val="2"/>
      </rPr>
      <t xml:space="preserve">補件）｜</t>
    </r>
    <r>
      <rPr>
        <sz val="9"/>
        <color rgb="FF000000"/>
        <rFont val="微軟正黑體"/>
        <family val="0"/>
        <charset val="1"/>
      </rPr>
      <t xml:space="preserve">AI Act timeline</t>
    </r>
  </si>
  <si>
    <r>
      <rPr>
        <sz val="9"/>
        <color rgb="FF000000"/>
        <rFont val="Noto Sans CJK SC"/>
        <family val="2"/>
      </rPr>
      <t xml:space="preserve">把</t>
    </r>
    <r>
      <rPr>
        <sz val="9"/>
        <color rgb="FF000000"/>
        <rFont val="微軟正黑體"/>
        <family val="0"/>
        <charset val="1"/>
      </rPr>
      <t xml:space="preserve">OPP-59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法規顧問）當第一個做的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生意：自己先走一遍流程再賣給別人</t>
    </r>
  </si>
  <si>
    <r>
      <rPr>
        <sz val="9"/>
        <color rgb="FF000000"/>
        <rFont val="Noto Sans CJK SC"/>
        <family val="2"/>
      </rPr>
      <t xml:space="preserve">首個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產品登記受阻或超過</t>
    </r>
    <r>
      <rPr>
        <sz val="9"/>
        <color rgb="FF000000"/>
        <rFont val="微軟正黑體"/>
        <family val="0"/>
        <charset val="1"/>
      </rPr>
      <t xml:space="preserve">90</t>
    </r>
    <r>
      <rPr>
        <sz val="9"/>
        <color rgb="FF000000"/>
        <rFont val="Noto Sans CJK SC"/>
        <family val="2"/>
      </rPr>
      <t xml:space="preserve">天</t>
    </r>
  </si>
  <si>
    <r>
      <rPr>
        <sz val="9"/>
        <color rgb="FF000000"/>
        <rFont val="微軟正黑體"/>
        <family val="0"/>
        <charset val="1"/>
      </rPr>
      <t xml:space="preserve">15 </t>
    </r>
    <r>
      <rPr>
        <sz val="9"/>
        <color rgb="FF000000"/>
        <rFont val="Noto Sans CJK SC"/>
        <family val="2"/>
      </rPr>
      <t xml:space="preserve">的</t>
    </r>
    <r>
      <rPr>
        <sz val="9"/>
        <color rgb="FF000000"/>
        <rFont val="微軟正黑體"/>
        <family val="0"/>
        <charset val="1"/>
      </rPr>
      <t xml:space="preserve">F</t>
    </r>
    <r>
      <rPr>
        <sz val="9"/>
        <color rgb="FF000000"/>
        <rFont val="Noto Sans CJK SC"/>
        <family val="2"/>
      </rPr>
      <t xml:space="preserve">族群</t>
    </r>
    <r>
      <rPr>
        <sz val="9"/>
        <color rgb="FF000000"/>
        <rFont val="微軟正黑體"/>
        <family val="0"/>
        <charset val="1"/>
      </rPr>
      <t xml:space="preserve">17</t>
    </r>
    <r>
      <rPr>
        <sz val="9"/>
        <color rgb="FF000000"/>
        <rFont val="Noto Sans CJK SC"/>
        <family val="2"/>
      </rPr>
      <t xml:space="preserve">個商機、</t>
    </r>
    <r>
      <rPr>
        <sz val="9"/>
        <color rgb="FF000000"/>
        <rFont val="微軟正黑體"/>
        <family val="0"/>
        <charset val="1"/>
      </rPr>
      <t xml:space="preserve">05 VN-AI-134</t>
    </r>
  </si>
  <si>
    <t xml:space="preserve">R-019</t>
  </si>
  <si>
    <r>
      <rPr>
        <sz val="9"/>
        <color rgb="FF000000"/>
        <rFont val="Noto Sans CJK SC"/>
        <family val="2"/>
      </rPr>
      <t xml:space="preserve">白地商機投入後市場不如預期（③尚未出現＝也可能是沒需求而不是沒人做）｜</t>
    </r>
    <r>
      <rPr>
        <sz val="9"/>
        <color rgb="FF000000"/>
        <rFont val="微軟正黑體"/>
        <family val="0"/>
        <charset val="1"/>
      </rPr>
      <t xml:space="preserve">White-space risk</t>
    </r>
  </si>
  <si>
    <r>
      <rPr>
        <sz val="9"/>
        <color rgb="FF000000"/>
        <rFont val="Noto Sans CJK SC"/>
        <family val="2"/>
      </rPr>
      <t xml:space="preserve">白地商機一律先</t>
    </r>
    <r>
      <rPr>
        <sz val="9"/>
        <color rgb="FF000000"/>
        <rFont val="微軟正黑體"/>
        <family val="0"/>
        <charset val="1"/>
      </rPr>
      <t xml:space="preserve">PoC/</t>
    </r>
    <r>
      <rPr>
        <sz val="9"/>
        <color rgb="FF000000"/>
        <rFont val="Noto Sans CJK SC"/>
        <family val="2"/>
      </rPr>
      <t xml:space="preserve">示範案再擴大；設停損點（</t>
    </r>
    <r>
      <rPr>
        <sz val="9"/>
        <color rgb="FF000000"/>
        <rFont val="微軟正黑體"/>
        <family val="0"/>
        <charset val="1"/>
      </rPr>
      <t xml:space="preserve">PoC</t>
    </r>
    <r>
      <rPr>
        <sz val="9"/>
        <color rgb="FF000000"/>
        <rFont val="Noto Sans CJK SC"/>
        <family val="2"/>
      </rPr>
      <t xml:space="preserve">預算上限與</t>
    </r>
    <r>
      <rPr>
        <sz val="9"/>
        <color rgb="FF000000"/>
        <rFont val="微軟正黑體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個月檢核）；</t>
    </r>
    <r>
      <rPr>
        <sz val="9"/>
        <color rgb="FF000000"/>
        <rFont val="微軟正黑體"/>
        <family val="0"/>
        <charset val="1"/>
      </rPr>
      <t xml:space="preserve">13④</t>
    </r>
    <r>
      <rPr>
        <sz val="9"/>
        <color rgb="FF000000"/>
        <rFont val="Noto Sans CJK SC"/>
        <family val="2"/>
      </rPr>
      <t xml:space="preserve">逐週追蹤</t>
    </r>
  </si>
  <si>
    <r>
      <rPr>
        <sz val="9"/>
        <color rgb="FF000000"/>
        <rFont val="微軟正黑體"/>
        <family val="0"/>
        <charset val="1"/>
      </rPr>
      <t xml:space="preserve">PoC</t>
    </r>
    <r>
      <rPr>
        <sz val="9"/>
        <color rgb="FF000000"/>
        <rFont val="Noto Sans CJK SC"/>
        <family val="2"/>
      </rPr>
      <t xml:space="preserve">後</t>
    </r>
    <r>
      <rPr>
        <sz val="9"/>
        <color rgb="FF000000"/>
        <rFont val="微軟正黑體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個月無付費客戶</t>
    </r>
  </si>
  <si>
    <r>
      <rPr>
        <sz val="9"/>
        <color rgb="FF000000"/>
        <rFont val="微軟正黑體"/>
        <family val="0"/>
        <charset val="1"/>
      </rPr>
      <t xml:space="preserve">13④ </t>
    </r>
    <r>
      <rPr>
        <sz val="9"/>
        <color rgb="FF000000"/>
        <rFont val="Noto Sans CJK SC"/>
        <family val="2"/>
      </rPr>
      <t xml:space="preserve">商機行動、</t>
    </r>
    <r>
      <rPr>
        <sz val="9"/>
        <color rgb="FF000000"/>
        <rFont val="微軟正黑體"/>
        <family val="0"/>
        <charset val="1"/>
      </rPr>
      <t xml:space="preserve">15 </t>
    </r>
    <r>
      <rPr>
        <sz val="9"/>
        <color rgb="FF000000"/>
        <rFont val="Noto Sans CJK SC"/>
        <family val="2"/>
      </rPr>
      <t xml:space="preserve">白地清單</t>
    </r>
  </si>
  <si>
    <t xml:space="preserve">R-020</t>
  </si>
  <si>
    <r>
      <rPr>
        <sz val="9"/>
        <color rgb="FF000000"/>
        <rFont val="Noto Sans CJK SC"/>
        <family val="2"/>
      </rPr>
      <t xml:space="preserve">關鍵缺口夥伴談不下來，牽動多個商機連鎖延誤（</t>
    </r>
    <r>
      <rPr>
        <sz val="9"/>
        <color rgb="FF000000"/>
        <rFont val="微軟正黑體"/>
        <family val="0"/>
        <charset val="1"/>
      </rPr>
      <t xml:space="preserve">CAP-030</t>
    </r>
    <r>
      <rPr>
        <sz val="9"/>
        <color rgb="FF000000"/>
        <rFont val="Noto Sans CJK SC"/>
        <family val="2"/>
      </rPr>
      <t xml:space="preserve">牽動</t>
    </r>
    <r>
      <rPr>
        <sz val="9"/>
        <color rgb="FF000000"/>
        <rFont val="微軟正黑體"/>
        <family val="0"/>
        <charset val="1"/>
      </rPr>
      <t xml:space="preserve">7</t>
    </r>
    <r>
      <rPr>
        <sz val="9"/>
        <color rgb="FF000000"/>
        <rFont val="Noto Sans CJK SC"/>
        <family val="2"/>
      </rPr>
      <t xml:space="preserve">個、</t>
    </r>
    <r>
      <rPr>
        <sz val="9"/>
        <color rgb="FF000000"/>
        <rFont val="微軟正黑體"/>
        <family val="0"/>
        <charset val="1"/>
      </rPr>
      <t xml:space="preserve">CAP-028</t>
    </r>
    <r>
      <rPr>
        <sz val="9"/>
        <color rgb="FF000000"/>
        <rFont val="Noto Sans CJK SC"/>
        <family val="2"/>
      </rPr>
      <t xml:space="preserve">牽動</t>
    </r>
    <r>
      <rPr>
        <sz val="9"/>
        <color rgb="FF000000"/>
        <rFont val="微軟正黑體"/>
        <family val="0"/>
        <charset val="1"/>
      </rPr>
      <t xml:space="preserve">6</t>
    </r>
    <r>
      <rPr>
        <sz val="9"/>
        <color rgb="FF000000"/>
        <rFont val="Noto Sans CJK SC"/>
        <family val="2"/>
      </rPr>
      <t xml:space="preserve">個）｜</t>
    </r>
    <r>
      <rPr>
        <sz val="9"/>
        <color rgb="FF000000"/>
        <rFont val="微軟正黑體"/>
        <family val="0"/>
        <charset val="1"/>
      </rPr>
      <t xml:space="preserve">Anchor partner risk</t>
    </r>
  </si>
  <si>
    <r>
      <rPr>
        <sz val="9"/>
        <color rgb="FF000000"/>
        <rFont val="Noto Sans CJK SC"/>
        <family val="2"/>
      </rPr>
      <t xml:space="preserve">每個高牽動缺口同時接觸</t>
    </r>
    <r>
      <rPr>
        <sz val="9"/>
        <color rgb="FF000000"/>
        <rFont val="微軟正黑體"/>
        <family val="0"/>
        <charset val="1"/>
      </rPr>
      <t xml:space="preserve">2-3</t>
    </r>
    <r>
      <rPr>
        <sz val="9"/>
        <color rgb="FF000000"/>
        <rFont val="Noto Sans CJK SC"/>
        <family val="2"/>
      </rPr>
      <t xml:space="preserve">家候選（</t>
    </r>
    <r>
      <rPr>
        <sz val="9"/>
        <color rgb="FF000000"/>
        <rFont val="微軟正黑體"/>
        <family val="0"/>
        <charset val="1"/>
      </rPr>
      <t xml:space="preserve">98</t>
    </r>
    <r>
      <rPr>
        <sz val="9"/>
        <color rgb="FF000000"/>
        <rFont val="Noto Sans CJK SC"/>
        <family val="2"/>
      </rPr>
      <t xml:space="preserve">名冊）；備援方案（代理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合資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自建）預先評估</t>
    </r>
  </si>
  <si>
    <r>
      <rPr>
        <sz val="9"/>
        <color rgb="FF000000"/>
        <rFont val="Noto Sans CJK SC"/>
        <family val="2"/>
      </rPr>
      <t xml:space="preserve">單一缺口洽談</t>
    </r>
    <r>
      <rPr>
        <sz val="9"/>
        <color rgb="FF000000"/>
        <rFont val="微軟正黑體"/>
        <family val="0"/>
        <charset val="1"/>
      </rPr>
      <t xml:space="preserve">&gt;90</t>
    </r>
    <r>
      <rPr>
        <sz val="9"/>
        <color rgb="FF000000"/>
        <rFont val="Noto Sans CJK SC"/>
        <family val="2"/>
      </rPr>
      <t xml:space="preserve">天無進展</t>
    </r>
  </si>
  <si>
    <r>
      <rPr>
        <sz val="9"/>
        <color rgb="FF000000"/>
        <rFont val="微軟正黑體"/>
        <family val="0"/>
        <charset val="1"/>
      </rPr>
      <t xml:space="preserve">11 </t>
    </r>
    <r>
      <rPr>
        <sz val="9"/>
        <color rgb="FF000000"/>
        <rFont val="Noto Sans CJK SC"/>
        <family val="2"/>
      </rPr>
      <t xml:space="preserve">缺口招募、</t>
    </r>
    <r>
      <rPr>
        <sz val="9"/>
        <color rgb="FF000000"/>
        <rFont val="微軟正黑體"/>
        <family val="0"/>
        <charset val="1"/>
      </rPr>
      <t xml:space="preserve">16 </t>
    </r>
    <r>
      <rPr>
        <sz val="9"/>
        <color rgb="FF000000"/>
        <rFont val="Noto Sans CJK SC"/>
        <family val="2"/>
      </rPr>
      <t xml:space="preserve">矩陣</t>
    </r>
  </si>
  <si>
    <t xml:space="preserve">R-021</t>
  </si>
  <si>
    <r>
      <rPr>
        <sz val="9"/>
        <color rgb="FF000000"/>
        <rFont val="微軟正黑體"/>
        <family val="0"/>
        <charset val="1"/>
      </rPr>
      <t xml:space="preserve">competitor</t>
    </r>
    <r>
      <rPr>
        <sz val="9"/>
        <color rgb="FF000000"/>
        <rFont val="Noto Sans CJK SC"/>
        <family val="2"/>
      </rPr>
      <t xml:space="preserve">在地國家隊（</t>
    </r>
    <r>
      <rPr>
        <sz val="9"/>
        <color rgb="FF000000"/>
        <rFont val="微軟正黑體"/>
        <family val="0"/>
        <charset val="1"/>
      </rPr>
      <t xml:space="preserve">VinBrain/Viettel/FPT/</t>
    </r>
    <r>
      <rPr>
        <sz val="9"/>
        <color rgb="FF000000"/>
        <rFont val="Noto Sans CJK SC"/>
        <family val="2"/>
      </rPr>
      <t xml:space="preserve">白梅）以低價或政策關係卡位｜</t>
    </r>
    <r>
      <rPr>
        <sz val="9"/>
        <color rgb="FF000000"/>
        <rFont val="微軟正黑體"/>
        <family val="0"/>
        <charset val="1"/>
      </rPr>
      <t xml:space="preserve">Incumbent response</t>
    </r>
  </si>
  <si>
    <r>
      <rPr>
        <sz val="9"/>
        <color rgb="FF000000"/>
        <rFont val="Noto Sans CJK SC"/>
        <family val="2"/>
      </rPr>
      <t xml:space="preserve">避開國家隊主場（通用影像</t>
    </r>
    <r>
      <rPr>
        <sz val="9"/>
        <color rgb="FF000000"/>
        <rFont val="微軟正黑體"/>
        <family val="0"/>
        <charset val="1"/>
      </rPr>
      <t xml:space="preserve">AI/</t>
    </r>
    <r>
      <rPr>
        <sz val="9"/>
        <color rgb="FF000000"/>
        <rFont val="Noto Sans CJK SC"/>
        <family val="2"/>
      </rPr>
      <t xml:space="preserve">基層</t>
    </r>
    <r>
      <rPr>
        <sz val="9"/>
        <color rgb="FF000000"/>
        <rFont val="微軟正黑體"/>
        <family val="0"/>
        <charset val="1"/>
      </rPr>
      <t xml:space="preserve">HIS</t>
    </r>
    <r>
      <rPr>
        <sz val="9"/>
        <color rgb="FF000000"/>
        <rFont val="Noto Sans CJK SC"/>
        <family val="2"/>
      </rPr>
      <t xml:space="preserve">），走利基與服務層（</t>
    </r>
    <r>
      <rPr>
        <sz val="9"/>
        <color rgb="FF000000"/>
        <rFont val="微軟正黑體"/>
        <family val="0"/>
        <charset val="1"/>
      </rPr>
      <t xml:space="preserve">15</t>
    </r>
    <r>
      <rPr>
        <sz val="9"/>
        <color rgb="FF000000"/>
        <rFont val="Noto Sans CJK SC"/>
        <family val="2"/>
      </rPr>
      <t xml:space="preserve">的</t>
    </r>
    <r>
      <rPr>
        <sz val="9"/>
        <color rgb="FF000000"/>
        <rFont val="微軟正黑體"/>
        <family val="0"/>
        <charset val="1"/>
      </rPr>
      <t xml:space="preserve">W</t>
    </r>
    <r>
      <rPr>
        <sz val="9"/>
        <color rgb="FF000000"/>
        <rFont val="Noto Sans CJK SC"/>
        <family val="2"/>
      </rPr>
      <t xml:space="preserve">欄切入角度）；與其合作優先於對抗</t>
    </r>
  </si>
  <si>
    <r>
      <rPr>
        <sz val="9"/>
        <color rgb="FF000000"/>
        <rFont val="Noto Sans CJK SC"/>
        <family val="2"/>
      </rPr>
      <t xml:space="preserve">目標商機出現國家隊免費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超低價方案</t>
    </r>
  </si>
  <si>
    <r>
      <rPr>
        <sz val="9"/>
        <color rgb="FF000000"/>
        <rFont val="微軟正黑體"/>
        <family val="0"/>
        <charset val="1"/>
      </rPr>
      <t xml:space="preserve">15 </t>
    </r>
    <r>
      <rPr>
        <sz val="9"/>
        <color rgb="FF000000"/>
        <rFont val="Noto Sans CJK SC"/>
        <family val="2"/>
      </rPr>
      <t xml:space="preserve">的</t>
    </r>
    <r>
      <rPr>
        <sz val="9"/>
        <color rgb="FF000000"/>
        <rFont val="微軟正黑體"/>
        <family val="0"/>
        <charset val="1"/>
      </rPr>
      <t xml:space="preserve">V/W</t>
    </r>
    <r>
      <rPr>
        <sz val="9"/>
        <color rgb="FF000000"/>
        <rFont val="Noto Sans CJK SC"/>
        <family val="2"/>
      </rPr>
      <t xml:space="preserve">欄</t>
    </r>
  </si>
  <si>
    <r>
      <rPr>
        <b val="true"/>
        <sz val="15"/>
        <color rgb="FFFFFFFF"/>
        <rFont val="微軟正黑體"/>
        <family val="0"/>
        <charset val="1"/>
      </rPr>
      <t xml:space="preserve">09 KPI</t>
    </r>
    <r>
      <rPr>
        <b val="true"/>
        <sz val="15"/>
        <color rgb="FFFFFFFF"/>
        <rFont val="Noto Sans CJK SC"/>
        <family val="2"/>
      </rPr>
      <t xml:space="preserve">計分卡｜</t>
    </r>
    <r>
      <rPr>
        <b val="true"/>
        <sz val="15"/>
        <color rgb="FFFFFFFF"/>
        <rFont val="微軟正黑體"/>
        <family val="0"/>
        <charset val="1"/>
      </rPr>
      <t xml:space="preserve">Benefits &amp; KPI Scorecard</t>
    </r>
    <r>
      <rPr>
        <b val="true"/>
        <sz val="15"/>
        <color rgb="FFFFFFFF"/>
        <rFont val="Noto Sans CJK SC"/>
        <family val="2"/>
      </rPr>
      <t xml:space="preserve">（怎麼驗收：效益與成熟度）</t>
    </r>
  </si>
  <si>
    <r>
      <rPr>
        <i val="true"/>
        <sz val="9.5"/>
        <color rgb="FF404040"/>
        <rFont val="Noto Sans CJK SC"/>
        <family val="2"/>
      </rPr>
      <t xml:space="preserve">❓ 這頁在回答：怎麼算成功？每個指標怎麼量？　　▸ 基線</t>
    </r>
    <r>
      <rPr>
        <i val="true"/>
        <sz val="9.5"/>
        <color rgb="FF404040"/>
        <rFont val="微軟正黑體"/>
        <family val="0"/>
        <charset val="1"/>
      </rPr>
      <t xml:space="preserve">/</t>
    </r>
    <r>
      <rPr>
        <i val="true"/>
        <sz val="9.5"/>
        <color rgb="FF404040"/>
        <rFont val="Noto Sans CJK SC"/>
        <family val="2"/>
      </rPr>
      <t xml:space="preserve">目標留白＝待特定醫院確認後填入；下方領域成熟度自動引用</t>
    </r>
    <r>
      <rPr>
        <i val="true"/>
        <sz val="9.5"/>
        <color rgb="FF404040"/>
        <rFont val="微軟正黑體"/>
        <family val="0"/>
        <charset val="1"/>
      </rPr>
      <t xml:space="preserve">02</t>
    </r>
    <r>
      <rPr>
        <i val="true"/>
        <sz val="9.5"/>
        <color rgb="FF404040"/>
        <rFont val="Noto Sans CJK SC"/>
        <family val="2"/>
      </rPr>
      <t xml:space="preserve">情境權重的基線診斷。</t>
    </r>
  </si>
  <si>
    <t xml:space="preserve">KPI ID</t>
  </si>
  <si>
    <t xml:space="preserve">面向</t>
  </si>
  <si>
    <r>
      <rPr>
        <b val="true"/>
        <sz val="10"/>
        <color rgb="FFFFFFFF"/>
        <rFont val="Noto Sans CJK SC"/>
        <family val="2"/>
      </rPr>
      <t xml:space="preserve">指標 </t>
    </r>
    <r>
      <rPr>
        <b val="true"/>
        <sz val="10"/>
        <color rgb="FFFFFFFF"/>
        <rFont val="微軟正黑體"/>
        <family val="0"/>
        <charset val="1"/>
      </rPr>
      <t xml:space="preserve">KPI</t>
    </r>
  </si>
  <si>
    <t xml:space="preserve">方向</t>
  </si>
  <si>
    <t xml:space="preserve">基線</t>
  </si>
  <si>
    <t xml:space="preserve">改善幅度</t>
  </si>
  <si>
    <t xml:space="preserve">頻率</t>
  </si>
  <si>
    <t xml:space="preserve">資料源</t>
  </si>
  <si>
    <r>
      <rPr>
        <b val="true"/>
        <sz val="10"/>
        <color rgb="FFFFFFFF"/>
        <rFont val="Noto Sans CJK SC"/>
        <family val="2"/>
      </rPr>
      <t xml:space="preserve">計算公式 </t>
    </r>
    <r>
      <rPr>
        <b val="true"/>
        <sz val="10"/>
        <color rgb="FFFFFFFF"/>
        <rFont val="微軟正黑體"/>
        <family val="0"/>
        <charset val="1"/>
      </rPr>
      <t xml:space="preserve">Formula</t>
    </r>
  </si>
  <si>
    <r>
      <rPr>
        <b val="true"/>
        <sz val="10"/>
        <color rgb="FFFFFFFF"/>
        <rFont val="Noto Sans CJK SC"/>
        <family val="2"/>
      </rPr>
      <t xml:space="preserve">分子 </t>
    </r>
    <r>
      <rPr>
        <b val="true"/>
        <sz val="10"/>
        <color rgb="FFFFFFFF"/>
        <rFont val="微軟正黑體"/>
        <family val="0"/>
        <charset val="1"/>
      </rPr>
      <t xml:space="preserve">Numerator</t>
    </r>
  </si>
  <si>
    <r>
      <rPr>
        <b val="true"/>
        <sz val="10"/>
        <color rgb="FFFFFFFF"/>
        <rFont val="Noto Sans CJK SC"/>
        <family val="2"/>
      </rPr>
      <t xml:space="preserve">分母 </t>
    </r>
    <r>
      <rPr>
        <b val="true"/>
        <sz val="10"/>
        <color rgb="FFFFFFFF"/>
        <rFont val="微軟正黑體"/>
        <family val="0"/>
        <charset val="1"/>
      </rPr>
      <t xml:space="preserve">Denominator</t>
    </r>
  </si>
  <si>
    <r>
      <rPr>
        <b val="true"/>
        <sz val="10"/>
        <color rgb="FFFFFFFF"/>
        <rFont val="Noto Sans CJK SC"/>
        <family val="2"/>
      </rPr>
      <t xml:space="preserve">資料來源系統 </t>
    </r>
    <r>
      <rPr>
        <b val="true"/>
        <sz val="10"/>
        <color rgb="FFFFFFFF"/>
        <rFont val="微軟正黑體"/>
        <family val="0"/>
        <charset val="1"/>
      </rPr>
      <t xml:space="preserve">Source system</t>
    </r>
  </si>
  <si>
    <r>
      <rPr>
        <b val="true"/>
        <sz val="10"/>
        <color rgb="FFFFFFFF"/>
        <rFont val="Noto Sans CJK SC"/>
        <family val="2"/>
      </rPr>
      <t xml:space="preserve">參考基線來源｜</t>
    </r>
    <r>
      <rPr>
        <b val="true"/>
        <sz val="10"/>
        <color rgb="FFFFFFFF"/>
        <rFont val="微軟正黑體"/>
        <family val="0"/>
        <charset val="1"/>
      </rPr>
      <t xml:space="preserve">Baseline note</t>
    </r>
  </si>
  <si>
    <r>
      <rPr>
        <sz val="8"/>
        <color rgb="FF808080"/>
        <rFont val="微軟正黑體"/>
        <family val="0"/>
        <charset val="1"/>
      </rPr>
      <t xml:space="preserve">KPI</t>
    </r>
    <r>
      <rPr>
        <sz val="8"/>
        <color rgb="FF808080"/>
        <rFont val="Noto Sans CJK SC"/>
        <family val="2"/>
      </rPr>
      <t xml:space="preserve">代號＋指標（下拉用</t>
    </r>
    <r>
      <rPr>
        <sz val="8"/>
        <color rgb="FF808080"/>
        <rFont val="微軟正黑體"/>
        <family val="0"/>
        <charset val="1"/>
      </rPr>
      <t xml:space="preserve">·</t>
    </r>
    <r>
      <rPr>
        <sz val="8"/>
        <color rgb="FF808080"/>
        <rFont val="Noto Sans CJK SC"/>
        <family val="2"/>
      </rPr>
      <t xml:space="preserve">勿刪）</t>
    </r>
  </si>
  <si>
    <t xml:space="preserve">KPI-GOV-01</t>
  </si>
  <si>
    <r>
      <rPr>
        <sz val="9"/>
        <color rgb="FF000000"/>
        <rFont val="微軟正黑體"/>
        <family val="0"/>
        <charset val="1"/>
      </rPr>
      <t xml:space="preserve">Formal mandate coverage</t>
    </r>
    <r>
      <rPr>
        <sz val="9"/>
        <color rgb="FF000000"/>
        <rFont val="Noto Sans CJK SC"/>
        <family val="2"/>
      </rPr>
      <t xml:space="preserve">｜正式授權覆蓋</t>
    </r>
  </si>
  <si>
    <t xml:space="preserve">越高越好</t>
  </si>
  <si>
    <t xml:space="preserve">Quarterly</t>
  </si>
  <si>
    <t xml:space="preserve">Decision register</t>
  </si>
  <si>
    <t xml:space="preserve">Customize by hospital type</t>
  </si>
  <si>
    <r>
      <rPr>
        <sz val="9"/>
        <color rgb="FF000000"/>
        <rFont val="Noto Sans CJK SC"/>
        <family val="2"/>
      </rPr>
      <t xml:space="preserve">已取得正式授權文件數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應取得授權文件數 </t>
    </r>
    <r>
      <rPr>
        <sz val="9"/>
        <color rgb="FF000000"/>
        <rFont val="微軟正黑體"/>
        <family val="0"/>
        <charset val="1"/>
      </rPr>
      <t xml:space="preserve">× 100</t>
    </r>
  </si>
  <si>
    <r>
      <rPr>
        <sz val="9"/>
        <color rgb="FF000000"/>
        <rFont val="Noto Sans CJK SC"/>
        <family val="2"/>
      </rPr>
      <t xml:space="preserve">已簽署授權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章程文件數</t>
    </r>
  </si>
  <si>
    <t xml:space="preserve">清單上應取得之文件數</t>
  </si>
  <si>
    <r>
      <rPr>
        <sz val="9"/>
        <color rgb="FF000000"/>
        <rFont val="微軟正黑體"/>
        <family val="0"/>
        <charset val="1"/>
      </rPr>
      <t xml:space="preserve">10_</t>
    </r>
    <r>
      <rPr>
        <sz val="9"/>
        <color rgb="FF000000"/>
        <rFont val="Noto Sans CJK SC"/>
        <family val="2"/>
      </rPr>
      <t xml:space="preserve">決策紀錄</t>
    </r>
  </si>
  <si>
    <t xml:space="preserve">規劃假設值，須以現地量測或合約值取代</t>
  </si>
  <si>
    <t xml:space="preserve">KPI-GOV-03</t>
  </si>
  <si>
    <r>
      <rPr>
        <sz val="9"/>
        <color rgb="FF000000"/>
        <rFont val="微軟正黑體"/>
        <family val="0"/>
        <charset val="1"/>
      </rPr>
      <t xml:space="preserve">Critical permits on schedule</t>
    </r>
    <r>
      <rPr>
        <sz val="9"/>
        <color rgb="FF000000"/>
        <rFont val="Noto Sans CJK SC"/>
        <family val="2"/>
      </rPr>
      <t xml:space="preserve">｜關鍵許可準時率</t>
    </r>
  </si>
  <si>
    <t xml:space="preserve">Monthly</t>
  </si>
  <si>
    <t xml:space="preserve">Permit register</t>
  </si>
  <si>
    <r>
      <rPr>
        <sz val="9"/>
        <color rgb="FF000000"/>
        <rFont val="Noto Sans CJK SC"/>
        <family val="2"/>
      </rPr>
      <t xml:space="preserve">準時取得之關鍵許可數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期間應取得許可數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</si>
  <si>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準時取得許可數</t>
  </si>
  <si>
    <t xml:space="preserve">期間應取得許可數</t>
  </si>
  <si>
    <r>
      <rPr>
        <sz val="9"/>
        <color rgb="FF000000"/>
        <rFont val="Noto Sans CJK SC"/>
        <family val="2"/>
      </rPr>
      <t xml:space="preserve">許可登錄表（</t>
    </r>
    <r>
      <rPr>
        <sz val="9"/>
        <color rgb="FF000000"/>
        <rFont val="微軟正黑體"/>
        <family val="0"/>
        <charset val="1"/>
      </rPr>
      <t xml:space="preserve">05 </t>
    </r>
    <r>
      <rPr>
        <sz val="9"/>
        <color rgb="FF000000"/>
        <rFont val="Noto Sans CJK SC"/>
        <family val="2"/>
      </rPr>
      <t xml:space="preserve">法規門檻）</t>
    </r>
  </si>
  <si>
    <t xml:space="preserve">KPI-CLN-01</t>
  </si>
  <si>
    <r>
      <rPr>
        <sz val="9"/>
        <color rgb="FF000000"/>
        <rFont val="微軟正黑體"/>
        <family val="0"/>
        <charset val="1"/>
      </rPr>
      <t xml:space="preserve">Demand forecast variance</t>
    </r>
    <r>
      <rPr>
        <sz val="9"/>
        <color rgb="FF000000"/>
        <rFont val="Noto Sans CJK SC"/>
        <family val="2"/>
      </rPr>
      <t xml:space="preserve">｜需求預測差異</t>
    </r>
  </si>
  <si>
    <t xml:space="preserve">越低越好</t>
  </si>
  <si>
    <t xml:space="preserve">Activity data</t>
  </si>
  <si>
    <r>
      <rPr>
        <sz val="9"/>
        <color rgb="FF000000"/>
        <rFont val="微軟正黑體"/>
        <family val="0"/>
        <charset val="1"/>
      </rPr>
      <t xml:space="preserve">|</t>
    </r>
    <r>
      <rPr>
        <sz val="9"/>
        <color rgb="FF000000"/>
        <rFont val="Noto Sans CJK SC"/>
        <family val="2"/>
      </rPr>
      <t xml:space="preserve">實際服務量 − 預測服務量</t>
    </r>
    <r>
      <rPr>
        <sz val="9"/>
        <color rgb="FF000000"/>
        <rFont val="微軟正黑體"/>
        <family val="0"/>
        <charset val="1"/>
      </rPr>
      <t xml:space="preserve">| ÷ </t>
    </r>
    <r>
      <rPr>
        <sz val="9"/>
        <color rgb="FF000000"/>
        <rFont val="Noto Sans CJK SC"/>
        <family val="2"/>
      </rPr>
      <t xml:space="preserve">預測服務量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</si>
  <si>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預測與實際差額絕對值</t>
  </si>
  <si>
    <t xml:space="preserve">預測服務量</t>
  </si>
  <si>
    <r>
      <rPr>
        <sz val="9"/>
        <color rgb="FF000000"/>
        <rFont val="微軟正黑體"/>
        <family val="0"/>
        <charset val="1"/>
      </rPr>
      <t xml:space="preserve">HIS </t>
    </r>
    <r>
      <rPr>
        <sz val="9"/>
        <color rgb="FF000000"/>
        <rFont val="Noto Sans CJK SC"/>
        <family val="2"/>
      </rPr>
      <t xml:space="preserve">就醫活動資料</t>
    </r>
  </si>
  <si>
    <t xml:space="preserve">KPI-CLN-04</t>
  </si>
  <si>
    <r>
      <rPr>
        <sz val="9"/>
        <color rgb="FF000000"/>
        <rFont val="微軟正黑體"/>
        <family val="0"/>
        <charset val="1"/>
      </rPr>
      <t xml:space="preserve">Appropriate referral rate</t>
    </r>
    <r>
      <rPr>
        <sz val="9"/>
        <color rgb="FF000000"/>
        <rFont val="Noto Sans CJK SC"/>
        <family val="2"/>
      </rPr>
      <t xml:space="preserve">｜適當轉診率</t>
    </r>
  </si>
  <si>
    <t xml:space="preserve">EMR / referral data</t>
  </si>
  <si>
    <r>
      <rPr>
        <sz val="9"/>
        <color rgb="FF000000"/>
        <rFont val="Noto Sans CJK SC"/>
        <family val="2"/>
      </rPr>
      <t xml:space="preserve">符合轉診準則之轉診案件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總轉診案件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</si>
  <si>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符合準則轉診數</t>
  </si>
  <si>
    <t xml:space="preserve">總轉診數</t>
  </si>
  <si>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／轉診系統</t>
    </r>
  </si>
  <si>
    <t xml:space="preserve">KPI-QPS-01</t>
  </si>
  <si>
    <t xml:space="preserve">Quality</t>
  </si>
  <si>
    <r>
      <rPr>
        <sz val="9"/>
        <color rgb="FF000000"/>
        <rFont val="微軟正黑體"/>
        <family val="0"/>
        <charset val="1"/>
      </rPr>
      <t xml:space="preserve">Clinical governance actions closed</t>
    </r>
    <r>
      <rPr>
        <sz val="9"/>
        <color rgb="FF000000"/>
        <rFont val="Noto Sans CJK SC"/>
        <family val="2"/>
      </rPr>
      <t xml:space="preserve">｜臨床治理事項結案率</t>
    </r>
  </si>
  <si>
    <t xml:space="preserve">Medical Director</t>
  </si>
  <si>
    <t xml:space="preserve">Committee records</t>
  </si>
  <si>
    <r>
      <rPr>
        <sz val="9"/>
        <color rgb="FF000000"/>
        <rFont val="Noto Sans CJK SC"/>
        <family val="2"/>
      </rPr>
      <t xml:space="preserve">期限內結案之臨床治理事項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應結案事項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</si>
  <si>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期限內結案數</t>
  </si>
  <si>
    <t xml:space="preserve">應結案數</t>
  </si>
  <si>
    <t xml:space="preserve">品質委員會紀錄</t>
  </si>
  <si>
    <t xml:space="preserve">KPI-QPS-02</t>
  </si>
  <si>
    <r>
      <rPr>
        <sz val="9"/>
        <color rgb="FF000000"/>
        <rFont val="微軟正黑體"/>
        <family val="0"/>
        <charset val="1"/>
      </rPr>
      <t xml:space="preserve">Healthcare-associated infection rate</t>
    </r>
    <r>
      <rPr>
        <sz val="9"/>
        <color rgb="FF000000"/>
        <rFont val="Noto Sans CJK SC"/>
        <family val="2"/>
      </rPr>
      <t xml:space="preserve">｜醫療照護感染率</t>
    </r>
  </si>
  <si>
    <t xml:space="preserve">per 1,000 patient-days</t>
  </si>
  <si>
    <t xml:space="preserve">Surveillance system</t>
  </si>
  <si>
    <r>
      <rPr>
        <sz val="9"/>
        <color rgb="FF000000"/>
        <rFont val="Noto Sans CJK SC"/>
        <family val="2"/>
      </rPr>
      <t xml:space="preserve">醫療照護相關感染人次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住院人日 </t>
    </r>
    <r>
      <rPr>
        <sz val="9"/>
        <color rgb="FF000000"/>
        <rFont val="微軟正黑體"/>
        <family val="0"/>
        <charset val="1"/>
      </rPr>
      <t xml:space="preserve">× 1000</t>
    </r>
  </si>
  <si>
    <r>
      <rPr>
        <sz val="9"/>
        <color rgb="FF000000"/>
        <rFont val="微軟正黑體"/>
        <family val="0"/>
        <charset val="1"/>
      </rPr>
      <t xml:space="preserve">HAI </t>
    </r>
    <r>
      <rPr>
        <sz val="9"/>
        <color rgb="FF000000"/>
        <rFont val="Noto Sans CJK SC"/>
        <family val="2"/>
      </rPr>
      <t xml:space="preserve">感染人次</t>
    </r>
  </si>
  <si>
    <t xml:space="preserve">住院人日數</t>
  </si>
  <si>
    <t xml:space="preserve">感染監測系統</t>
  </si>
  <si>
    <t xml:space="preserve">KPI-QPS-03</t>
  </si>
  <si>
    <r>
      <rPr>
        <sz val="9"/>
        <color rgb="FF000000"/>
        <rFont val="微軟正黑體"/>
        <family val="0"/>
        <charset val="1"/>
      </rPr>
      <t xml:space="preserve">Closed-loop medication compliance</t>
    </r>
    <r>
      <rPr>
        <sz val="9"/>
        <color rgb="FF000000"/>
        <rFont val="Noto Sans CJK SC"/>
        <family val="2"/>
      </rPr>
      <t xml:space="preserve">｜閉環用藥符合率</t>
    </r>
  </si>
  <si>
    <t xml:space="preserve">EMR / BCMA</t>
  </si>
  <si>
    <r>
      <rPr>
        <sz val="9"/>
        <color rgb="FF000000"/>
        <rFont val="Noto Sans CJK SC"/>
        <family val="2"/>
      </rPr>
      <t xml:space="preserve">完成掃碼給藥之給藥次數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總給藥次數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</si>
  <si>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閉環給藥次數</t>
  </si>
  <si>
    <t xml:space="preserve">總給藥次數</t>
  </si>
  <si>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BCMA</t>
    </r>
  </si>
  <si>
    <t xml:space="preserve">KPI-QPS-08</t>
  </si>
  <si>
    <r>
      <rPr>
        <sz val="9"/>
        <color rgb="FF000000"/>
        <rFont val="微軟正黑體"/>
        <family val="0"/>
        <charset val="1"/>
      </rPr>
      <t xml:space="preserve">Critical activation risks open</t>
    </r>
    <r>
      <rPr>
        <sz val="9"/>
        <color rgb="FF000000"/>
        <rFont val="Noto Sans CJK SC"/>
        <family val="2"/>
      </rPr>
      <t xml:space="preserve">｜未關閉重大開院風險</t>
    </r>
  </si>
  <si>
    <t xml:space="preserve">count</t>
  </si>
  <si>
    <t xml:space="preserve">Weekly pre-open</t>
  </si>
  <si>
    <t xml:space="preserve">Activation register</t>
  </si>
  <si>
    <r>
      <rPr>
        <sz val="9"/>
        <color rgb="FF000000"/>
        <rFont val="Noto Sans CJK SC"/>
        <family val="2"/>
      </rPr>
      <t xml:space="preserve">開院前尚未關閉之重大（極高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高）風險項目數</t>
    </r>
  </si>
  <si>
    <t xml:space="preserve">未關閉重大風險數</t>
  </si>
  <si>
    <t xml:space="preserve">—</t>
  </si>
  <si>
    <r>
      <rPr>
        <sz val="9"/>
        <color rgb="FF000000"/>
        <rFont val="微軟正黑體"/>
        <family val="0"/>
        <charset val="1"/>
      </rPr>
      <t xml:space="preserve">08 </t>
    </r>
    <r>
      <rPr>
        <sz val="9"/>
        <color rgb="FF000000"/>
        <rFont val="Noto Sans CJK SC"/>
        <family val="2"/>
      </rPr>
      <t xml:space="preserve">風險清冊</t>
    </r>
  </si>
  <si>
    <t xml:space="preserve">KPI-OPS-01</t>
  </si>
  <si>
    <t xml:space="preserve">Operations</t>
  </si>
  <si>
    <r>
      <rPr>
        <sz val="9"/>
        <color rgb="FF000000"/>
        <rFont val="微軟正黑體"/>
        <family val="0"/>
        <charset val="1"/>
      </rPr>
      <t xml:space="preserve">Average length of stay</t>
    </r>
    <r>
      <rPr>
        <sz val="9"/>
        <color rgb="FF000000"/>
        <rFont val="Noto Sans CJK SC"/>
        <family val="2"/>
      </rPr>
      <t xml:space="preserve">｜平均住院日</t>
    </r>
  </si>
  <si>
    <t xml:space="preserve">days</t>
  </si>
  <si>
    <t xml:space="preserve">情境判斷</t>
  </si>
  <si>
    <t xml:space="preserve">EMR</t>
  </si>
  <si>
    <r>
      <rPr>
        <sz val="9"/>
        <color rgb="FF000000"/>
        <rFont val="Noto Sans CJK SC"/>
        <family val="2"/>
      </rPr>
      <t xml:space="preserve">總住院日數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出院人次</t>
    </r>
  </si>
  <si>
    <t xml:space="preserve">總住院日數</t>
  </si>
  <si>
    <t xml:space="preserve">出院人次</t>
  </si>
  <si>
    <t xml:space="preserve">HIS</t>
  </si>
  <si>
    <t xml:space="preserve">KPI-OPS-02</t>
  </si>
  <si>
    <r>
      <rPr>
        <sz val="9"/>
        <color rgb="FF000000"/>
        <rFont val="微軟正黑體"/>
        <family val="0"/>
        <charset val="1"/>
      </rPr>
      <t xml:space="preserve">Critical asset utilization</t>
    </r>
    <r>
      <rPr>
        <sz val="9"/>
        <color rgb="FF000000"/>
        <rFont val="Noto Sans CJK SC"/>
        <family val="2"/>
      </rPr>
      <t xml:space="preserve">｜關鍵設備利用率</t>
    </r>
  </si>
  <si>
    <t xml:space="preserve">RTLS / CMMS</t>
  </si>
  <si>
    <r>
      <rPr>
        <sz val="9"/>
        <color rgb="FF000000"/>
        <rFont val="Noto Sans CJK SC"/>
        <family val="2"/>
      </rPr>
      <t xml:space="preserve">設備實際使用時數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可用時數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</si>
  <si>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實際使用時數</t>
  </si>
  <si>
    <t xml:space="preserve">可用時數</t>
  </si>
  <si>
    <r>
      <rPr>
        <sz val="9"/>
        <color rgb="FF000000"/>
        <rFont val="微軟正黑體"/>
        <family val="0"/>
        <charset val="1"/>
      </rPr>
      <t xml:space="preserve">RTLS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CMMS</t>
    </r>
  </si>
  <si>
    <t xml:space="preserve">KPI-OPS-03</t>
  </si>
  <si>
    <r>
      <rPr>
        <sz val="9"/>
        <color rgb="FF000000"/>
        <rFont val="微軟正黑體"/>
        <family val="0"/>
        <charset val="1"/>
      </rPr>
      <t xml:space="preserve">Nurse-call response time</t>
    </r>
    <r>
      <rPr>
        <sz val="9"/>
        <color rgb="FF000000"/>
        <rFont val="Noto Sans CJK SC"/>
        <family val="2"/>
      </rPr>
      <t xml:space="preserve">｜護理呼叫回應時間</t>
    </r>
  </si>
  <si>
    <t xml:space="preserve">minutes</t>
  </si>
  <si>
    <t xml:space="preserve">Nursing Director</t>
  </si>
  <si>
    <t xml:space="preserve">Nurse call</t>
  </si>
  <si>
    <r>
      <rPr>
        <sz val="9"/>
        <color rgb="FF000000"/>
        <rFont val="Noto Sans CJK SC"/>
        <family val="2"/>
      </rPr>
      <t xml:space="preserve">呼叫至到場之總分鐘數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呼叫次數</t>
    </r>
  </si>
  <si>
    <t xml:space="preserve">總回應分鐘數</t>
  </si>
  <si>
    <t xml:space="preserve">呼叫次數</t>
  </si>
  <si>
    <t xml:space="preserve">護理呼叫系統</t>
  </si>
  <si>
    <t xml:space="preserve">KPI-IT-01</t>
  </si>
  <si>
    <t xml:space="preserve">Digital</t>
  </si>
  <si>
    <r>
      <rPr>
        <sz val="9"/>
        <color rgb="FF000000"/>
        <rFont val="微軟正黑體"/>
        <family val="0"/>
        <charset val="1"/>
      </rPr>
      <t xml:space="preserve">IDC service availability</t>
    </r>
    <r>
      <rPr>
        <sz val="9"/>
        <color rgb="FF000000"/>
        <rFont val="Noto Sans CJK SC"/>
        <family val="2"/>
      </rPr>
      <t xml:space="preserve">｜</t>
    </r>
    <r>
      <rPr>
        <sz val="9"/>
        <color rgb="FF000000"/>
        <rFont val="微軟正黑體"/>
        <family val="0"/>
        <charset val="1"/>
      </rPr>
      <t xml:space="preserve">IDC</t>
    </r>
    <r>
      <rPr>
        <sz val="9"/>
        <color rgb="FF000000"/>
        <rFont val="Noto Sans CJK SC"/>
        <family val="2"/>
      </rPr>
      <t xml:space="preserve">服務可用率</t>
    </r>
  </si>
  <si>
    <t xml:space="preserve">Infrastructure monitoring</t>
  </si>
  <si>
    <r>
      <rPr>
        <sz val="9"/>
        <color rgb="FF000000"/>
        <rFont val="微軟正黑體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期間總分鐘 − 非計畫停機分鐘</t>
    </r>
    <r>
      <rPr>
        <sz val="9"/>
        <color rgb="FF000000"/>
        <rFont val="微軟正黑體"/>
        <family val="0"/>
        <charset val="1"/>
      </rPr>
      <t xml:space="preserve">) ÷ </t>
    </r>
    <r>
      <rPr>
        <sz val="9"/>
        <color rgb="FF000000"/>
        <rFont val="Noto Sans CJK SC"/>
        <family val="2"/>
      </rPr>
      <t xml:space="preserve">期間總分鐘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</si>
  <si>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可用分鐘數</t>
  </si>
  <si>
    <t xml:space="preserve">期間總分鐘數</t>
  </si>
  <si>
    <t xml:space="preserve">基礎設施監控</t>
  </si>
  <si>
    <t xml:space="preserve">KPI-IT-02</t>
  </si>
  <si>
    <r>
      <rPr>
        <sz val="9"/>
        <color rgb="FF000000"/>
        <rFont val="微軟正黑體"/>
        <family val="0"/>
        <charset val="1"/>
      </rPr>
      <t xml:space="preserve">Clinical Wi-Fi coverage acceptance</t>
    </r>
    <r>
      <rPr>
        <sz val="9"/>
        <color rgb="FF000000"/>
        <rFont val="Noto Sans CJK SC"/>
        <family val="2"/>
      </rPr>
      <t xml:space="preserve">｜臨床無線覆蓋驗收</t>
    </r>
  </si>
  <si>
    <t xml:space="preserve">At commissioning</t>
  </si>
  <si>
    <t xml:space="preserve">Survey report</t>
  </si>
  <si>
    <r>
      <rPr>
        <sz val="9"/>
        <color rgb="FF000000"/>
        <rFont val="Noto Sans CJK SC"/>
        <family val="2"/>
      </rPr>
      <t xml:space="preserve">達訊號強度門檻之量測點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總量測點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</si>
  <si>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合格量測點數</t>
  </si>
  <si>
    <t xml:space="preserve">總量測點數</t>
  </si>
  <si>
    <t xml:space="preserve">無線覆蓋測試報告</t>
  </si>
  <si>
    <t xml:space="preserve">KPI-IT-03</t>
  </si>
  <si>
    <r>
      <rPr>
        <sz val="9"/>
        <color rgb="FF000000"/>
        <rFont val="微軟正黑體"/>
        <family val="0"/>
        <charset val="1"/>
      </rPr>
      <t xml:space="preserve">DR recovery objective achieved</t>
    </r>
    <r>
      <rPr>
        <sz val="9"/>
        <color rgb="FF000000"/>
        <rFont val="Noto Sans CJK SC"/>
        <family val="2"/>
      </rPr>
      <t xml:space="preserve">｜災難復原目標達成</t>
    </r>
  </si>
  <si>
    <t xml:space="preserve">Semiannual</t>
  </si>
  <si>
    <t xml:space="preserve">DR test</t>
  </si>
  <si>
    <r>
      <rPr>
        <sz val="9"/>
        <color rgb="FF000000"/>
        <rFont val="Noto Sans CJK SC"/>
        <family val="2"/>
      </rPr>
      <t xml:space="preserve">達成 </t>
    </r>
    <r>
      <rPr>
        <sz val="9"/>
        <color rgb="FF000000"/>
        <rFont val="微軟正黑體"/>
        <family val="0"/>
        <charset val="1"/>
      </rPr>
      <t xml:space="preserve">RTO/RPO </t>
    </r>
    <r>
      <rPr>
        <sz val="9"/>
        <color rgb="FF000000"/>
        <rFont val="Noto Sans CJK SC"/>
        <family val="2"/>
      </rPr>
      <t xml:space="preserve">目標之演練場景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總演練場景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</si>
  <si>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達標場景數</t>
  </si>
  <si>
    <t xml:space="preserve">總演練場景數</t>
  </si>
  <si>
    <r>
      <rPr>
        <sz val="9"/>
        <color rgb="FF000000"/>
        <rFont val="微軟正黑體"/>
        <family val="0"/>
        <charset val="1"/>
      </rPr>
      <t xml:space="preserve">DR </t>
    </r>
    <r>
      <rPr>
        <sz val="9"/>
        <color rgb="FF000000"/>
        <rFont val="Noto Sans CJK SC"/>
        <family val="2"/>
      </rPr>
      <t xml:space="preserve">演練報告</t>
    </r>
  </si>
  <si>
    <t xml:space="preserve">KPI-CYB-01</t>
  </si>
  <si>
    <r>
      <rPr>
        <sz val="9"/>
        <color rgb="FF000000"/>
        <rFont val="微軟正黑體"/>
        <family val="0"/>
        <charset val="1"/>
      </rPr>
      <t xml:space="preserve">Critical vulnerabilities overdue</t>
    </r>
    <r>
      <rPr>
        <sz val="9"/>
        <color rgb="FF000000"/>
        <rFont val="Noto Sans CJK SC"/>
        <family val="2"/>
      </rPr>
      <t xml:space="preserve">｜逾期重大弱點</t>
    </r>
  </si>
  <si>
    <t xml:space="preserve">Security platform</t>
  </si>
  <si>
    <t xml:space="preserve">超過修補期限仍未處理之重大弱點數</t>
  </si>
  <si>
    <t xml:space="preserve">逾期重大弱點數</t>
  </si>
  <si>
    <t xml:space="preserve">資安平台</t>
  </si>
  <si>
    <t xml:space="preserve">KPI-DIG-01</t>
  </si>
  <si>
    <r>
      <rPr>
        <sz val="9"/>
        <color rgb="FF000000"/>
        <rFont val="微軟正黑體"/>
        <family val="0"/>
        <charset val="1"/>
      </rPr>
      <t xml:space="preserve">EMR active-user adoption</t>
    </r>
    <r>
      <rPr>
        <sz val="9"/>
        <color rgb="FF000000"/>
        <rFont val="Noto Sans CJK SC"/>
        <family val="2"/>
      </rPr>
      <t xml:space="preserve">｜</t>
    </r>
    <r>
      <rPr>
        <sz val="9"/>
        <color rgb="FF000000"/>
        <rFont val="微軟正黑體"/>
        <family val="0"/>
        <charset val="1"/>
      </rPr>
      <t xml:space="preserve">EMR</t>
    </r>
    <r>
      <rPr>
        <sz val="9"/>
        <color rgb="FF000000"/>
        <rFont val="Noto Sans CJK SC"/>
        <family val="2"/>
      </rPr>
      <t xml:space="preserve">活躍使用率</t>
    </r>
  </si>
  <si>
    <t xml:space="preserve">Weekly go-live</t>
  </si>
  <si>
    <t xml:space="preserve">CMIO</t>
  </si>
  <si>
    <t xml:space="preserve">EMR audit logs</t>
  </si>
  <si>
    <r>
      <rPr>
        <sz val="9"/>
        <color rgb="FF000000"/>
        <rFont val="Noto Sans CJK SC"/>
        <family val="2"/>
      </rPr>
      <t xml:space="preserve">期間登入且完成臨床作業之使用者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應使用者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</si>
  <si>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活躍使用者數</t>
  </si>
  <si>
    <t xml:space="preserve">應使用者數</t>
  </si>
  <si>
    <r>
      <rPr>
        <sz val="9"/>
        <color rgb="FF000000"/>
        <rFont val="微軟正黑體"/>
        <family val="0"/>
        <charset val="1"/>
      </rPr>
      <t xml:space="preserve">EMR </t>
    </r>
    <r>
      <rPr>
        <sz val="9"/>
        <color rgb="FF000000"/>
        <rFont val="Noto Sans CJK SC"/>
        <family val="2"/>
      </rPr>
      <t xml:space="preserve">稽核記錄</t>
    </r>
  </si>
  <si>
    <t xml:space="preserve">KPI-DIG-02</t>
  </si>
  <si>
    <r>
      <rPr>
        <sz val="9"/>
        <color rgb="FF000000"/>
        <rFont val="微軟正黑體"/>
        <family val="0"/>
        <charset val="1"/>
      </rPr>
      <t xml:space="preserve">Interfaces passing conformance tests</t>
    </r>
    <r>
      <rPr>
        <sz val="9"/>
        <color rgb="FF000000"/>
        <rFont val="Noto Sans CJK SC"/>
        <family val="2"/>
      </rPr>
      <t xml:space="preserve">｜介面符合性通過率</t>
    </r>
  </si>
  <si>
    <t xml:space="preserve">At release</t>
  </si>
  <si>
    <t xml:space="preserve">Test repository</t>
  </si>
  <si>
    <r>
      <rPr>
        <sz val="9"/>
        <color rgb="FF000000"/>
        <rFont val="Noto Sans CJK SC"/>
        <family val="2"/>
      </rPr>
      <t xml:space="preserve">通過符合性測試之介面數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應測試介面數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</si>
  <si>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通過介面數</t>
  </si>
  <si>
    <t xml:space="preserve">應測試介面數</t>
  </si>
  <si>
    <r>
      <rPr>
        <sz val="9"/>
        <color rgb="FF000000"/>
        <rFont val="Noto Sans CJK SC"/>
        <family val="2"/>
      </rPr>
      <t xml:space="preserve">測試庫（</t>
    </r>
    <r>
      <rPr>
        <sz val="9"/>
        <color rgb="FF000000"/>
        <rFont val="微軟正黑體"/>
        <family val="0"/>
        <charset val="1"/>
      </rPr>
      <t xml:space="preserve">09 </t>
    </r>
    <r>
      <rPr>
        <sz val="9"/>
        <color rgb="FF000000"/>
        <rFont val="Noto Sans CJK SC"/>
        <family val="2"/>
      </rPr>
      <t xml:space="preserve">架構介面）</t>
    </r>
  </si>
  <si>
    <t xml:space="preserve">KPI-DIG-03</t>
  </si>
  <si>
    <r>
      <rPr>
        <sz val="9"/>
        <color rgb="FF000000"/>
        <rFont val="微軟正黑體"/>
        <family val="0"/>
        <charset val="1"/>
      </rPr>
      <t xml:space="preserve">Duplicate patient record rate</t>
    </r>
    <r>
      <rPr>
        <sz val="9"/>
        <color rgb="FF000000"/>
        <rFont val="Noto Sans CJK SC"/>
        <family val="2"/>
      </rPr>
      <t xml:space="preserve">｜重複病歷率</t>
    </r>
  </si>
  <si>
    <t xml:space="preserve">MPI</t>
  </si>
  <si>
    <r>
      <rPr>
        <sz val="9"/>
        <color rgb="FF000000"/>
        <rFont val="Noto Sans CJK SC"/>
        <family val="2"/>
      </rPr>
      <t xml:space="preserve">重複病人主檔筆數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病人主檔總筆數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</si>
  <si>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重複病歷筆數</t>
  </si>
  <si>
    <t xml:space="preserve">病人主檔總筆數</t>
  </si>
  <si>
    <t xml:space="preserve">KPI-HR-01</t>
  </si>
  <si>
    <r>
      <rPr>
        <sz val="9"/>
        <color rgb="FF000000"/>
        <rFont val="微軟正黑體"/>
        <family val="0"/>
        <charset val="1"/>
      </rPr>
      <t xml:space="preserve">Critical positions filled</t>
    </r>
    <r>
      <rPr>
        <sz val="9"/>
        <color rgb="FF000000"/>
        <rFont val="Noto Sans CJK SC"/>
        <family val="2"/>
      </rPr>
      <t xml:space="preserve">｜關鍵職缺到位率</t>
    </r>
  </si>
  <si>
    <t xml:space="preserve">Monthly pre-open</t>
  </si>
  <si>
    <t xml:space="preserve">HR Lead</t>
  </si>
  <si>
    <t xml:space="preserve">HRIS</t>
  </si>
  <si>
    <r>
      <rPr>
        <sz val="9"/>
        <color rgb="FF000000"/>
        <rFont val="Noto Sans CJK SC"/>
        <family val="2"/>
      </rPr>
      <t xml:space="preserve">已到職之關鍵職位數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關鍵職位總數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</si>
  <si>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已到職關鍵職位數</t>
  </si>
  <si>
    <t xml:space="preserve">關鍵職位總數</t>
  </si>
  <si>
    <t xml:space="preserve">KPI-HR-03</t>
  </si>
  <si>
    <r>
      <rPr>
        <sz val="9"/>
        <color rgb="FF000000"/>
        <rFont val="微軟正黑體"/>
        <family val="0"/>
        <charset val="1"/>
      </rPr>
      <t xml:space="preserve">Local trainers independently certified</t>
    </r>
    <r>
      <rPr>
        <sz val="9"/>
        <color rgb="FF000000"/>
        <rFont val="Noto Sans CJK SC"/>
        <family val="2"/>
      </rPr>
      <t xml:space="preserve">｜在地教師獨立認證率</t>
    </r>
  </si>
  <si>
    <t xml:space="preserve">Training records</t>
  </si>
  <si>
    <r>
      <rPr>
        <sz val="9"/>
        <color rgb="FF000000"/>
        <rFont val="Noto Sans CJK SC"/>
        <family val="2"/>
      </rPr>
      <t xml:space="preserve">通過獨立認證之在地種子教師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應認證教師數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</si>
  <si>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通過認證教師數</t>
  </si>
  <si>
    <t xml:space="preserve">應認證教師數</t>
  </si>
  <si>
    <t xml:space="preserve">訓練紀錄</t>
  </si>
  <si>
    <t xml:space="preserve">KPI-MED-06</t>
  </si>
  <si>
    <t xml:space="preserve">Assets</t>
  </si>
  <si>
    <r>
      <rPr>
        <sz val="9"/>
        <color rgb="FF000000"/>
        <rFont val="微軟正黑體"/>
        <family val="0"/>
        <charset val="1"/>
      </rPr>
      <t xml:space="preserve">Preventive maintenance on time</t>
    </r>
    <r>
      <rPr>
        <sz val="9"/>
        <color rgb="FF000000"/>
        <rFont val="Noto Sans CJK SC"/>
        <family val="2"/>
      </rPr>
      <t xml:space="preserve">｜預防維護準時率</t>
    </r>
  </si>
  <si>
    <t xml:space="preserve">CMMS</t>
  </si>
  <si>
    <r>
      <rPr>
        <sz val="9"/>
        <color rgb="FF000000"/>
        <rFont val="Noto Sans CJK SC"/>
        <family val="2"/>
      </rPr>
      <t xml:space="preserve">準時完成之預防維護工單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應執行工單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</si>
  <si>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準時完成工單數</t>
  </si>
  <si>
    <t xml:space="preserve">應執行工單數</t>
  </si>
  <si>
    <t xml:space="preserve">KPI-SCM-02</t>
  </si>
  <si>
    <r>
      <rPr>
        <sz val="9"/>
        <color rgb="FF000000"/>
        <rFont val="微軟正黑體"/>
        <family val="0"/>
        <charset val="1"/>
      </rPr>
      <t xml:space="preserve">Critical item stockout rate</t>
    </r>
    <r>
      <rPr>
        <sz val="9"/>
        <color rgb="FF000000"/>
        <rFont val="Noto Sans CJK SC"/>
        <family val="2"/>
      </rPr>
      <t xml:space="preserve">｜關鍵品項缺貨率</t>
    </r>
  </si>
  <si>
    <t xml:space="preserve">Inventory system</t>
  </si>
  <si>
    <r>
      <rPr>
        <sz val="9"/>
        <color rgb="FF000000"/>
        <rFont val="Noto Sans CJK SC"/>
        <family val="2"/>
      </rPr>
      <t xml:space="preserve">發生缺貨之關鍵品項日數 </t>
    </r>
    <r>
      <rPr>
        <sz val="9"/>
        <color rgb="FF000000"/>
        <rFont val="微軟正黑體"/>
        <family val="0"/>
        <charset val="1"/>
      </rPr>
      <t xml:space="preserve">÷ (</t>
    </r>
    <r>
      <rPr>
        <sz val="9"/>
        <color rgb="FF000000"/>
        <rFont val="Noto Sans CJK SC"/>
        <family val="2"/>
      </rPr>
      <t xml:space="preserve">關鍵品項數 </t>
    </r>
    <r>
      <rPr>
        <sz val="9"/>
        <color rgb="FF000000"/>
        <rFont val="微軟正黑體"/>
        <family val="0"/>
        <charset val="1"/>
      </rPr>
      <t xml:space="preserve">× </t>
    </r>
    <r>
      <rPr>
        <sz val="9"/>
        <color rgb="FF000000"/>
        <rFont val="Noto Sans CJK SC"/>
        <family val="2"/>
      </rPr>
      <t xml:space="preserve">期間日數</t>
    </r>
    <r>
      <rPr>
        <sz val="9"/>
        <color rgb="FF000000"/>
        <rFont val="微軟正黑體"/>
        <family val="0"/>
        <charset val="1"/>
      </rPr>
      <t xml:space="preserve">) × 100</t>
    </r>
  </si>
  <si>
    <t xml:space="preserve">缺貨品項日數</t>
  </si>
  <si>
    <r>
      <rPr>
        <sz val="9"/>
        <color rgb="FF000000"/>
        <rFont val="Noto Sans CJK SC"/>
        <family val="2"/>
      </rPr>
      <t xml:space="preserve">品項數</t>
    </r>
    <r>
      <rPr>
        <sz val="9"/>
        <color rgb="FF000000"/>
        <rFont val="微軟正黑體"/>
        <family val="0"/>
        <charset val="1"/>
      </rPr>
      <t xml:space="preserve">×</t>
    </r>
    <r>
      <rPr>
        <sz val="9"/>
        <color rgb="FF000000"/>
        <rFont val="Noto Sans CJK SC"/>
        <family val="2"/>
      </rPr>
      <t xml:space="preserve">期間日數</t>
    </r>
  </si>
  <si>
    <t xml:space="preserve">庫存系統</t>
  </si>
  <si>
    <t xml:space="preserve">KPI-FIN-03</t>
  </si>
  <si>
    <t xml:space="preserve">Finance</t>
  </si>
  <si>
    <r>
      <rPr>
        <sz val="9"/>
        <color rgb="FF000000"/>
        <rFont val="微軟正黑體"/>
        <family val="0"/>
        <charset val="1"/>
      </rPr>
      <t xml:space="preserve">Claims first-pass acceptance</t>
    </r>
    <r>
      <rPr>
        <sz val="9"/>
        <color rgb="FF000000"/>
        <rFont val="Noto Sans CJK SC"/>
        <family val="2"/>
      </rPr>
      <t xml:space="preserve">｜理賠首次通過率</t>
    </r>
  </si>
  <si>
    <t xml:space="preserve">Claims system</t>
  </si>
  <si>
    <r>
      <rPr>
        <sz val="9"/>
        <color rgb="FF000000"/>
        <rFont val="Noto Sans CJK SC"/>
        <family val="2"/>
      </rPr>
      <t xml:space="preserve">首次送件即通過之申報件數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總申報件數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</si>
  <si>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首次通過件數</t>
  </si>
  <si>
    <t xml:space="preserve">總申報件數</t>
  </si>
  <si>
    <t xml:space="preserve">申報／理賠系統</t>
  </si>
  <si>
    <t xml:space="preserve">KPI-FIN-05</t>
  </si>
  <si>
    <r>
      <rPr>
        <sz val="9"/>
        <color rgb="FF000000"/>
        <rFont val="微軟正黑體"/>
        <family val="0"/>
        <charset val="1"/>
      </rPr>
      <t xml:space="preserve">Contract variations vs approved budget</t>
    </r>
    <r>
      <rPr>
        <sz val="9"/>
        <color rgb="FF000000"/>
        <rFont val="Noto Sans CJK SC"/>
        <family val="2"/>
      </rPr>
      <t xml:space="preserve">｜契約變更占預算</t>
    </r>
  </si>
  <si>
    <t xml:space="preserve">Contract register</t>
  </si>
  <si>
    <r>
      <rPr>
        <sz val="9"/>
        <color rgb="FF000000"/>
        <rFont val="Noto Sans CJK SC"/>
        <family val="2"/>
      </rPr>
      <t xml:space="preserve">已核准契約變更金額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核定預算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</si>
  <si>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契約變更金額</t>
  </si>
  <si>
    <t xml:space="preserve">核定預算</t>
  </si>
  <si>
    <t xml:space="preserve">契約登錄表</t>
  </si>
  <si>
    <t xml:space="preserve">KPI-PAT-01</t>
  </si>
  <si>
    <t xml:space="preserve">Patient</t>
  </si>
  <si>
    <r>
      <rPr>
        <sz val="9"/>
        <color rgb="FF000000"/>
        <rFont val="微軟正黑體"/>
        <family val="0"/>
        <charset val="1"/>
      </rPr>
      <t xml:space="preserve">Patient digital service adoption</t>
    </r>
    <r>
      <rPr>
        <sz val="9"/>
        <color rgb="FF000000"/>
        <rFont val="Noto Sans CJK SC"/>
        <family val="2"/>
      </rPr>
      <t xml:space="preserve">｜病人數位服務採用率</t>
    </r>
  </si>
  <si>
    <t xml:space="preserve">Portal analytics</t>
  </si>
  <si>
    <r>
      <rPr>
        <sz val="9"/>
        <color rgb="FF000000"/>
        <rFont val="Noto Sans CJK SC"/>
        <family val="2"/>
      </rPr>
      <t xml:space="preserve">使用數位服務之病人數 </t>
    </r>
    <r>
      <rPr>
        <sz val="9"/>
        <color rgb="FF000000"/>
        <rFont val="微軟正黑體"/>
        <family val="0"/>
        <charset val="1"/>
      </rPr>
      <t xml:space="preserve">÷ </t>
    </r>
    <r>
      <rPr>
        <sz val="9"/>
        <color rgb="FF000000"/>
        <rFont val="Noto Sans CJK SC"/>
        <family val="2"/>
      </rPr>
      <t xml:space="preserve">總就醫病人數 </t>
    </r>
    <r>
      <rPr>
        <sz val="9"/>
        <color rgb="FF000000"/>
        <rFont val="微軟正黑體"/>
        <family val="0"/>
        <charset val="1"/>
      </rPr>
      <t xml:space="preserve">× 100</t>
    </r>
  </si>
  <si>
    <t xml:space="preserve">使用數位服務病人數</t>
  </si>
  <si>
    <t xml:space="preserve">總就醫病人數</t>
  </si>
  <si>
    <t xml:space="preserve">病人入口分析</t>
  </si>
  <si>
    <r>
      <rPr>
        <b val="true"/>
        <sz val="11"/>
        <color rgb="FF1F3864"/>
        <rFont val="Noto Sans CJK SC"/>
        <family val="2"/>
      </rPr>
      <t xml:space="preserve">領域成熟度（引用</t>
    </r>
    <r>
      <rPr>
        <b val="true"/>
        <sz val="11"/>
        <color rgb="FF1F3864"/>
        <rFont val="微軟正黑體"/>
        <family val="0"/>
        <charset val="1"/>
      </rPr>
      <t xml:space="preserve">02</t>
    </r>
    <r>
      <rPr>
        <b val="true"/>
        <sz val="11"/>
        <color rgb="FF1F3864"/>
        <rFont val="Noto Sans CJK SC"/>
        <family val="2"/>
      </rPr>
      <t xml:space="preserve">基線診斷；現況→目標）</t>
    </r>
  </si>
  <si>
    <r>
      <rPr>
        <b val="true"/>
        <sz val="11"/>
        <color rgb="FF7030A0"/>
        <rFont val="Noto Sans CJK SC"/>
        <family val="2"/>
      </rPr>
      <t xml:space="preserve">聯盟商業 </t>
    </r>
    <r>
      <rPr>
        <b val="true"/>
        <sz val="11"/>
        <color rgb="FF7030A0"/>
        <rFont val="微軟正黑體"/>
        <family val="0"/>
        <charset val="1"/>
      </rPr>
      <t xml:space="preserve">KPI</t>
    </r>
    <r>
      <rPr>
        <b val="true"/>
        <sz val="11"/>
        <color rgb="FF7030A0"/>
        <rFont val="Noto Sans CJK SC"/>
        <family val="2"/>
      </rPr>
      <t xml:space="preserve">｜</t>
    </r>
    <r>
      <rPr>
        <b val="true"/>
        <sz val="11"/>
        <color rgb="FF7030A0"/>
        <rFont val="微軟正黑體"/>
        <family val="0"/>
        <charset val="1"/>
      </rPr>
      <t xml:space="preserve">Alliance Business Scorecard</t>
    </r>
    <r>
      <rPr>
        <b val="true"/>
        <sz val="11"/>
        <color rgb="FF7030A0"/>
        <rFont val="Noto Sans CJK SC"/>
        <family val="2"/>
      </rPr>
      <t xml:space="preserve">（</t>
    </r>
    <r>
      <rPr>
        <b val="true"/>
        <sz val="11"/>
        <color rgb="FF7030A0"/>
        <rFont val="微軟正黑體"/>
        <family val="0"/>
        <charset val="1"/>
      </rPr>
      <t xml:space="preserve">v1.1 </t>
    </r>
    <r>
      <rPr>
        <b val="true"/>
        <sz val="11"/>
        <color rgb="FF7030A0"/>
        <rFont val="Noto Sans CJK SC"/>
        <family val="2"/>
      </rPr>
      <t xml:space="preserve">新增，藍字全自動，週會唸這六個數字）</t>
    </r>
  </si>
  <si>
    <t xml:space="preserve">代號</t>
  </si>
  <si>
    <t xml:space="preserve">指標</t>
  </si>
  <si>
    <r>
      <rPr>
        <b val="true"/>
        <sz val="10"/>
        <color rgb="FFFFFFFF"/>
        <rFont val="Noto Sans CJK SC"/>
        <family val="2"/>
      </rPr>
      <t xml:space="preserve">目前值</t>
    </r>
    <r>
      <rPr>
        <b val="true"/>
        <sz val="10"/>
        <color rgb="FFFFFFFF"/>
        <rFont val="微軟正黑體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自動</t>
    </r>
    <r>
      <rPr>
        <b val="true"/>
        <sz val="10"/>
        <color rgb="FFFFFFFF"/>
        <rFont val="微軟正黑體"/>
        <family val="0"/>
        <charset val="1"/>
      </rPr>
      <t xml:space="preserve">)</t>
    </r>
  </si>
  <si>
    <t xml:space="preserve">量測頻率</t>
  </si>
  <si>
    <t xml:space="preserve">BIZ-01</t>
  </si>
  <si>
    <r>
      <rPr>
        <sz val="9.5"/>
        <color rgb="FF000000"/>
        <rFont val="Noto Sans CJK SC"/>
        <family val="2"/>
      </rPr>
      <t xml:space="preserve">管線商機數（</t>
    </r>
    <r>
      <rPr>
        <sz val="9.5"/>
        <color rgb="FF000000"/>
        <rFont val="微軟正黑體"/>
        <family val="0"/>
        <charset val="1"/>
      </rPr>
      <t xml:space="preserve">14</t>
    </r>
    <r>
      <rPr>
        <sz val="9.5"/>
        <color rgb="FF000000"/>
        <rFont val="Noto Sans CJK SC"/>
        <family val="2"/>
      </rPr>
      <t xml:space="preserve">清單非空列）</t>
    </r>
  </si>
  <si>
    <r>
      <rPr>
        <sz val="9"/>
        <color rgb="FF000000"/>
        <rFont val="微軟正黑體"/>
        <family val="0"/>
        <charset val="1"/>
      </rPr>
      <t xml:space="preserve">Monthly / </t>
    </r>
    <r>
      <rPr>
        <sz val="9"/>
        <color rgb="FF000000"/>
        <rFont val="Noto Sans CJK SC"/>
        <family val="2"/>
      </rPr>
      <t xml:space="preserve">每月</t>
    </r>
  </si>
  <si>
    <r>
      <rPr>
        <sz val="8.5"/>
        <color rgb="FF404050"/>
        <rFont val="Noto Sans CJK SC"/>
        <family val="2"/>
      </rPr>
      <t xml:space="preserve">正在推的商機要維持足夠存量；來源：</t>
    </r>
    <r>
      <rPr>
        <sz val="8.5"/>
        <color rgb="FF404050"/>
        <rFont val="微軟正黑體"/>
        <family val="0"/>
        <charset val="1"/>
      </rPr>
      <t xml:space="preserve">14 </t>
    </r>
    <r>
      <rPr>
        <sz val="8.5"/>
        <color rgb="FF404050"/>
        <rFont val="Noto Sans CJK SC"/>
        <family val="2"/>
      </rPr>
      <t xml:space="preserve">商機清單</t>
    </r>
  </si>
  <si>
    <t xml:space="preserve">BIZ-02</t>
  </si>
  <si>
    <r>
      <rPr>
        <sz val="9.5"/>
        <color rgb="FF000000"/>
        <rFont val="Noto Sans CJK SC"/>
        <family val="2"/>
      </rPr>
      <t xml:space="preserve">管線後段占比％（</t>
    </r>
    <r>
      <rPr>
        <sz val="9.5"/>
        <color rgb="FF000000"/>
        <rFont val="微軟正黑體"/>
        <family val="0"/>
        <charset val="1"/>
      </rPr>
      <t xml:space="preserve">Proposal</t>
    </r>
    <r>
      <rPr>
        <sz val="9.5"/>
        <color rgb="FF000000"/>
        <rFont val="Noto Sans CJK SC"/>
        <family val="2"/>
      </rPr>
      <t xml:space="preserve">以後）</t>
    </r>
  </si>
  <si>
    <r>
      <rPr>
        <sz val="8.5"/>
        <color rgb="FF404050"/>
        <rFont val="Noto Sans CJK SC"/>
        <family val="2"/>
      </rPr>
      <t xml:space="preserve">全是 </t>
    </r>
    <r>
      <rPr>
        <sz val="8.5"/>
        <color rgb="FF404050"/>
        <rFont val="微軟正黑體"/>
        <family val="0"/>
        <charset val="1"/>
      </rPr>
      <t xml:space="preserve">Lead</t>
    </r>
    <r>
      <rPr>
        <sz val="8.5"/>
        <color rgb="FF404050"/>
        <rFont val="Noto Sans CJK SC"/>
        <family val="2"/>
      </rPr>
      <t xml:space="preserve">＝管線虛胖；後段比例反映推進力</t>
    </r>
  </si>
  <si>
    <t xml:space="preserve">BIZ-03</t>
  </si>
  <si>
    <r>
      <rPr>
        <sz val="9.5"/>
        <color rgb="FF000000"/>
        <rFont val="Noto Sans CJK SC"/>
        <family val="2"/>
      </rPr>
      <t xml:space="preserve">已簽約商機數（</t>
    </r>
    <r>
      <rPr>
        <sz val="9.5"/>
        <color rgb="FF000000"/>
        <rFont val="微軟正黑體"/>
        <family val="0"/>
        <charset val="1"/>
      </rPr>
      <t xml:space="preserve">Won</t>
    </r>
    <r>
      <rPr>
        <sz val="9.5"/>
        <color rgb="FF000000"/>
        <rFont val="Noto Sans CJK SC"/>
        <family val="2"/>
      </rPr>
      <t xml:space="preserve">）</t>
    </r>
  </si>
  <si>
    <r>
      <rPr>
        <sz val="9"/>
        <color rgb="FF000000"/>
        <rFont val="微軟正黑體"/>
        <family val="0"/>
        <charset val="1"/>
      </rPr>
      <t xml:space="preserve">Quarterly / </t>
    </r>
    <r>
      <rPr>
        <sz val="9"/>
        <color rgb="FF000000"/>
        <rFont val="Noto Sans CJK SC"/>
        <family val="2"/>
      </rPr>
      <t xml:space="preserve">每季</t>
    </r>
  </si>
  <si>
    <r>
      <rPr>
        <sz val="8.5"/>
        <color rgb="FF404050"/>
        <rFont val="Noto Sans CJK SC"/>
        <family val="2"/>
      </rPr>
      <t xml:space="preserve">第一年目標：至少 </t>
    </r>
    <r>
      <rPr>
        <sz val="8.5"/>
        <color rgb="FF404050"/>
        <rFont val="微軟正黑體"/>
        <family val="0"/>
        <charset val="1"/>
      </rPr>
      <t xml:space="preserve">2 </t>
    </r>
    <r>
      <rPr>
        <sz val="8.5"/>
        <color rgb="FF404050"/>
        <rFont val="Noto Sans CJK SC"/>
        <family val="2"/>
      </rPr>
      <t xml:space="preserve">個商機簽約落地</t>
    </r>
  </si>
  <si>
    <t xml:space="preserve">BIZ-04</t>
  </si>
  <si>
    <r>
      <rPr>
        <sz val="9.5"/>
        <color rgb="FF000000"/>
        <rFont val="Noto Sans CJK SC"/>
        <family val="2"/>
      </rPr>
      <t xml:space="preserve">能力缺口數（</t>
    </r>
    <r>
      <rPr>
        <sz val="9.5"/>
        <color rgb="FF000000"/>
        <rFont val="微軟正黑體"/>
        <family val="0"/>
        <charset val="1"/>
      </rPr>
      <t xml:space="preserve">03</t>
    </r>
    <r>
      <rPr>
        <sz val="9.5"/>
        <color rgb="FF000000"/>
        <rFont val="Noto Sans CJK SC"/>
        <family val="2"/>
      </rPr>
      <t xml:space="preserve">）</t>
    </r>
  </si>
  <si>
    <r>
      <rPr>
        <sz val="8.5"/>
        <color rgb="FF404050"/>
        <rFont val="微軟正黑體"/>
        <family val="0"/>
        <charset val="1"/>
      </rPr>
      <t xml:space="preserve">9→4</t>
    </r>
    <r>
      <rPr>
        <sz val="8.5"/>
        <color rgb="FF404050"/>
        <rFont val="Noto Sans CJK SC"/>
        <family val="2"/>
      </rPr>
      <t xml:space="preserve">：優先關閉牽動商機數≥</t>
    </r>
    <r>
      <rPr>
        <sz val="8.5"/>
        <color rgb="FF404050"/>
        <rFont val="微軟正黑體"/>
        <family val="0"/>
        <charset val="1"/>
      </rPr>
      <t xml:space="preserve">3</t>
    </r>
    <r>
      <rPr>
        <sz val="8.5"/>
        <color rgb="FF404050"/>
        <rFont val="Noto Sans CJK SC"/>
        <family val="2"/>
      </rPr>
      <t xml:space="preserve">的缺口（見</t>
    </r>
    <r>
      <rPr>
        <sz val="8.5"/>
        <color rgb="FF404050"/>
        <rFont val="微軟正黑體"/>
        <family val="0"/>
        <charset val="1"/>
      </rPr>
      <t xml:space="preserve">11</t>
    </r>
    <r>
      <rPr>
        <sz val="8.5"/>
        <color rgb="FF404050"/>
        <rFont val="Noto Sans CJK SC"/>
        <family val="2"/>
      </rPr>
      <t xml:space="preserve">）</t>
    </r>
  </si>
  <si>
    <t xml:space="preserve">BIZ-05</t>
  </si>
  <si>
    <r>
      <rPr>
        <sz val="9.5"/>
        <color rgb="FF000000"/>
        <rFont val="Noto Sans CJK SC"/>
        <family val="2"/>
      </rPr>
      <t xml:space="preserve">夥伴已確認數（</t>
    </r>
    <r>
      <rPr>
        <sz val="9.5"/>
        <color rgb="FF000000"/>
        <rFont val="微軟正黑體"/>
        <family val="0"/>
        <charset val="1"/>
      </rPr>
      <t xml:space="preserve">04</t>
    </r>
    <r>
      <rPr>
        <sz val="9.5"/>
        <color rgb="FF000000"/>
        <rFont val="Noto Sans CJK SC"/>
        <family val="2"/>
      </rPr>
      <t xml:space="preserve">狀態</t>
    </r>
    <r>
      <rPr>
        <sz val="9.5"/>
        <color rgb="FF000000"/>
        <rFont val="微軟正黑體"/>
        <family val="0"/>
        <charset val="1"/>
      </rPr>
      <t xml:space="preserve">=</t>
    </r>
    <r>
      <rPr>
        <sz val="9.5"/>
        <color rgb="FF000000"/>
        <rFont val="Noto Sans CJK SC"/>
        <family val="2"/>
      </rPr>
      <t xml:space="preserve">已簽約</t>
    </r>
    <r>
      <rPr>
        <sz val="9.5"/>
        <color rgb="FF000000"/>
        <rFont val="微軟正黑體"/>
        <family val="0"/>
        <charset val="1"/>
      </rPr>
      <t xml:space="preserve">/</t>
    </r>
    <r>
      <rPr>
        <sz val="9.5"/>
        <color rgb="FF000000"/>
        <rFont val="Noto Sans CJK SC"/>
        <family val="2"/>
      </rPr>
      <t xml:space="preserve">已通過）</t>
    </r>
  </si>
  <si>
    <t xml:space="preserve">聯盟從角色名冊變成真實簽約網絡的速度</t>
  </si>
  <si>
    <t xml:space="preserve">BIZ-06</t>
  </si>
  <si>
    <r>
      <rPr>
        <sz val="9.5"/>
        <color rgb="FF000000"/>
        <rFont val="微軟正黑體"/>
        <family val="0"/>
        <charset val="1"/>
      </rPr>
      <t xml:space="preserve">16</t>
    </r>
    <r>
      <rPr>
        <sz val="9.5"/>
        <color rgb="FF000000"/>
        <rFont val="Noto Sans CJK SC"/>
        <family val="2"/>
      </rPr>
      <t xml:space="preserve">矩陣覆核完成商機數（</t>
    </r>
    <r>
      <rPr>
        <sz val="9.5"/>
        <color rgb="FF000000"/>
        <rFont val="微軟正黑體"/>
        <family val="0"/>
        <charset val="1"/>
      </rPr>
      <t xml:space="preserve">PI</t>
    </r>
    <r>
      <rPr>
        <sz val="9.5"/>
        <color rgb="FF000000"/>
        <rFont val="Noto Sans CJK SC"/>
        <family val="2"/>
      </rPr>
      <t xml:space="preserve">逐商機確認✓）</t>
    </r>
  </si>
  <si>
    <r>
      <rPr>
        <sz val="9"/>
        <color rgb="FF000000"/>
        <rFont val="微軟正黑體"/>
        <family val="0"/>
        <charset val="1"/>
      </rPr>
      <t xml:space="preserve">Weekly / </t>
    </r>
    <r>
      <rPr>
        <sz val="9"/>
        <color rgb="FF000000"/>
        <rFont val="Noto Sans CJK SC"/>
        <family val="2"/>
      </rPr>
      <t xml:space="preserve">每週</t>
    </r>
  </si>
  <si>
    <r>
      <rPr>
        <sz val="8.5"/>
        <color rgb="FF404050"/>
        <rFont val="Noto Sans CJK SC"/>
        <family val="2"/>
      </rPr>
      <t xml:space="preserve">手動維護：覆核一個商機就</t>
    </r>
    <r>
      <rPr>
        <sz val="8.5"/>
        <color rgb="FF404050"/>
        <rFont val="微軟正黑體"/>
        <family val="0"/>
        <charset val="1"/>
      </rPr>
      <t xml:space="preserve">+1</t>
    </r>
    <r>
      <rPr>
        <sz val="8.5"/>
        <color rgb="FF404050"/>
        <rFont val="Noto Sans CJK SC"/>
        <family val="2"/>
      </rPr>
      <t xml:space="preserve">，全部覆核完攻擊順位才算定案</t>
    </r>
  </si>
  <si>
    <r>
      <rPr>
        <b val="true"/>
        <sz val="11"/>
        <color rgb="FF1F3864"/>
        <rFont val="微軟正黑體"/>
        <family val="0"/>
        <charset val="1"/>
      </rPr>
      <t xml:space="preserve">KPI </t>
    </r>
    <r>
      <rPr>
        <b val="true"/>
        <sz val="11"/>
        <color rgb="FF1F3864"/>
        <rFont val="Noto Sans CJK SC"/>
        <family val="2"/>
      </rPr>
      <t xml:space="preserve">使用規則｜</t>
    </r>
    <r>
      <rPr>
        <b val="true"/>
        <sz val="11"/>
        <color rgb="FF1F3864"/>
        <rFont val="微軟正黑體"/>
        <family val="0"/>
        <charset val="1"/>
      </rPr>
      <t xml:space="preserve">How to use</t>
    </r>
  </si>
  <si>
    <r>
      <rPr>
        <b val="true"/>
        <sz val="9.5"/>
        <color rgb="FF1F3864"/>
        <rFont val="Noto Sans CJK SC"/>
        <family val="2"/>
      </rPr>
      <t xml:space="preserve">基線 </t>
    </r>
    <r>
      <rPr>
        <b val="true"/>
        <sz val="9.5"/>
        <color rgb="FF1F3864"/>
        <rFont val="微軟正黑體"/>
        <family val="0"/>
        <charset val="1"/>
      </rPr>
      <t xml:space="preserve">F </t>
    </r>
    <r>
      <rPr>
        <b val="true"/>
        <sz val="9.5"/>
        <color rgb="FF1F3864"/>
        <rFont val="Noto Sans CJK SC"/>
        <family val="2"/>
      </rPr>
      <t xml:space="preserve">欄</t>
    </r>
  </si>
  <si>
    <t xml:space="preserve">已預填「規劃假設值」，供開案時就能算出改善幅度與投資效益。取得現地資料或合約承諾值後，直接覆寫即可。</t>
  </si>
  <si>
    <r>
      <rPr>
        <b val="true"/>
        <sz val="9.5"/>
        <color rgb="FF1F3864"/>
        <rFont val="Noto Sans CJK SC"/>
        <family val="2"/>
      </rPr>
      <t xml:space="preserve">目標 </t>
    </r>
    <r>
      <rPr>
        <b val="true"/>
        <sz val="9.5"/>
        <color rgb="FF1F3864"/>
        <rFont val="微軟正黑體"/>
        <family val="0"/>
        <charset val="1"/>
      </rPr>
      <t xml:space="preserve">G </t>
    </r>
    <r>
      <rPr>
        <b val="true"/>
        <sz val="9.5"/>
        <color rgb="FF1F3864"/>
        <rFont val="Noto Sans CJK SC"/>
        <family val="2"/>
      </rPr>
      <t xml:space="preserve">欄</t>
    </r>
  </si>
  <si>
    <t xml:space="preserve">同為規劃假設；正式承諾前須經臨床營運方與獨立驗證單位確認。</t>
  </si>
  <si>
    <r>
      <rPr>
        <b val="true"/>
        <sz val="9.5"/>
        <color rgb="FF1F3864"/>
        <rFont val="Noto Sans CJK SC"/>
        <family val="2"/>
      </rPr>
      <t xml:space="preserve">改善幅度 </t>
    </r>
    <r>
      <rPr>
        <b val="true"/>
        <sz val="9.5"/>
        <color rgb="FF1F3864"/>
        <rFont val="微軟正黑體"/>
        <family val="0"/>
        <charset val="1"/>
      </rPr>
      <t xml:space="preserve">H </t>
    </r>
    <r>
      <rPr>
        <b val="true"/>
        <sz val="9.5"/>
        <color rgb="FF1F3864"/>
        <rFont val="Noto Sans CJK SC"/>
        <family val="2"/>
      </rPr>
      <t xml:space="preserve">欄</t>
    </r>
  </si>
  <si>
    <t xml:space="preserve">公式自動計算：方向為「越高越好」時＝目標−基線；「越低越好」時＝基線−目標。留白表示基線或目標尚未填。</t>
  </si>
  <si>
    <r>
      <rPr>
        <b val="true"/>
        <sz val="9.5"/>
        <color rgb="FF1F3864"/>
        <rFont val="Noto Sans CJK SC"/>
        <family val="2"/>
      </rPr>
      <t xml:space="preserve">計算公式 </t>
    </r>
    <r>
      <rPr>
        <b val="true"/>
        <sz val="9.5"/>
        <color rgb="FF1F3864"/>
        <rFont val="微軟正黑體"/>
        <family val="0"/>
        <charset val="1"/>
      </rPr>
      <t xml:space="preserve">M–P </t>
    </r>
    <r>
      <rPr>
        <b val="true"/>
        <sz val="9.5"/>
        <color rgb="FF1F3864"/>
        <rFont val="Noto Sans CJK SC"/>
        <family val="2"/>
      </rPr>
      <t xml:space="preserve">欄</t>
    </r>
  </si>
  <si>
    <r>
      <rPr>
        <sz val="9"/>
        <color rgb="FF404050"/>
        <rFont val="Noto Sans CJK SC"/>
        <family val="2"/>
      </rPr>
      <t xml:space="preserve">定義分子、分母與資料來源系統。沒有資料來源的 </t>
    </r>
    <r>
      <rPr>
        <sz val="9"/>
        <color rgb="FF404050"/>
        <rFont val="微軟正黑體"/>
        <family val="0"/>
        <charset val="1"/>
      </rPr>
      <t xml:space="preserve">KPI </t>
    </r>
    <r>
      <rPr>
        <sz val="9"/>
        <color rgb="FF404050"/>
        <rFont val="Noto Sans CJK SC"/>
        <family val="2"/>
      </rPr>
      <t xml:space="preserve">不可納入合約，因為無法驗收。</t>
    </r>
  </si>
  <si>
    <t xml:space="preserve">與其他分頁的關係</t>
  </si>
  <si>
    <r>
      <rPr>
        <sz val="9"/>
        <color rgb="FF404050"/>
        <rFont val="微軟正黑體"/>
        <family val="0"/>
        <charset val="1"/>
      </rPr>
      <t xml:space="preserve">KPI </t>
    </r>
    <r>
      <rPr>
        <sz val="9"/>
        <color rgb="FF404050"/>
        <rFont val="Noto Sans CJK SC"/>
        <family val="2"/>
      </rPr>
      <t xml:space="preserve">由 </t>
    </r>
    <r>
      <rPr>
        <sz val="9"/>
        <color rgb="FF404050"/>
        <rFont val="微軟正黑體"/>
        <family val="0"/>
        <charset val="1"/>
      </rPr>
      <t xml:space="preserve">03 </t>
    </r>
    <r>
      <rPr>
        <sz val="9"/>
        <color rgb="FF404050"/>
        <rFont val="Noto Sans CJK SC"/>
        <family val="2"/>
      </rPr>
      <t xml:space="preserve">能力總表的 </t>
    </r>
    <r>
      <rPr>
        <sz val="9"/>
        <color rgb="FF404050"/>
        <rFont val="微軟正黑體"/>
        <family val="0"/>
        <charset val="1"/>
      </rPr>
      <t xml:space="preserve">KPI </t>
    </r>
    <r>
      <rPr>
        <sz val="9"/>
        <color rgb="FF404050"/>
        <rFont val="Noto Sans CJK SC"/>
        <family val="2"/>
      </rPr>
      <t xml:space="preserve">欄對應；未關閉重大風險（</t>
    </r>
    <r>
      <rPr>
        <sz val="9"/>
        <color rgb="FF404050"/>
        <rFont val="微軟正黑體"/>
        <family val="0"/>
        <charset val="1"/>
      </rPr>
      <t xml:space="preserve">QPS-08</t>
    </r>
    <r>
      <rPr>
        <sz val="9"/>
        <color rgb="FF404050"/>
        <rFont val="Noto Sans CJK SC"/>
        <family val="2"/>
      </rPr>
      <t xml:space="preserve">）直接引用 </t>
    </r>
    <r>
      <rPr>
        <sz val="9"/>
        <color rgb="FF404050"/>
        <rFont val="微軟正黑體"/>
        <family val="0"/>
        <charset val="1"/>
      </rPr>
      <t xml:space="preserve">08 </t>
    </r>
    <r>
      <rPr>
        <sz val="9"/>
        <color rgb="FF404050"/>
        <rFont val="Noto Sans CJK SC"/>
        <family val="2"/>
      </rPr>
      <t xml:space="preserve">風險清冊。</t>
    </r>
  </si>
  <si>
    <r>
      <rPr>
        <b val="true"/>
        <sz val="15"/>
        <color rgb="FFFFFFFF"/>
        <rFont val="微軟正黑體"/>
        <family val="0"/>
        <charset val="1"/>
      </rPr>
      <t xml:space="preserve">10 </t>
    </r>
    <r>
      <rPr>
        <b val="true"/>
        <sz val="15"/>
        <color rgb="FFFFFFFF"/>
        <rFont val="Noto Sans CJK SC"/>
        <family val="2"/>
      </rPr>
      <t xml:space="preserve">決策紀錄｜</t>
    </r>
    <r>
      <rPr>
        <b val="true"/>
        <sz val="15"/>
        <color rgb="FFFFFFFF"/>
        <rFont val="微軟正黑體"/>
        <family val="0"/>
        <charset val="1"/>
      </rPr>
      <t xml:space="preserve">Sources, Decisions &amp; Versions</t>
    </r>
    <r>
      <rPr>
        <b val="true"/>
        <sz val="15"/>
        <color rgb="FFFFFFFF"/>
        <rFont val="Noto Sans CJK SC"/>
        <family val="2"/>
      </rPr>
      <t xml:space="preserve">（可稽核：來源、決策與版本）</t>
    </r>
  </si>
  <si>
    <t xml:space="preserve">❓ 這頁在回答：當初為什麼這樣決定？（★可稽核）　　▸ 沒有來源的數字不可對外引用。每次重大調整請新增決策列與版本列。</t>
  </si>
  <si>
    <r>
      <rPr>
        <b val="true"/>
        <sz val="11"/>
        <color rgb="FF1F3864"/>
        <rFont val="微軟正黑體"/>
        <family val="0"/>
        <charset val="1"/>
      </rPr>
      <t xml:space="preserve">A. </t>
    </r>
    <r>
      <rPr>
        <b val="true"/>
        <sz val="11"/>
        <color rgb="FF1F3864"/>
        <rFont val="Noto Sans CJK SC"/>
        <family val="2"/>
      </rPr>
      <t xml:space="preserve">來源清冊 </t>
    </r>
    <r>
      <rPr>
        <b val="true"/>
        <sz val="11"/>
        <color rgb="FF1F3864"/>
        <rFont val="微軟正黑體"/>
        <family val="0"/>
        <charset val="1"/>
      </rPr>
      <t xml:space="preserve">Sources</t>
    </r>
  </si>
  <si>
    <t xml:space="preserve">ID</t>
  </si>
  <si>
    <t xml:space="preserve">文件</t>
  </si>
  <si>
    <t xml:space="preserve">機構</t>
  </si>
  <si>
    <t xml:space="preserve">用途</t>
  </si>
  <si>
    <t xml:space="preserve">URL</t>
  </si>
  <si>
    <t xml:space="preserve">檢核日</t>
  </si>
  <si>
    <t xml:space="preserve">SRC-001</t>
  </si>
  <si>
    <t xml:space="preserve">Hospitals in Viet Nam</t>
  </si>
  <si>
    <t xml:space="preserve">Country hospital context</t>
  </si>
  <si>
    <r>
      <rPr>
        <sz val="8.5"/>
        <color rgb="FF000000"/>
        <rFont val="微軟正黑體"/>
        <family val="0"/>
        <charset val="1"/>
      </rPr>
      <t xml:space="preserve">Reviewed / </t>
    </r>
    <r>
      <rPr>
        <sz val="8.5"/>
        <color rgb="FF000000"/>
        <rFont val="Noto Sans CJK SC"/>
        <family val="2"/>
      </rPr>
      <t xml:space="preserve">已檢閱</t>
    </r>
  </si>
  <si>
    <t xml:space="preserve">Use for framing, not facility-specific baseline</t>
  </si>
  <si>
    <t xml:space="preserve">SRC-002</t>
  </si>
  <si>
    <t xml:space="preserve">Needs-based costed implementation</t>
  </si>
  <si>
    <t xml:space="preserve">Core method</t>
  </si>
  <si>
    <t xml:space="preserve">SRC-003</t>
  </si>
  <si>
    <t xml:space="preserve">Enterprise architecture</t>
  </si>
  <si>
    <t xml:space="preserve">Core architecture reference</t>
  </si>
  <si>
    <t xml:space="preserve">SRC-004</t>
  </si>
  <si>
    <t xml:space="preserve">Public-Private Partnerships for Health in Vietnam</t>
  </si>
  <si>
    <t xml:space="preserve">Vietnam transaction models and cautions</t>
  </si>
  <si>
    <t xml:space="preserve">Full integrated hospital PPP should not be assumed</t>
  </si>
  <si>
    <t xml:space="preserve">SRC-005</t>
  </si>
  <si>
    <t xml:space="preserve">Electronic medical record implementation guidance</t>
  </si>
  <si>
    <t xml:space="preserve">Vietnam Ministry of Health</t>
  </si>
  <si>
    <t xml:space="preserve">Current EMR direction and timeline</t>
  </si>
  <si>
    <t xml:space="preserve">Legal counsel to confirm application</t>
  </si>
  <si>
    <t xml:space="preserve">SRC-006</t>
  </si>
  <si>
    <t xml:space="preserve">Decree 13/2023 on personal data protection</t>
  </si>
  <si>
    <t xml:space="preserve">Vietnam Government</t>
  </si>
  <si>
    <t xml:space="preserve">Sensitive health data and privacy</t>
  </si>
  <si>
    <t xml:space="preserve">https://vanban.chinhphu.vn/default.aspx?docid=207759&amp;pageid=27160</t>
  </si>
  <si>
    <t xml:space="preserve">Cross-border assessment required</t>
  </si>
  <si>
    <t xml:space="preserve">SRC-007</t>
  </si>
  <si>
    <t xml:space="preserve">Law on Medical Examination and Treatment 2023</t>
  </si>
  <si>
    <t xml:space="preserve">Vietnam National Assembly</t>
  </si>
  <si>
    <t xml:space="preserve">Hospital and practitioner framework</t>
  </si>
  <si>
    <r>
      <rPr>
        <sz val="8.5"/>
        <color rgb="FF000000"/>
        <rFont val="微軟正黑體"/>
        <family val="0"/>
        <charset val="1"/>
      </rPr>
      <t xml:space="preserve">Secondary English / </t>
    </r>
    <r>
      <rPr>
        <sz val="8.5"/>
        <color rgb="FF000000"/>
        <rFont val="Noto Sans CJK SC"/>
        <family val="2"/>
      </rPr>
      <t xml:space="preserve">英譯</t>
    </r>
  </si>
  <si>
    <t xml:space="preserve">Verify official Vietnamese text</t>
  </si>
  <si>
    <t xml:space="preserve">SRC-008</t>
  </si>
  <si>
    <t xml:space="preserve">Decree 96/2023 implementing medical law</t>
  </si>
  <si>
    <t xml:space="preserve">Facility and licensing details</t>
  </si>
  <si>
    <t xml:space="preserve">SRC-009</t>
  </si>
  <si>
    <t xml:space="preserve">Consolidated medical device rules</t>
  </si>
  <si>
    <t xml:space="preserve">Device classification and management</t>
  </si>
  <si>
    <t xml:space="preserve">Product-level review required</t>
  </si>
  <si>
    <t xml:space="preserve">SRC-010</t>
  </si>
  <si>
    <t xml:space="preserve">Lighthouse and fast-follower replication</t>
  </si>
  <si>
    <t xml:space="preserve">Adapt to Vietnam</t>
  </si>
  <si>
    <t xml:space="preserve">SRC-011</t>
  </si>
  <si>
    <t xml:space="preserve">EMRAM</t>
  </si>
  <si>
    <t xml:space="preserve">EMR maturity roadmap</t>
  </si>
  <si>
    <t xml:space="preserve">Commercial assessment may require license</t>
  </si>
  <si>
    <t xml:space="preserve">SRC-012</t>
  </si>
  <si>
    <t xml:space="preserve">FHIR overview</t>
  </si>
  <si>
    <t xml:space="preserve">Interoperability standard</t>
  </si>
  <si>
    <t xml:space="preserve">Implementation profiles still required</t>
  </si>
  <si>
    <t xml:space="preserve">SRC-013</t>
  </si>
  <si>
    <t xml:space="preserve">JCI Hospital Accreditation</t>
  </si>
  <si>
    <t xml:space="preserve">Quality and patient-safety framework</t>
  </si>
  <si>
    <t xml:space="preserve">Confirm whether formal accreditation is desired</t>
  </si>
  <si>
    <t xml:space="preserve">SRC-014</t>
  </si>
  <si>
    <t xml:space="preserve">IFC HCMC healthcare facility PPP advisory</t>
  </si>
  <si>
    <t xml:space="preserve">IFC</t>
  </si>
  <si>
    <t xml:space="preserve">Public clinical role with private construction and joint operation</t>
  </si>
  <si>
    <t xml:space="preserve">https://www.ifc.org/en/pressroom/2019/ifc-to-assist-ho-chi-minh-city-to-develop-a-healthcare-facility-through-public-private-partnership</t>
  </si>
  <si>
    <t xml:space="preserve">Relevant structural precedent</t>
  </si>
  <si>
    <t xml:space="preserve">SRC-015</t>
  </si>
  <si>
    <t xml:space="preserve">Lesotho health network PPP lessons</t>
  </si>
  <si>
    <t xml:space="preserve">Clinical gains and fiscal/governance caution</t>
  </si>
  <si>
    <t xml:space="preserve">https://www.worldbank.org/en/country/lesotho/brief/lesotho-health-network-ppp</t>
  </si>
  <si>
    <t xml:space="preserve">Use as anti-pattern and lesson</t>
  </si>
  <si>
    <r>
      <rPr>
        <b val="true"/>
        <sz val="11"/>
        <color rgb="FF1F3864"/>
        <rFont val="微軟正黑體"/>
        <family val="0"/>
        <charset val="1"/>
      </rPr>
      <t xml:space="preserve">B. </t>
    </r>
    <r>
      <rPr>
        <b val="true"/>
        <sz val="11"/>
        <color rgb="FF1F3864"/>
        <rFont val="Noto Sans CJK SC"/>
        <family val="2"/>
      </rPr>
      <t xml:space="preserve">決策紀錄 </t>
    </r>
    <r>
      <rPr>
        <b val="true"/>
        <sz val="11"/>
        <color rgb="FF1F3864"/>
        <rFont val="微軟正黑體"/>
        <family val="0"/>
        <charset val="1"/>
      </rPr>
      <t xml:space="preserve">Decisions</t>
    </r>
  </si>
  <si>
    <t xml:space="preserve">日期</t>
  </si>
  <si>
    <t xml:space="preserve">主題</t>
  </si>
  <si>
    <t xml:space="preserve">決策</t>
  </si>
  <si>
    <t xml:space="preserve">決策者</t>
  </si>
  <si>
    <t xml:space="preserve">D-001</t>
  </si>
  <si>
    <t xml:space="preserve">Opportunity scope</t>
  </si>
  <si>
    <t xml:space="preserve">Include greenfield, upgrade, co-located JV and other viable hospital opportunities</t>
  </si>
  <si>
    <t xml:space="preserve">User</t>
  </si>
  <si>
    <t xml:space="preserve">生效</t>
  </si>
  <si>
    <t xml:space="preserve">D-002</t>
  </si>
  <si>
    <t xml:space="preserve">Location</t>
  </si>
  <si>
    <t xml:space="preserve">Hanoi/capital is a candidate; secretary assistance noted, formal sponsor TBD</t>
  </si>
  <si>
    <t xml:space="preserve">D-003</t>
  </si>
  <si>
    <t xml:space="preserve">Hospital model</t>
  </si>
  <si>
    <t xml:space="preserve">Use bespoke consulting plans by hospital type, scale and service role</t>
  </si>
  <si>
    <t xml:space="preserve">D-004</t>
  </si>
  <si>
    <t xml:space="preserve">Scope of alliance</t>
  </si>
  <si>
    <t xml:space="preserve">Provide advisory, actual build and operations capability</t>
  </si>
  <si>
    <t xml:space="preserve">D-005</t>
  </si>
  <si>
    <t xml:space="preserve">Transaction</t>
  </si>
  <si>
    <t xml:space="preserve">Transaction model remains open</t>
  </si>
  <si>
    <t xml:space="preserve">D-006</t>
  </si>
  <si>
    <t xml:space="preserve">Alliance leadership</t>
  </si>
  <si>
    <r>
      <rPr>
        <sz val="8.5"/>
        <color rgb="FF000000"/>
        <rFont val="Noto Sans CJK SC"/>
        <family val="2"/>
      </rPr>
      <t xml:space="preserve">群晶科技 </t>
    </r>
    <r>
      <rPr>
        <sz val="8.5"/>
        <color rgb="FF000000"/>
        <rFont val="微軟正黑體"/>
        <family val="0"/>
        <charset val="1"/>
      </rPr>
      <t xml:space="preserve">is positioned initially as alliance convener</t>
    </r>
  </si>
  <si>
    <t xml:space="preserve">D-007</t>
  </si>
  <si>
    <t xml:space="preserve">Language</t>
  </si>
  <si>
    <t xml:space="preserve">Workbook is Chinese/English; Vietnamese terminology review is a later work package</t>
  </si>
  <si>
    <t xml:space="preserve">D-008</t>
  </si>
  <si>
    <t xml:space="preserve">工具架構</t>
  </si>
  <si>
    <r>
      <rPr>
        <sz val="8.5"/>
        <color rgb="FF000000"/>
        <rFont val="微軟正黑體"/>
        <family val="0"/>
        <charset val="1"/>
      </rPr>
      <t xml:space="preserve">v0.2</t>
    </r>
    <r>
      <rPr>
        <sz val="8.5"/>
        <color rgb="FF000000"/>
        <rFont val="Noto Sans CJK SC"/>
        <family val="2"/>
      </rPr>
      <t xml:space="preserve">起採三軸藍圖：</t>
    </r>
    <r>
      <rPr>
        <sz val="8.5"/>
        <color rgb="FF000000"/>
        <rFont val="微軟正黑體"/>
        <family val="0"/>
        <charset val="1"/>
      </rPr>
      <t xml:space="preserve">X</t>
    </r>
    <r>
      <rPr>
        <sz val="8.5"/>
        <color rgb="FF000000"/>
        <rFont val="Noto Sans CJK SC"/>
        <family val="2"/>
      </rPr>
      <t xml:space="preserve">軸</t>
    </r>
    <r>
      <rPr>
        <sz val="8.5"/>
        <color rgb="FF000000"/>
        <rFont val="微軟正黑體"/>
        <family val="0"/>
        <charset val="1"/>
      </rPr>
      <t xml:space="preserve">=</t>
    </r>
    <r>
      <rPr>
        <sz val="8.5"/>
        <color rgb="FF000000"/>
        <rFont val="Noto Sans CJK SC"/>
        <family val="2"/>
      </rPr>
      <t xml:space="preserve">階段</t>
    </r>
    <r>
      <rPr>
        <sz val="8.5"/>
        <color rgb="FF000000"/>
        <rFont val="微軟正黑體"/>
        <family val="0"/>
        <charset val="1"/>
      </rPr>
      <t xml:space="preserve">(A)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Y</t>
    </r>
    <r>
      <rPr>
        <sz val="8.5"/>
        <color rgb="FF000000"/>
        <rFont val="Noto Sans CJK SC"/>
        <family val="2"/>
      </rPr>
      <t xml:space="preserve">軸</t>
    </r>
    <r>
      <rPr>
        <sz val="8.5"/>
        <color rgb="FF000000"/>
        <rFont val="微軟正黑體"/>
        <family val="0"/>
        <charset val="1"/>
      </rPr>
      <t xml:space="preserve">=</t>
    </r>
    <r>
      <rPr>
        <sz val="8.5"/>
        <color rgb="FF000000"/>
        <rFont val="Noto Sans CJK SC"/>
        <family val="2"/>
      </rPr>
      <t xml:space="preserve">能力模組</t>
    </r>
    <r>
      <rPr>
        <sz val="8.5"/>
        <color rgb="FF000000"/>
        <rFont val="微軟正黑體"/>
        <family val="0"/>
        <charset val="1"/>
      </rPr>
      <t xml:space="preserve">(C)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B=</t>
    </r>
    <r>
      <rPr>
        <sz val="8.5"/>
        <color rgb="FF000000"/>
        <rFont val="Noto Sans CJK SC"/>
        <family val="2"/>
      </rPr>
      <t xml:space="preserve">各階段法規門檻列；以</t>
    </r>
    <r>
      <rPr>
        <sz val="8.5"/>
        <color rgb="FF000000"/>
        <rFont val="微軟正黑體"/>
        <family val="0"/>
        <charset val="1"/>
      </rPr>
      <t xml:space="preserve">03</t>
    </r>
    <r>
      <rPr>
        <sz val="8.5"/>
        <color rgb="FF000000"/>
        <rFont val="Noto Sans CJK SC"/>
        <family val="2"/>
      </rPr>
      <t xml:space="preserve">能力總表為單一資料源</t>
    </r>
  </si>
  <si>
    <t xml:space="preserve">PI + User</t>
  </si>
  <si>
    <t xml:space="preserve">D-009</t>
  </si>
  <si>
    <t xml:space="preserve">欄位擴充</t>
  </si>
  <si>
    <r>
      <rPr>
        <sz val="8.5"/>
        <color rgb="FF000000"/>
        <rFont val="微軟正黑體"/>
        <family val="0"/>
        <charset val="1"/>
      </rPr>
      <t xml:space="preserve">v1.0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軟正黑體"/>
        <family val="0"/>
        <charset val="1"/>
      </rPr>
      <t xml:space="preserve">03</t>
    </r>
    <r>
      <rPr>
        <sz val="8.5"/>
        <color rgb="FF000000"/>
        <rFont val="Noto Sans CJK SC"/>
        <family val="2"/>
      </rPr>
      <t xml:space="preserve">能力總表新增</t>
    </r>
    <r>
      <rPr>
        <sz val="8.5"/>
        <color rgb="FF000000"/>
        <rFont val="微軟正黑體"/>
        <family val="0"/>
        <charset val="1"/>
      </rPr>
      <t xml:space="preserve">AB-AF</t>
    </r>
    <r>
      <rPr>
        <sz val="8.5"/>
        <color rgb="FF000000"/>
        <rFont val="Noto Sans CJK SC"/>
        <family val="2"/>
      </rPr>
      <t xml:space="preserve">五欄（能力成熟度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驗收指標</t>
    </r>
    <r>
      <rPr>
        <sz val="8.5"/>
        <color rgb="FF000000"/>
        <rFont val="微軟正黑體"/>
        <family val="0"/>
        <charset val="1"/>
      </rPr>
      <t xml:space="preserve">KPI/</t>
    </r>
    <r>
      <rPr>
        <sz val="8.5"/>
        <color rgb="FF000000"/>
        <rFont val="Noto Sans CJK SC"/>
        <family val="2"/>
      </rPr>
      <t xml:space="preserve">資料系統依賴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證據成熟度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所屬商機包），一律加在</t>
    </r>
    <r>
      <rPr>
        <sz val="8.5"/>
        <color rgb="FF000000"/>
        <rFont val="微軟正黑體"/>
        <family val="0"/>
        <charset val="1"/>
      </rPr>
      <t xml:space="preserve">AA</t>
    </r>
    <r>
      <rPr>
        <sz val="8.5"/>
        <color rgb="FF000000"/>
        <rFont val="Noto Sans CJK SC"/>
        <family val="2"/>
      </rPr>
      <t xml:space="preserve">欄右側，不插入既有欄位，不影響前</t>
    </r>
    <r>
      <rPr>
        <sz val="8.5"/>
        <color rgb="FF000000"/>
        <rFont val="微軟正黑體"/>
        <family val="0"/>
        <charset val="1"/>
      </rPr>
      <t xml:space="preserve">27</t>
    </r>
    <r>
      <rPr>
        <sz val="8.5"/>
        <color rgb="FF000000"/>
        <rFont val="Noto Sans CJK SC"/>
        <family val="2"/>
      </rPr>
      <t xml:space="preserve">欄公式；</t>
    </r>
    <r>
      <rPr>
        <sz val="8.5"/>
        <color rgb="FF000000"/>
        <rFont val="微軟正黑體"/>
        <family val="0"/>
        <charset val="1"/>
      </rPr>
      <t xml:space="preserve">AB-AE</t>
    </r>
    <r>
      <rPr>
        <sz val="8.5"/>
        <color rgb="FF000000"/>
        <rFont val="Noto Sans CJK SC"/>
        <family val="2"/>
      </rPr>
      <t xml:space="preserve">四欄</t>
    </r>
    <r>
      <rPr>
        <sz val="8.5"/>
        <color rgb="FF000000"/>
        <rFont val="微軟正黑體"/>
        <family val="0"/>
        <charset val="1"/>
      </rPr>
      <t xml:space="preserve">60</t>
    </r>
    <r>
      <rPr>
        <sz val="8.5"/>
        <color rgb="FF000000"/>
        <rFont val="Noto Sans CJK SC"/>
        <family val="2"/>
      </rPr>
      <t xml:space="preserve">項既有能力留空待</t>
    </r>
    <r>
      <rPr>
        <sz val="8.5"/>
        <color rgb="FF000000"/>
        <rFont val="微軟正黑體"/>
        <family val="0"/>
        <charset val="1"/>
      </rPr>
      <t xml:space="preserve">PI</t>
    </r>
    <r>
      <rPr>
        <sz val="8.5"/>
        <color rgb="FF000000"/>
        <rFont val="Noto Sans CJK SC"/>
        <family val="2"/>
      </rPr>
      <t xml:space="preserve">逐項評估補齊，</t>
    </r>
    <r>
      <rPr>
        <sz val="8.5"/>
        <color rgb="FF000000"/>
        <rFont val="微軟正黑體"/>
        <family val="0"/>
        <charset val="1"/>
      </rPr>
      <t xml:space="preserve">AF</t>
    </r>
    <r>
      <rPr>
        <sz val="8.5"/>
        <color rgb="FF000000"/>
        <rFont val="Noto Sans CJK SC"/>
        <family val="2"/>
      </rPr>
      <t xml:space="preserve">為新增</t>
    </r>
    <r>
      <rPr>
        <sz val="8.5"/>
        <color rgb="FF000000"/>
        <rFont val="微軟正黑體"/>
        <family val="0"/>
        <charset val="1"/>
      </rPr>
      <t xml:space="preserve">14</t>
    </r>
    <r>
      <rPr>
        <sz val="8.5"/>
        <color rgb="FF000000"/>
        <rFont val="Noto Sans CJK SC"/>
        <family val="2"/>
      </rPr>
      <t xml:space="preserve">商機清單分頁的關聯鍵。</t>
    </r>
  </si>
  <si>
    <t xml:space="preserve">D-010</t>
  </si>
  <si>
    <t xml:space="preserve">商機呈現</t>
  </si>
  <si>
    <r>
      <rPr>
        <sz val="8.5"/>
        <color rgb="FF000000"/>
        <rFont val="微軟正黑體"/>
        <family val="0"/>
        <charset val="1"/>
      </rPr>
      <t xml:space="preserve">03</t>
    </r>
    <r>
      <rPr>
        <sz val="8.5"/>
        <color rgb="FF000000"/>
        <rFont val="Noto Sans CJK SC"/>
        <family val="2"/>
      </rPr>
      <t xml:space="preserve">能力總表是能力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工作包資料庫，不等於商機清單；新增</t>
    </r>
    <r>
      <rPr>
        <sz val="8.5"/>
        <color rgb="FF000000"/>
        <rFont val="微軟正黑體"/>
        <family val="0"/>
        <charset val="1"/>
      </rPr>
      <t xml:space="preserve">14_</t>
    </r>
    <r>
      <rPr>
        <sz val="8.5"/>
        <color rgb="FF000000"/>
        <rFont val="Noto Sans CJK SC"/>
        <family val="2"/>
      </rPr>
      <t xml:space="preserve">商機清單</t>
    </r>
    <r>
      <rPr>
        <sz val="8.5"/>
        <color rgb="FF000000"/>
        <rFont val="微軟正黑體"/>
        <family val="0"/>
        <charset val="1"/>
      </rPr>
      <t xml:space="preserve">_Pipeline</t>
    </r>
    <r>
      <rPr>
        <sz val="8.5"/>
        <color rgb="FF000000"/>
        <rFont val="Noto Sans CJK SC"/>
        <family val="2"/>
      </rPr>
      <t xml:space="preserve">分頁，由</t>
    </r>
    <r>
      <rPr>
        <sz val="8.5"/>
        <color rgb="FF000000"/>
        <rFont val="微軟正黑體"/>
        <family val="0"/>
        <charset val="1"/>
      </rPr>
      <t xml:space="preserve">PI</t>
    </r>
    <r>
      <rPr>
        <sz val="8.5"/>
        <color rgb="FF000000"/>
        <rFont val="Noto Sans CJK SC"/>
        <family val="2"/>
      </rPr>
      <t xml:space="preserve">在</t>
    </r>
    <r>
      <rPr>
        <sz val="8.5"/>
        <color rgb="FF000000"/>
        <rFont val="微軟正黑體"/>
        <family val="0"/>
        <charset val="1"/>
      </rPr>
      <t xml:space="preserve">03</t>
    </r>
    <r>
      <rPr>
        <sz val="8.5"/>
        <color rgb="FF000000"/>
        <rFont val="Noto Sans CJK SC"/>
        <family val="2"/>
      </rPr>
      <t xml:space="preserve">的</t>
    </r>
    <r>
      <rPr>
        <sz val="8.5"/>
        <color rgb="FF000000"/>
        <rFont val="微軟正黑體"/>
        <family val="0"/>
        <charset val="1"/>
      </rPr>
      <t xml:space="preserve">AF</t>
    </r>
    <r>
      <rPr>
        <sz val="8.5"/>
        <color rgb="FF000000"/>
        <rFont val="Noto Sans CJK SC"/>
        <family val="2"/>
      </rPr>
      <t xml:space="preserve">欄把相關</t>
    </r>
    <r>
      <rPr>
        <sz val="8.5"/>
        <color rgb="FF000000"/>
        <rFont val="微軟正黑體"/>
        <family val="0"/>
        <charset val="1"/>
      </rPr>
      <t xml:space="preserve">CAP</t>
    </r>
    <r>
      <rPr>
        <sz val="8.5"/>
        <color rgb="FF000000"/>
        <rFont val="Noto Sans CJK SC"/>
        <family val="2"/>
      </rPr>
      <t xml:space="preserve">標同一</t>
    </r>
    <r>
      <rPr>
        <sz val="8.5"/>
        <color rgb="FF000000"/>
        <rFont val="微軟正黑體"/>
        <family val="0"/>
        <charset val="1"/>
      </rPr>
      <t xml:space="preserve">PKG</t>
    </r>
    <r>
      <rPr>
        <sz val="8.5"/>
        <color rgb="FF000000"/>
        <rFont val="Noto Sans CJK SC"/>
        <family val="2"/>
      </rPr>
      <t xml:space="preserve">代號後自動彙整</t>
    </r>
    <r>
      <rPr>
        <sz val="8.5"/>
        <color rgb="FF000000"/>
        <rFont val="微軟正黑體"/>
        <family val="0"/>
        <charset val="1"/>
      </rPr>
      <t xml:space="preserve">CAP</t>
    </r>
    <r>
      <rPr>
        <sz val="8.5"/>
        <color rgb="FF000000"/>
        <rFont val="Noto Sans CJK SC"/>
        <family val="2"/>
      </rPr>
      <t xml:space="preserve">數與平均分數，業主簡報一律用</t>
    </r>
    <r>
      <rPr>
        <sz val="8.5"/>
        <color rgb="FF000000"/>
        <rFont val="微軟正黑體"/>
        <family val="0"/>
        <charset val="1"/>
      </rPr>
      <t xml:space="preserve">14</t>
    </r>
    <r>
      <rPr>
        <sz val="8.5"/>
        <color rgb="FF000000"/>
        <rFont val="Noto Sans CJK SC"/>
        <family val="2"/>
      </rPr>
      <t xml:space="preserve">頁，不直接看</t>
    </r>
    <r>
      <rPr>
        <sz val="8.5"/>
        <color rgb="FF000000"/>
        <rFont val="微軟正黑體"/>
        <family val="0"/>
        <charset val="1"/>
      </rPr>
      <t xml:space="preserve">03</t>
    </r>
    <r>
      <rPr>
        <sz val="8.5"/>
        <color rgb="FF000000"/>
        <rFont val="Noto Sans CJK SC"/>
        <family val="2"/>
      </rPr>
      <t xml:space="preserve">的</t>
    </r>
    <r>
      <rPr>
        <sz val="8.5"/>
        <color rgb="FF000000"/>
        <rFont val="微軟正黑體"/>
        <family val="0"/>
        <charset val="1"/>
      </rPr>
      <t xml:space="preserve">CAP</t>
    </r>
    <r>
      <rPr>
        <sz val="8.5"/>
        <color rgb="FF000000"/>
        <rFont val="Noto Sans CJK SC"/>
        <family val="2"/>
      </rPr>
      <t xml:space="preserve">明細。</t>
    </r>
    <r>
      <rPr>
        <sz val="8.5"/>
        <color rgb="FF000000"/>
        <rFont val="微軟正黑體"/>
        <family val="0"/>
        <charset val="1"/>
      </rPr>
      <t xml:space="preserve">04</t>
    </r>
    <r>
      <rPr>
        <sz val="8.5"/>
        <color rgb="FF000000"/>
        <rFont val="Noto Sans CJK SC"/>
        <family val="2"/>
      </rPr>
      <t xml:space="preserve">夥伴拼圖新增</t>
    </r>
    <r>
      <rPr>
        <sz val="8.5"/>
        <color rgb="FF000000"/>
        <rFont val="微軟正黑體"/>
        <family val="0"/>
        <charset val="1"/>
      </rPr>
      <t xml:space="preserve">T</t>
    </r>
    <r>
      <rPr>
        <sz val="8.5"/>
        <color rgb="FF000000"/>
        <rFont val="Noto Sans CJK SC"/>
        <family val="2"/>
      </rPr>
      <t xml:space="preserve">欄「代號＋名稱」，</t>
    </r>
    <r>
      <rPr>
        <sz val="8.5"/>
        <color rgb="FF000000"/>
        <rFont val="微軟正黑體"/>
        <family val="0"/>
        <charset val="1"/>
      </rPr>
      <t xml:space="preserve">03/12</t>
    </r>
    <r>
      <rPr>
        <sz val="8.5"/>
        <color rgb="FF000000"/>
        <rFont val="Noto Sans CJK SC"/>
        <family val="2"/>
      </rPr>
      <t xml:space="preserve">分頁候選夥伴下拉改顯示代號＋名稱以避免同類角色混淆。</t>
    </r>
  </si>
  <si>
    <t xml:space="preserve">D-011</t>
  </si>
  <si>
    <t xml:space="preserve">夥伴表輸入防呆</t>
  </si>
  <si>
    <r>
      <rPr>
        <sz val="8.5"/>
        <color rgb="FF000000"/>
        <rFont val="微軟正黑體"/>
        <family val="0"/>
        <charset val="1"/>
      </rPr>
      <t xml:space="preserve">04</t>
    </r>
    <r>
      <rPr>
        <sz val="8.5"/>
        <color rgb="FF000000"/>
        <rFont val="Noto Sans CJK SC"/>
        <family val="2"/>
      </rPr>
      <t xml:space="preserve">夥伴拼圖：</t>
    </r>
    <r>
      <rPr>
        <sz val="8.5"/>
        <color rgb="FF000000"/>
        <rFont val="微軟正黑體"/>
        <family val="0"/>
        <charset val="1"/>
      </rPr>
      <t xml:space="preserve">A</t>
    </r>
    <r>
      <rPr>
        <sz val="8.5"/>
        <color rgb="FF000000"/>
        <rFont val="Noto Sans CJK SC"/>
        <family val="2"/>
      </rPr>
      <t xml:space="preserve">欄</t>
    </r>
    <r>
      <rPr>
        <sz val="8.5"/>
        <color rgb="FF000000"/>
        <rFont val="微軟正黑體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夥伴</t>
    </r>
    <r>
      <rPr>
        <sz val="8.5"/>
        <color rgb="FF000000"/>
        <rFont val="微軟正黑體"/>
        <family val="0"/>
        <charset val="1"/>
      </rPr>
      <t xml:space="preserve">ID)</t>
    </r>
    <r>
      <rPr>
        <sz val="8.5"/>
        <color rgb="FF000000"/>
        <rFont val="Noto Sans CJK SC"/>
        <family val="2"/>
      </rPr>
      <t xml:space="preserve">改為公式接續編號、</t>
    </r>
    <r>
      <rPr>
        <sz val="8.5"/>
        <color rgb="FF000000"/>
        <rFont val="微軟正黑體"/>
        <family val="0"/>
        <charset val="1"/>
      </rPr>
      <t xml:space="preserve">F</t>
    </r>
    <r>
      <rPr>
        <sz val="8.5"/>
        <color rgb="FF000000"/>
        <rFont val="Noto Sans CJK SC"/>
        <family val="2"/>
      </rPr>
      <t xml:space="preserve">欄</t>
    </r>
    <r>
      <rPr>
        <sz val="8.5"/>
        <color rgb="FF000000"/>
        <rFont val="微軟正黑體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涵蓋領域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改由</t>
    </r>
    <r>
      <rPr>
        <sz val="8.5"/>
        <color rgb="FF000000"/>
        <rFont val="微軟正黑體"/>
        <family val="0"/>
        <charset val="1"/>
      </rPr>
      <t xml:space="preserve">U-AD</t>
    </r>
    <r>
      <rPr>
        <sz val="8.5"/>
        <color rgb="FF000000"/>
        <rFont val="Noto Sans CJK SC"/>
        <family val="2"/>
      </rPr>
      <t xml:space="preserve">十個</t>
    </r>
    <r>
      <rPr>
        <sz val="8.5"/>
        <color rgb="FF000000"/>
        <rFont val="微軟正黑體"/>
        <family val="0"/>
        <charset val="1"/>
      </rPr>
      <t xml:space="preserve">D01-D10</t>
    </r>
    <r>
      <rPr>
        <sz val="8.5"/>
        <color rgb="FF000000"/>
        <rFont val="Noto Sans CJK SC"/>
        <family val="2"/>
      </rPr>
      <t xml:space="preserve">勾選欄自動組成，兩者都不再手動輸入以避免格式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編號錯誤；</t>
    </r>
    <r>
      <rPr>
        <sz val="8.5"/>
        <color rgb="FF000000"/>
        <rFont val="微軟正黑體"/>
        <family val="0"/>
        <charset val="1"/>
      </rPr>
      <t xml:space="preserve">B</t>
    </r>
    <r>
      <rPr>
        <sz val="8.5"/>
        <color rgb="FF000000"/>
        <rFont val="Noto Sans CJK SC"/>
        <family val="2"/>
      </rPr>
      <t xml:space="preserve">欄</t>
    </r>
    <r>
      <rPr>
        <sz val="8.5"/>
        <color rgb="FF000000"/>
        <rFont val="微軟正黑體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夥伴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角色中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改為建議式下拉</t>
    </r>
    <r>
      <rPr>
        <sz val="8.5"/>
        <color rgb="FF000000"/>
        <rFont val="微軟正黑體"/>
        <family val="0"/>
        <charset val="1"/>
      </rPr>
      <t xml:space="preserve">(98</t>
    </r>
    <r>
      <rPr>
        <sz val="8.5"/>
        <color rgb="FF000000"/>
        <rFont val="Noto Sans CJK SC"/>
        <family val="2"/>
      </rPr>
      <t xml:space="preserve">分頁</t>
    </r>
    <r>
      <rPr>
        <sz val="8.5"/>
        <color rgb="FF000000"/>
        <rFont val="微軟正黑體"/>
        <family val="0"/>
        <charset val="1"/>
      </rPr>
      <t xml:space="preserve">L_PartnerCand</t>
    </r>
    <r>
      <rPr>
        <sz val="8.5"/>
        <color rgb="FF000000"/>
        <rFont val="Noto Sans CJK SC"/>
        <family val="2"/>
      </rPr>
      <t xml:space="preserve">維護候選清單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，可選也可直接輸入全新名稱。</t>
    </r>
    <r>
      <rPr>
        <sz val="8.5"/>
        <color rgb="FF000000"/>
        <rFont val="微軟正黑體"/>
        <family val="0"/>
        <charset val="1"/>
      </rPr>
      <t xml:space="preserve">VMH-EcoMap-3</t>
    </r>
    <r>
      <rPr>
        <sz val="8.5"/>
        <color rgb="FF000000"/>
        <rFont val="Noto Sans CJK SC"/>
        <family val="2"/>
      </rPr>
      <t xml:space="preserve">的貼上範圍同步由</t>
    </r>
    <r>
      <rPr>
        <sz val="8.5"/>
        <color rgb="FF000000"/>
        <rFont val="微軟正黑體"/>
        <family val="0"/>
        <charset val="1"/>
      </rPr>
      <t xml:space="preserve">A7:O7</t>
    </r>
    <r>
      <rPr>
        <sz val="8.5"/>
        <color rgb="FF000000"/>
        <rFont val="Noto Sans CJK SC"/>
        <family val="2"/>
      </rPr>
      <t xml:space="preserve">調整為</t>
    </r>
    <r>
      <rPr>
        <sz val="8.5"/>
        <color rgb="FF000000"/>
        <rFont val="微軟正黑體"/>
        <family val="0"/>
        <charset val="1"/>
      </rPr>
      <t xml:space="preserve">B7:O7</t>
    </r>
    <r>
      <rPr>
        <sz val="8.5"/>
        <color rgb="FF000000"/>
        <rFont val="Noto Sans CJK SC"/>
        <family val="2"/>
      </rPr>
      <t xml:space="preserve">（跳過</t>
    </r>
    <r>
      <rPr>
        <sz val="8.5"/>
        <color rgb="FF000000"/>
        <rFont val="微軟正黑體"/>
        <family val="0"/>
        <charset val="1"/>
      </rPr>
      <t xml:space="preserve">A</t>
    </r>
    <r>
      <rPr>
        <sz val="8.5"/>
        <color rgb="FF000000"/>
        <rFont val="Noto Sans CJK SC"/>
        <family val="2"/>
      </rPr>
      <t xml:space="preserve">欄）。</t>
    </r>
  </si>
  <si>
    <t xml:space="preserve">D-012</t>
  </si>
  <si>
    <t xml:space="preserve">全檔防呆與易用性</t>
  </si>
  <si>
    <r>
      <rPr>
        <sz val="8.5"/>
        <color rgb="FF000000"/>
        <rFont val="Noto Sans CJK SC"/>
        <family val="2"/>
      </rPr>
      <t xml:space="preserve">①全分頁無密碼保護：黃格</t>
    </r>
    <r>
      <rPr>
        <sz val="8.5"/>
        <color rgb="FF000000"/>
        <rFont val="微軟正黑體"/>
        <family val="0"/>
        <charset val="1"/>
      </rPr>
      <t xml:space="preserve">/✓</t>
    </r>
    <r>
      <rPr>
        <sz val="8.5"/>
        <color rgb="FF000000"/>
        <rFont val="Noto Sans CJK SC"/>
        <family val="2"/>
      </rPr>
      <t xml:space="preserve">格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示範列可編輯，公式格鎖定（校閱→取消保護即可解除，無密碼；篩選可用、排序需先解除保護）；</t>
    </r>
    <r>
      <rPr>
        <sz val="8.5"/>
        <color rgb="FF000000"/>
        <rFont val="微軟正黑體"/>
        <family val="0"/>
        <charset val="1"/>
      </rPr>
      <t xml:space="preserve">10</t>
    </r>
    <r>
      <rPr>
        <sz val="8.5"/>
        <color rgb="FF000000"/>
        <rFont val="Noto Sans CJK SC"/>
        <family val="2"/>
      </rPr>
      <t xml:space="preserve">決策紀錄為自由書寫區不上鎖。②新增「儀表板」分頁（族群分佈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越南現況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各領域缺口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管線階段，全公式連動）。③每頁加「⌂回使用說明」導覽連結、設定列印重複表頭。④</t>
    </r>
    <r>
      <rPr>
        <sz val="8.5"/>
        <color rgb="FF000000"/>
        <rFont val="微軟正黑體"/>
        <family val="0"/>
        <charset val="1"/>
      </rPr>
      <t xml:space="preserve">03</t>
    </r>
    <r>
      <rPr>
        <sz val="8.5"/>
        <color rgb="FF000000"/>
        <rFont val="Noto Sans CJK SC"/>
        <family val="2"/>
      </rPr>
      <t xml:space="preserve">的</t>
    </r>
    <r>
      <rPr>
        <sz val="8.5"/>
        <color rgb="FF000000"/>
        <rFont val="微軟正黑體"/>
        <family val="0"/>
        <charset val="1"/>
      </rPr>
      <t xml:space="preserve">X-AE</t>
    </r>
    <r>
      <rPr>
        <sz val="8.5"/>
        <color rgb="FF000000"/>
        <rFont val="Noto Sans CJK SC"/>
        <family val="2"/>
      </rPr>
      <t xml:space="preserve">欄改為群組摺疊，按「＋」展開。⑤</t>
    </r>
    <r>
      <rPr>
        <sz val="8.5"/>
        <color rgb="FF000000"/>
        <rFont val="微軟正黑體"/>
        <family val="0"/>
        <charset val="1"/>
      </rPr>
      <t xml:space="preserve">11/12/13</t>
    </r>
    <r>
      <rPr>
        <sz val="8.5"/>
        <color rgb="FF000000"/>
        <rFont val="Noto Sans CJK SC"/>
        <family val="2"/>
      </rPr>
      <t xml:space="preserve">自動清單加超量警示（超過顯示上限會提醒）。⑥修正</t>
    </r>
    <r>
      <rPr>
        <sz val="8.5"/>
        <color rgb="FF000000"/>
        <rFont val="微軟正黑體"/>
        <family val="0"/>
        <charset val="1"/>
      </rPr>
      <t xml:space="preserve">03!X5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06!F5</t>
    </r>
    <r>
      <rPr>
        <sz val="8.5"/>
        <color rgb="FF000000"/>
        <rFont val="Noto Sans CJK SC"/>
        <family val="2"/>
      </rPr>
      <t xml:space="preserve">殘留的「</t>
    </r>
    <r>
      <rPr>
        <sz val="8.5"/>
        <color rgb="FF000000"/>
        <rFont val="微軟正黑體"/>
        <family val="0"/>
        <charset val="1"/>
      </rPr>
      <t xml:space="preserve">None</t>
    </r>
    <r>
      <rPr>
        <sz val="8.5"/>
        <color rgb="FF000000"/>
        <rFont val="Noto Sans CJK SC"/>
        <family val="2"/>
      </rPr>
      <t xml:space="preserve">」字串。</t>
    </r>
  </si>
  <si>
    <t xml:space="preserve">D-013</t>
  </si>
  <si>
    <r>
      <rPr>
        <sz val="8.5"/>
        <color rgb="FF000000"/>
        <rFont val="Noto Sans CJK SC"/>
        <family val="2"/>
      </rPr>
      <t xml:space="preserve">內容實質校準</t>
    </r>
    <r>
      <rPr>
        <sz val="8.5"/>
        <color rgb="FF000000"/>
        <rFont val="微軟正黑體"/>
        <family val="0"/>
        <charset val="1"/>
      </rPr>
      <t xml:space="preserve">(v1.1)</t>
    </r>
  </si>
  <si>
    <r>
      <rPr>
        <sz val="8.5"/>
        <color rgb="FF000000"/>
        <rFont val="微軟正黑體"/>
        <family val="0"/>
        <charset val="1"/>
      </rPr>
      <t xml:space="preserve">①03</t>
    </r>
    <r>
      <rPr>
        <sz val="8.5"/>
        <color rgb="FF000000"/>
        <rFont val="Noto Sans CJK SC"/>
        <family val="2"/>
      </rPr>
      <t xml:space="preserve">價值分依</t>
    </r>
    <r>
      <rPr>
        <sz val="8.5"/>
        <color rgb="FF000000"/>
        <rFont val="微軟正黑體"/>
        <family val="0"/>
        <charset val="1"/>
      </rPr>
      <t xml:space="preserve">99</t>
    </r>
    <r>
      <rPr>
        <sz val="8.5"/>
        <color rgb="FF000000"/>
        <rFont val="Noto Sans CJK SC"/>
        <family val="2"/>
      </rPr>
      <t xml:space="preserve">新增之行為錨定量表重新校準（原</t>
    </r>
    <r>
      <rPr>
        <sz val="8.5"/>
        <color rgb="FF000000"/>
        <rFont val="微軟正黑體"/>
        <family val="0"/>
        <charset val="1"/>
      </rPr>
      <t xml:space="preserve">60</t>
    </r>
    <r>
      <rPr>
        <sz val="8.5"/>
        <color rgb="FF000000"/>
        <rFont val="Noto Sans CJK SC"/>
        <family val="2"/>
      </rPr>
      <t xml:space="preserve">項全</t>
    </r>
    <r>
      <rPr>
        <sz val="8.5"/>
        <color rgb="FF000000"/>
        <rFont val="微軟正黑體"/>
        <family val="0"/>
        <charset val="1"/>
      </rPr>
      <t xml:space="preserve">4-5</t>
    </r>
    <r>
      <rPr>
        <sz val="8.5"/>
        <color rgb="FF000000"/>
        <rFont val="Noto Sans CJK SC"/>
        <family val="2"/>
      </rPr>
      <t xml:space="preserve">分無鑑別力；商業分改依</t>
    </r>
    <r>
      <rPr>
        <sz val="8.5"/>
        <color rgb="FF000000"/>
        <rFont val="微軟正黑體"/>
        <family val="0"/>
        <charset val="1"/>
      </rPr>
      <t xml:space="preserve">16</t>
    </r>
    <r>
      <rPr>
        <sz val="8.5"/>
        <color rgb="FF000000"/>
        <rFont val="Noto Sans CJK SC"/>
        <family val="2"/>
      </rPr>
      <t xml:space="preserve">矩陣商機對應數定錨</t>
    </r>
    <r>
      <rPr>
        <sz val="8.5"/>
        <color rgb="FF000000"/>
        <rFont val="微軟正黑體"/>
        <family val="0"/>
        <charset val="1"/>
      </rPr>
      <t xml:space="preserve">0</t>
    </r>
    <r>
      <rPr>
        <sz val="8.5"/>
        <color rgb="FF000000"/>
        <rFont val="Noto Sans CJK SC"/>
        <family val="2"/>
      </rPr>
      <t xml:space="preserve">個→</t>
    </r>
    <r>
      <rPr>
        <sz val="8.5"/>
        <color rgb="FF000000"/>
        <rFont val="微軟正黑體"/>
        <family val="0"/>
        <charset val="1"/>
      </rPr>
      <t xml:space="preserve">2</t>
    </r>
    <r>
      <rPr>
        <sz val="8.5"/>
        <color rgb="FF000000"/>
        <rFont val="Noto Sans CJK SC"/>
        <family val="2"/>
      </rPr>
      <t xml:space="preserve">分…</t>
    </r>
    <r>
      <rPr>
        <sz val="8.5"/>
        <color rgb="FF000000"/>
        <rFont val="微軟正黑體"/>
        <family val="0"/>
        <charset val="1"/>
      </rPr>
      <t xml:space="preserve">4</t>
    </r>
    <r>
      <rPr>
        <sz val="8.5"/>
        <color rgb="FF000000"/>
        <rFont val="Noto Sans CJK SC"/>
        <family val="2"/>
      </rPr>
      <t xml:space="preserve">個以上→</t>
    </r>
    <r>
      <rPr>
        <sz val="8.5"/>
        <color rgb="FF000000"/>
        <rFont val="微軟正黑體"/>
        <family val="0"/>
        <charset val="1"/>
      </rPr>
      <t xml:space="preserve">5</t>
    </r>
    <r>
      <rPr>
        <sz val="8.5"/>
        <color rgb="FF000000"/>
        <rFont val="Noto Sans CJK SC"/>
        <family val="2"/>
      </rPr>
      <t xml:space="preserve">分，治理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商模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數位後勤類之臨床分與政府分下修），商業判斷由僅</t>
    </r>
    <r>
      <rPr>
        <sz val="8.5"/>
        <color rgb="FF000000"/>
        <rFont val="微軟正黑體"/>
        <family val="0"/>
        <charset val="1"/>
      </rPr>
      <t xml:space="preserve">Go/Prepare</t>
    </r>
    <r>
      <rPr>
        <sz val="8.5"/>
        <color rgb="FF000000"/>
        <rFont val="Noto Sans CJK SC"/>
        <family val="2"/>
      </rPr>
      <t xml:space="preserve">兩種恢復為四種分佈；校準值仍可逐項覆寫。②</t>
    </r>
    <r>
      <rPr>
        <sz val="8.5"/>
        <color rgb="FF000000"/>
        <rFont val="微軟正黑體"/>
        <family val="0"/>
        <charset val="1"/>
      </rPr>
      <t xml:space="preserve">05</t>
    </r>
    <r>
      <rPr>
        <sz val="8.5"/>
        <color rgb="FF000000"/>
        <rFont val="Noto Sans CJK SC"/>
        <family val="2"/>
      </rPr>
      <t xml:space="preserve">法規更新：</t>
    </r>
    <r>
      <rPr>
        <sz val="8.5"/>
        <color rgb="FF000000"/>
        <rFont val="微軟正黑體"/>
        <family val="0"/>
        <charset val="1"/>
      </rPr>
      <t xml:space="preserve">VN-PDP-13(Decree 13/2023</t>
    </r>
    <r>
      <rPr>
        <sz val="8.5"/>
        <color rgb="FF000000"/>
        <rFont val="Noto Sans CJK SC"/>
        <family val="2"/>
      </rPr>
      <t xml:space="preserve">已失效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換版為</t>
    </r>
    <r>
      <rPr>
        <sz val="8.5"/>
        <color rgb="FF000000"/>
        <rFont val="微軟正黑體"/>
        <family val="0"/>
        <charset val="1"/>
      </rPr>
      <t xml:space="preserve">VN-PDP-91(PDPL 91/2025+Decree 356)</t>
    </r>
    <r>
      <rPr>
        <sz val="8.5"/>
        <color rgb="FF000000"/>
        <rFont val="Noto Sans CJK SC"/>
        <family val="2"/>
      </rPr>
      <t xml:space="preserve">，新增</t>
    </r>
    <r>
      <rPr>
        <sz val="8.5"/>
        <color rgb="FF000000"/>
        <rFont val="微軟正黑體"/>
        <family val="0"/>
        <charset val="1"/>
      </rPr>
      <t xml:space="preserve">PPP71/</t>
    </r>
    <r>
      <rPr>
        <sz val="8.5"/>
        <color rgb="FF000000"/>
        <rFont val="Noto Sans CJK SC"/>
        <family val="2"/>
      </rPr>
      <t xml:space="preserve">電子處方</t>
    </r>
    <r>
      <rPr>
        <sz val="8.5"/>
        <color rgb="FF000000"/>
        <rFont val="微軟正黑體"/>
        <family val="0"/>
        <charset val="1"/>
      </rPr>
      <t xml:space="preserve">26/AI</t>
    </r>
    <r>
      <rPr>
        <sz val="8.5"/>
        <color rgb="FF000000"/>
        <rFont val="Noto Sans CJK SC"/>
        <family val="2"/>
      </rPr>
      <t xml:space="preserve">法</t>
    </r>
    <r>
      <rPr>
        <sz val="8.5"/>
        <color rgb="FF000000"/>
        <rFont val="微軟正黑體"/>
        <family val="0"/>
        <charset val="1"/>
      </rPr>
      <t xml:space="preserve">134/FHIR2146/</t>
    </r>
    <r>
      <rPr>
        <sz val="8.5"/>
        <color rgb="FF000000"/>
        <rFont val="Noto Sans CJK SC"/>
        <family val="2"/>
      </rPr>
      <t xml:space="preserve">全民健檢</t>
    </r>
    <r>
      <rPr>
        <sz val="8.5"/>
        <color rgb="FF000000"/>
        <rFont val="微軟正黑體"/>
        <family val="0"/>
        <charset val="1"/>
      </rPr>
      <t xml:space="preserve">72</t>
    </r>
    <r>
      <rPr>
        <sz val="8.5"/>
        <color rgb="FF000000"/>
        <rFont val="Noto Sans CJK SC"/>
        <family val="2"/>
      </rPr>
      <t xml:space="preserve">五條。③</t>
    </r>
    <r>
      <rPr>
        <sz val="8.5"/>
        <color rgb="FF000000"/>
        <rFont val="微軟正黑體"/>
        <family val="0"/>
        <charset val="1"/>
      </rPr>
      <t xml:space="preserve">07</t>
    </r>
    <r>
      <rPr>
        <sz val="8.5"/>
        <color rgb="FF000000"/>
        <rFont val="Noto Sans CJK SC"/>
        <family val="2"/>
      </rPr>
      <t xml:space="preserve">預填</t>
    </r>
    <r>
      <rPr>
        <sz val="8.5"/>
        <color rgb="FF000000"/>
        <rFont val="微軟正黑體"/>
        <family val="0"/>
        <charset val="1"/>
      </rPr>
      <t xml:space="preserve">2025 HCMC</t>
    </r>
    <r>
      <rPr>
        <sz val="8.5"/>
        <color rgb="FF000000"/>
        <rFont val="Noto Sans CJK SC"/>
        <family val="2"/>
      </rPr>
      <t xml:space="preserve">實價基準</t>
    </r>
    <r>
      <rPr>
        <sz val="8.5"/>
        <color rgb="FF000000"/>
        <rFont val="微軟正黑體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建造單價</t>
    </r>
    <r>
      <rPr>
        <sz val="8.5"/>
        <color rgb="FF000000"/>
        <rFont val="微軟正黑體"/>
        <family val="0"/>
        <charset val="1"/>
      </rPr>
      <t xml:space="preserve">US$1,460/</t>
    </r>
    <r>
      <rPr>
        <sz val="8.5"/>
        <color rgb="FF000000"/>
        <rFont val="Noto Sans CJK SC"/>
        <family val="2"/>
      </rPr>
      <t xml:space="preserve">㎡，規劃假設值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。④</t>
    </r>
    <r>
      <rPr>
        <sz val="8.5"/>
        <color rgb="FF000000"/>
        <rFont val="微軟正黑體"/>
        <family val="0"/>
        <charset val="1"/>
      </rPr>
      <t xml:space="preserve">09</t>
    </r>
    <r>
      <rPr>
        <sz val="8.5"/>
        <color rgb="FF000000"/>
        <rFont val="Noto Sans CJK SC"/>
        <family val="2"/>
      </rPr>
      <t xml:space="preserve">修正</t>
    </r>
    <r>
      <rPr>
        <sz val="8.5"/>
        <color rgb="FF000000"/>
        <rFont val="微軟正黑體"/>
        <family val="0"/>
        <charset val="1"/>
      </rPr>
      <t xml:space="preserve">KPI-OPS-02</t>
    </r>
    <r>
      <rPr>
        <sz val="8.5"/>
        <color rgb="FF000000"/>
        <rFont val="Noto Sans CJK SC"/>
        <family val="2"/>
      </rPr>
      <t xml:space="preserve">方向</t>
    </r>
    <r>
      <rPr>
        <sz val="8.5"/>
        <color rgb="FF000000"/>
        <rFont val="微軟正黑體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情境判斷→越高越好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。⑤</t>
    </r>
    <r>
      <rPr>
        <sz val="8.5"/>
        <color rgb="FF000000"/>
        <rFont val="微軟正黑體"/>
        <family val="0"/>
        <charset val="1"/>
      </rPr>
      <t xml:space="preserve">15</t>
    </r>
    <r>
      <rPr>
        <sz val="8.5"/>
        <color rgb="FF000000"/>
        <rFont val="Noto Sans CJK SC"/>
        <family val="2"/>
      </rPr>
      <t xml:space="preserve">新增「主要競爭者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在地玩家」「我們的切入角度」兩欄</t>
    </r>
    <r>
      <rPr>
        <sz val="8.5"/>
        <color rgb="FF000000"/>
        <rFont val="微軟正黑體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約</t>
    </r>
    <r>
      <rPr>
        <sz val="8.5"/>
        <color rgb="FF000000"/>
        <rFont val="微軟正黑體"/>
        <family val="0"/>
        <charset val="1"/>
      </rPr>
      <t xml:space="preserve">30</t>
    </r>
    <r>
      <rPr>
        <sz val="8.5"/>
        <color rgb="FF000000"/>
        <rFont val="Noto Sans CJK SC"/>
        <family val="2"/>
      </rPr>
      <t xml:space="preserve">個商機已填研究所得競爭情報，餘標待調查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。⑥</t>
    </r>
    <r>
      <rPr>
        <sz val="8.5"/>
        <color rgb="FF000000"/>
        <rFont val="微軟正黑體"/>
        <family val="0"/>
        <charset val="1"/>
      </rPr>
      <t xml:space="preserve">13</t>
    </r>
    <r>
      <rPr>
        <sz val="8.5"/>
        <color rgb="FF000000"/>
        <rFont val="Noto Sans CJK SC"/>
        <family val="2"/>
      </rPr>
      <t xml:space="preserve">新增第④區塊「商機行動」</t>
    </r>
    <r>
      <rPr>
        <sz val="8.5"/>
        <color rgb="FF000000"/>
        <rFont val="微軟正黑體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自動列出</t>
    </r>
    <r>
      <rPr>
        <sz val="8.5"/>
        <color rgb="FF000000"/>
        <rFont val="微軟正黑體"/>
        <family val="0"/>
        <charset val="1"/>
      </rPr>
      <t xml:space="preserve">14</t>
    </r>
    <r>
      <rPr>
        <sz val="8.5"/>
        <color rgb="FF000000"/>
        <rFont val="Noto Sans CJK SC"/>
        <family val="2"/>
      </rPr>
      <t xml:space="preserve">管線中缺口</t>
    </r>
    <r>
      <rPr>
        <sz val="8.5"/>
        <color rgb="FF000000"/>
        <rFont val="微軟正黑體"/>
        <family val="0"/>
        <charset val="1"/>
      </rPr>
      <t xml:space="preserve">&gt;0</t>
    </r>
    <r>
      <rPr>
        <sz val="8.5"/>
        <color rgb="FF000000"/>
        <rFont val="Noto Sans CJK SC"/>
        <family val="2"/>
      </rPr>
      <t xml:space="preserve">或白地商機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。⑦</t>
    </r>
    <r>
      <rPr>
        <sz val="8.5"/>
        <color rgb="FF000000"/>
        <rFont val="微軟正黑體"/>
        <family val="0"/>
        <charset val="1"/>
      </rPr>
      <t xml:space="preserve">16</t>
    </r>
    <r>
      <rPr>
        <sz val="8.5"/>
        <color rgb="FF000000"/>
        <rFont val="Noto Sans CJK SC"/>
        <family val="2"/>
      </rPr>
      <t xml:space="preserve">矩陣加註：目前✓為</t>
    </r>
    <r>
      <rPr>
        <sz val="8.5"/>
        <color rgb="FF000000"/>
        <rFont val="微軟正黑體"/>
        <family val="0"/>
        <charset val="1"/>
      </rPr>
      <t xml:space="preserve">PI</t>
    </r>
    <r>
      <rPr>
        <sz val="8.5"/>
        <color rgb="FF000000"/>
        <rFont val="Noto Sans CJK SC"/>
        <family val="2"/>
      </rPr>
      <t xml:space="preserve">初判</t>
    </r>
    <r>
      <rPr>
        <sz val="8.5"/>
        <color rgb="FF000000"/>
        <rFont val="微軟正黑體"/>
        <family val="0"/>
        <charset val="1"/>
      </rPr>
      <t xml:space="preserve">v1.0</t>
    </r>
    <r>
      <rPr>
        <sz val="8.5"/>
        <color rgb="FF000000"/>
        <rFont val="Noto Sans CJK SC"/>
        <family val="2"/>
      </rPr>
      <t xml:space="preserve">，須逐商機覆核。</t>
    </r>
  </si>
  <si>
    <t xml:space="preserve">D-014</t>
  </si>
  <si>
    <r>
      <rPr>
        <sz val="8.5"/>
        <color rgb="FF000000"/>
        <rFont val="Noto Sans CJK SC"/>
        <family val="2"/>
      </rPr>
      <t xml:space="preserve">商機</t>
    </r>
    <r>
      <rPr>
        <sz val="8.5"/>
        <color rgb="FF000000"/>
        <rFont val="微軟正黑體"/>
        <family val="0"/>
        <charset val="1"/>
      </rPr>
      <t xml:space="preserve">-</t>
    </r>
    <r>
      <rPr>
        <sz val="8.5"/>
        <color rgb="FF000000"/>
        <rFont val="Noto Sans CJK SC"/>
        <family val="2"/>
      </rPr>
      <t xml:space="preserve">能力</t>
    </r>
    <r>
      <rPr>
        <sz val="8.5"/>
        <color rgb="FF000000"/>
        <rFont val="微軟正黑體"/>
        <family val="0"/>
        <charset val="1"/>
      </rPr>
      <t xml:space="preserve">-</t>
    </r>
    <r>
      <rPr>
        <sz val="8.5"/>
        <color rgb="FF000000"/>
        <rFont val="Noto Sans CJK SC"/>
        <family val="2"/>
      </rPr>
      <t xml:space="preserve">推展閉環</t>
    </r>
    <r>
      <rPr>
        <sz val="8.5"/>
        <color rgb="FF000000"/>
        <rFont val="微軟正黑體"/>
        <family val="0"/>
        <charset val="1"/>
      </rPr>
      <t xml:space="preserve">(v1.1)</t>
    </r>
  </si>
  <si>
    <r>
      <rPr>
        <sz val="8.5"/>
        <color rgb="FF000000"/>
        <rFont val="微軟正黑體"/>
        <family val="0"/>
        <charset val="1"/>
      </rPr>
      <t xml:space="preserve">①15</t>
    </r>
    <r>
      <rPr>
        <sz val="8.5"/>
        <color rgb="FF000000"/>
        <rFont val="Noto Sans CJK SC"/>
        <family val="2"/>
      </rPr>
      <t xml:space="preserve">新增</t>
    </r>
    <r>
      <rPr>
        <sz val="8.5"/>
        <color rgb="FF000000"/>
        <rFont val="微軟正黑體"/>
        <family val="0"/>
        <charset val="1"/>
      </rPr>
      <t xml:space="preserve">X</t>
    </r>
    <r>
      <rPr>
        <sz val="8.5"/>
        <color rgb="FF000000"/>
        <rFont val="Noto Sans CJK SC"/>
        <family val="2"/>
      </rPr>
      <t xml:space="preserve">群晶主導</t>
    </r>
    <r>
      <rPr>
        <sz val="8.5"/>
        <color rgb="FF000000"/>
        <rFont val="微軟正黑體"/>
        <family val="0"/>
        <charset val="1"/>
      </rPr>
      <t xml:space="preserve">CAP</t>
    </r>
    <r>
      <rPr>
        <sz val="8.5"/>
        <color rgb="FF000000"/>
        <rFont val="Noto Sans CJK SC"/>
        <family val="2"/>
      </rPr>
      <t xml:space="preserve">數</t>
    </r>
    <r>
      <rPr>
        <sz val="8.5"/>
        <color rgb="FF000000"/>
        <rFont val="微軟正黑體"/>
        <family val="0"/>
        <charset val="1"/>
      </rPr>
      <t xml:space="preserve">/Y</t>
    </r>
    <r>
      <rPr>
        <sz val="8.5"/>
        <color rgb="FF000000"/>
        <rFont val="Noto Sans CJK SC"/>
        <family val="2"/>
      </rPr>
      <t xml:space="preserve">攻擊優先分</t>
    </r>
    <r>
      <rPr>
        <sz val="8.5"/>
        <color rgb="FF000000"/>
        <rFont val="微軟正黑體"/>
        <family val="0"/>
        <charset val="1"/>
      </rPr>
      <t xml:space="preserve">/Z</t>
    </r>
    <r>
      <rPr>
        <sz val="8.5"/>
        <color rgb="FF000000"/>
        <rFont val="Noto Sans CJK SC"/>
        <family val="2"/>
      </rPr>
      <t xml:space="preserve">攻擊順位三個公式欄（優先分＝</t>
    </r>
    <r>
      <rPr>
        <sz val="8.5"/>
        <color rgb="FF000000"/>
        <rFont val="微軟正黑體"/>
        <family val="0"/>
        <charset val="1"/>
      </rPr>
      <t xml:space="preserve">0.45×</t>
    </r>
    <r>
      <rPr>
        <sz val="8.5"/>
        <color rgb="FF000000"/>
        <rFont val="Noto Sans CJK SC"/>
        <family val="2"/>
      </rPr>
      <t xml:space="preserve">價值＋</t>
    </r>
    <r>
      <rPr>
        <sz val="8.5"/>
        <color rgb="FF000000"/>
        <rFont val="微軟正黑體"/>
        <family val="0"/>
        <charset val="1"/>
      </rPr>
      <t xml:space="preserve">0.35×</t>
    </r>
    <r>
      <rPr>
        <sz val="8.5"/>
        <color rgb="FF000000"/>
        <rFont val="Noto Sans CJK SC"/>
        <family val="2"/>
      </rPr>
      <t xml:space="preserve">準備＋</t>
    </r>
    <r>
      <rPr>
        <sz val="8.5"/>
        <color rgb="FF000000"/>
        <rFont val="微軟正黑體"/>
        <family val="0"/>
        <charset val="1"/>
      </rPr>
      <t xml:space="preserve">0.2×</t>
    </r>
    <r>
      <rPr>
        <sz val="8.5"/>
        <color rgb="FF000000"/>
        <rFont val="Noto Sans CJK SC"/>
        <family val="2"/>
      </rPr>
      <t xml:space="preserve">越南現況分－缺口扣分，白地商機不列入排序另走</t>
    </r>
    <r>
      <rPr>
        <sz val="8.5"/>
        <color rgb="FF000000"/>
        <rFont val="微軟正黑體"/>
        <family val="0"/>
        <charset val="1"/>
      </rPr>
      <t xml:space="preserve">13④</t>
    </r>
    <r>
      <rPr>
        <sz val="8.5"/>
        <color rgb="FF000000"/>
        <rFont val="Noto Sans CJK SC"/>
        <family val="2"/>
      </rPr>
      <t xml:space="preserve">），儀表板同步</t>
    </r>
    <r>
      <rPr>
        <sz val="8.5"/>
        <color rgb="FF000000"/>
        <rFont val="微軟正黑體"/>
        <family val="0"/>
        <charset val="1"/>
      </rPr>
      <t xml:space="preserve">Top 10</t>
    </r>
    <r>
      <rPr>
        <sz val="8.5"/>
        <color rgb="FF000000"/>
        <rFont val="Noto Sans CJK SC"/>
        <family val="2"/>
      </rPr>
      <t xml:space="preserve">表。②新增</t>
    </r>
    <r>
      <rPr>
        <sz val="8.5"/>
        <color rgb="FF000000"/>
        <rFont val="微軟正黑體"/>
        <family val="0"/>
        <charset val="1"/>
      </rPr>
      <t xml:space="preserve">17</t>
    </r>
    <r>
      <rPr>
        <sz val="8.5"/>
        <color rgb="FF000000"/>
        <rFont val="Noto Sans CJK SC"/>
        <family val="2"/>
      </rPr>
      <t xml:space="preserve">商機作戰卡分頁：選一個商機自動組出「需要哪些能力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誰在做誰還缺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對手是誰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憑什麼贏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卡哪些門檻」的作戰頁。③</t>
    </r>
    <r>
      <rPr>
        <sz val="8.5"/>
        <color rgb="FF000000"/>
        <rFont val="微軟正黑體"/>
        <family val="0"/>
        <charset val="1"/>
      </rPr>
      <t xml:space="preserve">11</t>
    </r>
    <r>
      <rPr>
        <sz val="8.5"/>
        <color rgb="FF000000"/>
        <rFont val="Noto Sans CJK SC"/>
        <family val="2"/>
      </rPr>
      <t xml:space="preserve">缺口招募新增「牽動商機數」欄（來源</t>
    </r>
    <r>
      <rPr>
        <sz val="8.5"/>
        <color rgb="FF000000"/>
        <rFont val="微軟正黑體"/>
        <family val="0"/>
        <charset val="1"/>
      </rPr>
      <t xml:space="preserve">16</t>
    </r>
    <r>
      <rPr>
        <sz val="8.5"/>
        <color rgb="FF000000"/>
        <rFont val="Noto Sans CJK SC"/>
        <family val="2"/>
      </rPr>
      <t xml:space="preserve">矩陣每列✓數），招募順序改依牽動生意多寡排定。④</t>
    </r>
    <r>
      <rPr>
        <sz val="8.5"/>
        <color rgb="FF000000"/>
        <rFont val="微軟正黑體"/>
        <family val="0"/>
        <charset val="1"/>
      </rPr>
      <t xml:space="preserve">16</t>
    </r>
    <r>
      <rPr>
        <sz val="8.5"/>
        <color rgb="FF000000"/>
        <rFont val="Noto Sans CJK SC"/>
        <family val="2"/>
      </rPr>
      <t xml:space="preserve">新增「群晶主導</t>
    </r>
    <r>
      <rPr>
        <sz val="8.5"/>
        <color rgb="FF000000"/>
        <rFont val="微軟正黑體"/>
        <family val="0"/>
        <charset val="1"/>
      </rPr>
      <t xml:space="preserve">CAP</t>
    </r>
    <r>
      <rPr>
        <sz val="8.5"/>
        <color rgb="FF000000"/>
        <rFont val="Noto Sans CJK SC"/>
        <family val="2"/>
      </rPr>
      <t xml:space="preserve">數」統計列與每列「牽動商機數」欄。⑤</t>
    </r>
    <r>
      <rPr>
        <sz val="8.5"/>
        <color rgb="FF000000"/>
        <rFont val="微軟正黑體"/>
        <family val="0"/>
        <charset val="1"/>
      </rPr>
      <t xml:space="preserve">99</t>
    </r>
    <r>
      <rPr>
        <sz val="8.5"/>
        <color rgb="FF000000"/>
        <rFont val="Noto Sans CJK SC"/>
        <family val="2"/>
      </rPr>
      <t xml:space="preserve">新增商機成熟階段進入條件表（防止管線灌水）。</t>
    </r>
  </si>
  <si>
    <t xml:space="preserve">D-015</t>
  </si>
  <si>
    <r>
      <rPr>
        <sz val="8.5"/>
        <color rgb="FF000000"/>
        <rFont val="Noto Sans CJK SC"/>
        <family val="2"/>
      </rPr>
      <t xml:space="preserve">風險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商業</t>
    </r>
    <r>
      <rPr>
        <sz val="8.5"/>
        <color rgb="FF000000"/>
        <rFont val="微軟正黑體"/>
        <family val="0"/>
        <charset val="1"/>
      </rPr>
      <t xml:space="preserve">KPI/</t>
    </r>
    <r>
      <rPr>
        <sz val="8.5"/>
        <color rgb="FF000000"/>
        <rFont val="Noto Sans CJK SC"/>
        <family val="2"/>
      </rPr>
      <t xml:space="preserve">證據壓力</t>
    </r>
    <r>
      <rPr>
        <sz val="8.5"/>
        <color rgb="FF000000"/>
        <rFont val="微軟正黑體"/>
        <family val="0"/>
        <charset val="1"/>
      </rPr>
      <t xml:space="preserve">(v1.1)</t>
    </r>
  </si>
  <si>
    <r>
      <rPr>
        <sz val="8.5"/>
        <color rgb="FF000000"/>
        <rFont val="微軟正黑體"/>
        <family val="0"/>
        <charset val="1"/>
      </rPr>
      <t xml:space="preserve">①08</t>
    </r>
    <r>
      <rPr>
        <sz val="8.5"/>
        <color rgb="FF000000"/>
        <rFont val="Noto Sans CJK SC"/>
        <family val="2"/>
      </rPr>
      <t xml:space="preserve">補</t>
    </r>
    <r>
      <rPr>
        <sz val="8.5"/>
        <color rgb="FF000000"/>
        <rFont val="微軟正黑體"/>
        <family val="0"/>
        <charset val="1"/>
      </rPr>
      <t xml:space="preserve">6</t>
    </r>
    <r>
      <rPr>
        <sz val="8.5"/>
        <color rgb="FF000000"/>
        <rFont val="Noto Sans CJK SC"/>
        <family val="2"/>
      </rPr>
      <t xml:space="preserve">條商機層風險</t>
    </r>
    <r>
      <rPr>
        <sz val="8.5"/>
        <color rgb="FF000000"/>
        <rFont val="微軟正黑體"/>
        <family val="0"/>
        <charset val="1"/>
      </rPr>
      <t xml:space="preserve">(R-016~021</t>
    </r>
    <r>
      <rPr>
        <sz val="8.5"/>
        <color rgb="FF000000"/>
        <rFont val="Noto Sans CJK SC"/>
        <family val="2"/>
      </rPr>
      <t xml:space="preserve">：匯率匯出</t>
    </r>
    <r>
      <rPr>
        <sz val="8.5"/>
        <color rgb="FF000000"/>
        <rFont val="微軟正黑體"/>
        <family val="0"/>
        <charset val="1"/>
      </rPr>
      <t xml:space="preserve">/VSS</t>
    </r>
    <r>
      <rPr>
        <sz val="8.5"/>
        <color rgb="FF000000"/>
        <rFont val="Noto Sans CJK SC"/>
        <family val="2"/>
      </rPr>
      <t xml:space="preserve">給付</t>
    </r>
    <r>
      <rPr>
        <sz val="8.5"/>
        <color rgb="FF000000"/>
        <rFont val="微軟正黑體"/>
        <family val="0"/>
        <charset val="1"/>
      </rPr>
      <t xml:space="preserve">/AI</t>
    </r>
    <r>
      <rPr>
        <sz val="8.5"/>
        <color rgb="FF000000"/>
        <rFont val="Noto Sans CJK SC"/>
        <family val="2"/>
      </rPr>
      <t xml:space="preserve">法時程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白地市場風險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關鍵夥伴談不成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在地國家隊卡位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。②</t>
    </r>
    <r>
      <rPr>
        <sz val="8.5"/>
        <color rgb="FF000000"/>
        <rFont val="微軟正黑體"/>
        <family val="0"/>
        <charset val="1"/>
      </rPr>
      <t xml:space="preserve">09</t>
    </r>
    <r>
      <rPr>
        <sz val="8.5"/>
        <color rgb="FF000000"/>
        <rFont val="Noto Sans CJK SC"/>
        <family val="2"/>
      </rPr>
      <t xml:space="preserve">新增聯盟商業</t>
    </r>
    <r>
      <rPr>
        <sz val="8.5"/>
        <color rgb="FF000000"/>
        <rFont val="微軟正黑體"/>
        <family val="0"/>
        <charset val="1"/>
      </rPr>
      <t xml:space="preserve">KPI</t>
    </r>
    <r>
      <rPr>
        <sz val="8.5"/>
        <color rgb="FF000000"/>
        <rFont val="Noto Sans CJK SC"/>
        <family val="2"/>
      </rPr>
      <t xml:space="preserve">六條</t>
    </r>
    <r>
      <rPr>
        <sz val="8.5"/>
        <color rgb="FF000000"/>
        <rFont val="微軟正黑體"/>
        <family val="0"/>
        <charset val="1"/>
      </rPr>
      <t xml:space="preserve">(</t>
    </r>
    <r>
      <rPr>
        <sz val="8.5"/>
        <color rgb="FF000000"/>
        <rFont val="Noto Sans CJK SC"/>
        <family val="2"/>
      </rPr>
      <t xml:space="preserve">管線數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後段占比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簽約數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缺口數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夥伴確認數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矩陣覆核數</t>
    </r>
    <r>
      <rPr>
        <sz val="8.5"/>
        <color rgb="FF000000"/>
        <rFont val="微軟正黑體"/>
        <family val="0"/>
        <charset val="1"/>
      </rPr>
      <t xml:space="preserve">)</t>
    </r>
    <r>
      <rPr>
        <sz val="8.5"/>
        <color rgb="FF000000"/>
        <rFont val="Noto Sans CJK SC"/>
        <family val="2"/>
      </rPr>
      <t xml:space="preserve">。③</t>
    </r>
    <r>
      <rPr>
        <sz val="8.5"/>
        <color rgb="FF000000"/>
        <rFont val="微軟正黑體"/>
        <family val="0"/>
        <charset val="1"/>
      </rPr>
      <t xml:space="preserve">03</t>
    </r>
    <r>
      <rPr>
        <sz val="8.5"/>
        <color rgb="FF000000"/>
        <rFont val="Noto Sans CJK SC"/>
        <family val="2"/>
      </rPr>
      <t xml:space="preserve">的</t>
    </r>
    <r>
      <rPr>
        <sz val="8.5"/>
        <color rgb="FF000000"/>
        <rFont val="微軟正黑體"/>
        <family val="0"/>
        <charset val="1"/>
      </rPr>
      <t xml:space="preserve">AE</t>
    </r>
    <r>
      <rPr>
        <sz val="8.5"/>
        <color rgb="FF000000"/>
        <rFont val="Noto Sans CJK SC"/>
        <family val="2"/>
      </rPr>
      <t xml:space="preserve">證據成熟度全欄預填「推測」誠實起點，判斷</t>
    </r>
    <r>
      <rPr>
        <sz val="8.5"/>
        <color rgb="FF000000"/>
        <rFont val="微軟正黑體"/>
        <family val="0"/>
        <charset val="1"/>
      </rPr>
      <t xml:space="preserve">=Go</t>
    </r>
    <r>
      <rPr>
        <sz val="8.5"/>
        <color rgb="FF000000"/>
        <rFont val="Noto Sans CJK SC"/>
        <family val="2"/>
      </rPr>
      <t xml:space="preserve">但證據仍為推測者紅底警示——</t>
    </r>
    <r>
      <rPr>
        <sz val="8.5"/>
        <color rgb="FF000000"/>
        <rFont val="微軟正黑體"/>
        <family val="0"/>
        <charset val="1"/>
      </rPr>
      <t xml:space="preserve">22</t>
    </r>
    <r>
      <rPr>
        <sz val="8.5"/>
        <color rgb="FF000000"/>
        <rFont val="Noto Sans CJK SC"/>
        <family val="2"/>
      </rPr>
      <t xml:space="preserve">個</t>
    </r>
    <r>
      <rPr>
        <sz val="8.5"/>
        <color rgb="FF000000"/>
        <rFont val="微軟正黑體"/>
        <family val="0"/>
        <charset val="1"/>
      </rPr>
      <t xml:space="preserve">Go</t>
    </r>
    <r>
      <rPr>
        <sz val="8.5"/>
        <color rgb="FF000000"/>
        <rFont val="Noto Sans CJK SC"/>
        <family val="2"/>
      </rPr>
      <t xml:space="preserve">須沿證據階梯上爬才可對外承諾。④</t>
    </r>
    <r>
      <rPr>
        <sz val="8.5"/>
        <color rgb="FF000000"/>
        <rFont val="微軟正黑體"/>
        <family val="0"/>
        <charset val="1"/>
      </rPr>
      <t xml:space="preserve">VMH-EcoMap-3</t>
    </r>
    <r>
      <rPr>
        <sz val="8.5"/>
        <color rgb="FF000000"/>
        <rFont val="Noto Sans CJK SC"/>
        <family val="2"/>
      </rPr>
      <t xml:space="preserve">新增商機對照頁；</t>
    </r>
    <r>
      <rPr>
        <sz val="8.5"/>
        <color rgb="FF000000"/>
        <rFont val="微軟正黑體"/>
        <family val="0"/>
        <charset val="1"/>
      </rPr>
      <t xml:space="preserve">VMH-EcoMap-5</t>
    </r>
    <r>
      <rPr>
        <sz val="8.5"/>
        <color rgb="FF000000"/>
        <rFont val="Noto Sans CJK SC"/>
        <family val="2"/>
      </rPr>
      <t xml:space="preserve">新增商機篇章。⑤</t>
    </r>
    <r>
      <rPr>
        <sz val="8.5"/>
        <color rgb="FF000000"/>
        <rFont val="微軟正黑體"/>
        <family val="0"/>
        <charset val="1"/>
      </rPr>
      <t xml:space="preserve">98</t>
    </r>
    <r>
      <rPr>
        <sz val="8.5"/>
        <color rgb="FF000000"/>
        <rFont val="Noto Sans CJK SC"/>
        <family val="2"/>
      </rPr>
      <t xml:space="preserve">候選名冊填入實名候選公司。⑥新增</t>
    </r>
    <r>
      <rPr>
        <sz val="8.5"/>
        <color rgb="FF000000"/>
        <rFont val="微軟正黑體"/>
        <family val="0"/>
        <charset val="1"/>
      </rPr>
      <t xml:space="preserve">VMH-EcoMap-6</t>
    </r>
    <r>
      <rPr>
        <sz val="8.5"/>
        <color rgb="FF000000"/>
        <rFont val="Noto Sans CJK SC"/>
        <family val="2"/>
      </rPr>
      <t xml:space="preserve">重建維護</t>
    </r>
    <r>
      <rPr>
        <sz val="8.5"/>
        <color rgb="FF000000"/>
        <rFont val="微軟正黑體"/>
        <family val="0"/>
        <charset val="1"/>
      </rPr>
      <t xml:space="preserve">SOP</t>
    </r>
    <r>
      <rPr>
        <sz val="8.5"/>
        <color rgb="FF000000"/>
        <rFont val="Noto Sans CJK SC"/>
        <family val="2"/>
      </rPr>
      <t xml:space="preserve">。</t>
    </r>
  </si>
  <si>
    <r>
      <rPr>
        <b val="true"/>
        <sz val="11"/>
        <color rgb="FF1F3864"/>
        <rFont val="微軟正黑體"/>
        <family val="0"/>
        <charset val="1"/>
      </rPr>
      <t xml:space="preserve">C. </t>
    </r>
    <r>
      <rPr>
        <b val="true"/>
        <sz val="11"/>
        <color rgb="FF1F3864"/>
        <rFont val="Noto Sans CJK SC"/>
        <family val="2"/>
      </rPr>
      <t xml:space="preserve">版本紀錄 </t>
    </r>
    <r>
      <rPr>
        <b val="true"/>
        <sz val="11"/>
        <color rgb="FF1F3864"/>
        <rFont val="微軟正黑體"/>
        <family val="0"/>
        <charset val="1"/>
      </rPr>
      <t xml:space="preserve">Versions</t>
    </r>
  </si>
  <si>
    <t xml:space="preserve">版本</t>
  </si>
  <si>
    <t xml:space="preserve">對象</t>
  </si>
  <si>
    <t xml:space="preserve">範圍</t>
  </si>
  <si>
    <t xml:space="preserve">0.1</t>
  </si>
  <si>
    <r>
      <rPr>
        <sz val="8.5"/>
        <color rgb="FF000000"/>
        <rFont val="Noto Sans CJK SC"/>
        <family val="2"/>
      </rPr>
      <t xml:space="preserve">顧問</t>
    </r>
    <r>
      <rPr>
        <sz val="8.5"/>
        <color rgb="FF000000"/>
        <rFont val="微軟正黑體"/>
        <family val="0"/>
        <charset val="1"/>
      </rPr>
      <t xml:space="preserve">/PI</t>
    </r>
    <r>
      <rPr>
        <sz val="8.5"/>
        <color rgb="FF000000"/>
        <rFont val="Noto Sans CJK SC"/>
        <family val="2"/>
      </rPr>
      <t xml:space="preserve">與聯盟夥伴</t>
    </r>
  </si>
  <si>
    <r>
      <rPr>
        <sz val="8.5"/>
        <color rgb="FF000000"/>
        <rFont val="微軟正黑體"/>
        <family val="0"/>
        <charset val="1"/>
      </rPr>
      <t xml:space="preserve">ChatGPT</t>
    </r>
    <r>
      <rPr>
        <sz val="8.5"/>
        <color rgb="FF000000"/>
        <rFont val="Noto Sans CJK SC"/>
        <family val="2"/>
      </rPr>
      <t xml:space="preserve">初版：</t>
    </r>
    <r>
      <rPr>
        <sz val="8.5"/>
        <color rgb="FF000000"/>
        <rFont val="微軟正黑體"/>
        <family val="0"/>
        <charset val="1"/>
      </rPr>
      <t xml:space="preserve">16</t>
    </r>
    <r>
      <rPr>
        <sz val="8.5"/>
        <color rgb="FF000000"/>
        <rFont val="Noto Sans CJK SC"/>
        <family val="2"/>
      </rPr>
      <t xml:space="preserve">分頁雙語顧問框架與種子資料</t>
    </r>
  </si>
  <si>
    <r>
      <rPr>
        <sz val="8.5"/>
        <color rgb="FF000000"/>
        <rFont val="Noto Sans CJK SC"/>
        <family val="2"/>
      </rPr>
      <t xml:space="preserve">非法律意見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投資報價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設施設計</t>
    </r>
  </si>
  <si>
    <t xml:space="preserve">0.2</t>
  </si>
  <si>
    <r>
      <rPr>
        <sz val="8.5"/>
        <color rgb="FF000000"/>
        <rFont val="Noto Sans CJK SC"/>
        <family val="2"/>
      </rPr>
      <t xml:space="preserve">重構為</t>
    </r>
    <r>
      <rPr>
        <sz val="8.5"/>
        <color rgb="FF000000"/>
        <rFont val="微軟正黑體"/>
        <family val="0"/>
        <charset val="1"/>
      </rPr>
      <t xml:space="preserve">12</t>
    </r>
    <r>
      <rPr>
        <sz val="8.5"/>
        <color rgb="FF000000"/>
        <rFont val="Noto Sans CJK SC"/>
        <family val="2"/>
      </rPr>
      <t xml:space="preserve">分頁三軸工具：新增</t>
    </r>
    <r>
      <rPr>
        <sz val="8.5"/>
        <color rgb="FF000000"/>
        <rFont val="微軟正黑體"/>
        <family val="0"/>
        <charset val="1"/>
      </rPr>
      <t xml:space="preserve">01</t>
    </r>
    <r>
      <rPr>
        <sz val="8.5"/>
        <color rgb="FF000000"/>
        <rFont val="Noto Sans CJK SC"/>
        <family val="2"/>
      </rPr>
      <t xml:space="preserve">總藍圖、</t>
    </r>
    <r>
      <rPr>
        <sz val="8.5"/>
        <color rgb="FF000000"/>
        <rFont val="微軟正黑體"/>
        <family val="0"/>
        <charset val="1"/>
      </rPr>
      <t xml:space="preserve">00</t>
    </r>
    <r>
      <rPr>
        <sz val="8.5"/>
        <color rgb="FF000000"/>
        <rFont val="Noto Sans CJK SC"/>
        <family val="2"/>
      </rPr>
      <t xml:space="preserve">關聯圖、</t>
    </r>
    <r>
      <rPr>
        <sz val="8.5"/>
        <color rgb="FF000000"/>
        <rFont val="微軟正黑體"/>
        <family val="0"/>
        <charset val="1"/>
      </rPr>
      <t xml:space="preserve">04</t>
    </r>
    <r>
      <rPr>
        <sz val="8.5"/>
        <color rgb="FF000000"/>
        <rFont val="Noto Sans CJK SC"/>
        <family val="2"/>
      </rPr>
      <t xml:space="preserve">夥伴覆蓋矩陣；合併基線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路線圖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稽核分頁；評分簡化為</t>
    </r>
    <r>
      <rPr>
        <sz val="8.5"/>
        <color rgb="FF000000"/>
        <rFont val="微軟正黑體"/>
        <family val="0"/>
        <charset val="1"/>
      </rPr>
      <t xml:space="preserve">3+3</t>
    </r>
    <r>
      <rPr>
        <sz val="8.5"/>
        <color rgb="FF000000"/>
        <rFont val="Noto Sans CJK SC"/>
        <family val="2"/>
      </rPr>
      <t xml:space="preserve">構面</t>
    </r>
  </si>
  <si>
    <r>
      <rPr>
        <sz val="8.5"/>
        <color rgb="FF000000"/>
        <rFont val="Noto Sans CJK SC"/>
        <family val="2"/>
      </rPr>
      <t xml:space="preserve">由</t>
    </r>
    <r>
      <rPr>
        <sz val="8.5"/>
        <color rgb="FF000000"/>
        <rFont val="微軟正黑體"/>
        <family val="0"/>
        <charset val="1"/>
      </rPr>
      <t xml:space="preserve">Claude</t>
    </r>
    <r>
      <rPr>
        <sz val="8.5"/>
        <color rgb="FF000000"/>
        <rFont val="Noto Sans CJK SC"/>
        <family val="2"/>
      </rPr>
      <t xml:space="preserve">重構；種子時程與評分仍為示意，須以證據更新</t>
    </r>
  </si>
  <si>
    <t xml:space="preserve">0.3</t>
  </si>
  <si>
    <r>
      <rPr>
        <sz val="8.5"/>
        <color rgb="FF000000"/>
        <rFont val="Noto Sans CJK SC"/>
        <family val="2"/>
      </rPr>
      <t xml:space="preserve">全面連動化：</t>
    </r>
    <r>
      <rPr>
        <sz val="8.5"/>
        <color rgb="FF000000"/>
        <rFont val="微軟正黑體"/>
        <family val="0"/>
        <charset val="1"/>
      </rPr>
      <t xml:space="preserve">01</t>
    </r>
    <r>
      <rPr>
        <sz val="8.5"/>
        <color rgb="FF000000"/>
        <rFont val="Noto Sans CJK SC"/>
        <family val="2"/>
      </rPr>
      <t xml:space="preserve">總藍圖矩陣改為公式即時彙整（隱藏</t>
    </r>
    <r>
      <rPr>
        <sz val="8.5"/>
        <color rgb="FF000000"/>
        <rFont val="微軟正黑體"/>
        <family val="0"/>
        <charset val="1"/>
      </rPr>
      <t xml:space="preserve">_</t>
    </r>
    <r>
      <rPr>
        <sz val="8.5"/>
        <color rgb="FF000000"/>
        <rFont val="Noto Sans CJK SC"/>
        <family val="2"/>
      </rPr>
      <t xml:space="preserve">計算</t>
    </r>
    <r>
      <rPr>
        <sz val="8.5"/>
        <color rgb="FF000000"/>
        <rFont val="微軟正黑體"/>
        <family val="0"/>
        <charset val="1"/>
      </rPr>
      <t xml:space="preserve">_Calc</t>
    </r>
    <r>
      <rPr>
        <sz val="8.5"/>
        <color rgb="FF000000"/>
        <rFont val="Noto Sans CJK SC"/>
        <family val="2"/>
      </rPr>
      <t xml:space="preserve">頁）；各分頁預留含公式之空白輸入列（能力</t>
    </r>
    <r>
      <rPr>
        <sz val="8.5"/>
        <color rgb="FF000000"/>
        <rFont val="微軟正黑體"/>
        <family val="0"/>
        <charset val="1"/>
      </rPr>
      <t xml:space="preserve">90</t>
    </r>
    <r>
      <rPr>
        <sz val="8.5"/>
        <color rgb="FF000000"/>
        <rFont val="Noto Sans CJK SC"/>
        <family val="2"/>
      </rPr>
      <t xml:space="preserve">列、夥伴</t>
    </r>
    <r>
      <rPr>
        <sz val="8.5"/>
        <color rgb="FF000000"/>
        <rFont val="微軟正黑體"/>
        <family val="0"/>
        <charset val="1"/>
      </rPr>
      <t xml:space="preserve">10</t>
    </r>
    <r>
      <rPr>
        <sz val="8.5"/>
        <color rgb="FF000000"/>
        <rFont val="Noto Sans CJK SC"/>
        <family val="2"/>
      </rPr>
      <t xml:space="preserve">列、法規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工作包</t>
    </r>
    <r>
      <rPr>
        <sz val="8.5"/>
        <color rgb="FF000000"/>
        <rFont val="微軟正黑體"/>
        <family val="0"/>
        <charset val="1"/>
      </rPr>
      <t xml:space="preserve">/</t>
    </r>
    <r>
      <rPr>
        <sz val="8.5"/>
        <color rgb="FF000000"/>
        <rFont val="Noto Sans CJK SC"/>
        <family val="2"/>
      </rPr>
      <t xml:space="preserve">風險</t>
    </r>
    <r>
      <rPr>
        <sz val="8.5"/>
        <color rgb="FF000000"/>
        <rFont val="微軟正黑體"/>
        <family val="0"/>
        <charset val="1"/>
      </rPr>
      <t xml:space="preserve">/KPI</t>
    </r>
    <r>
      <rPr>
        <sz val="8.5"/>
        <color rgb="FF000000"/>
        <rFont val="Noto Sans CJK SC"/>
        <family val="2"/>
      </rPr>
      <t xml:space="preserve">各</t>
    </r>
    <r>
      <rPr>
        <sz val="8.5"/>
        <color rgb="FF000000"/>
        <rFont val="微軟正黑體"/>
        <family val="0"/>
        <charset val="1"/>
      </rPr>
      <t xml:space="preserve">8-10</t>
    </r>
    <r>
      <rPr>
        <sz val="8.5"/>
        <color rgb="FF000000"/>
        <rFont val="Noto Sans CJK SC"/>
        <family val="2"/>
      </rPr>
      <t xml:space="preserve">列）；</t>
    </r>
    <r>
      <rPr>
        <sz val="8.5"/>
        <color rgb="FF000000"/>
        <rFont val="微軟正黑體"/>
        <family val="0"/>
        <charset val="1"/>
      </rPr>
      <t xml:space="preserve">00</t>
    </r>
    <r>
      <rPr>
        <sz val="8.5"/>
        <color rgb="FF000000"/>
        <rFont val="Noto Sans CJK SC"/>
        <family val="2"/>
      </rPr>
      <t xml:space="preserve">使用說明新增「如何更新資料」</t>
    </r>
  </si>
  <si>
    <r>
      <rPr>
        <sz val="8.5"/>
        <color rgb="FF000000"/>
        <rFont val="Noto Sans CJK SC"/>
        <family val="2"/>
      </rPr>
      <t xml:space="preserve">新增或修改</t>
    </r>
    <r>
      <rPr>
        <sz val="8.5"/>
        <color rgb="FF000000"/>
        <rFont val="微軟正黑體"/>
        <family val="0"/>
        <charset val="1"/>
      </rPr>
      <t xml:space="preserve">03</t>
    </r>
    <r>
      <rPr>
        <sz val="8.5"/>
        <color rgb="FF000000"/>
        <rFont val="Noto Sans CJK SC"/>
        <family val="2"/>
      </rPr>
      <t xml:space="preserve">能力總表後，全工具自動更新，不需重新產版</t>
    </r>
  </si>
  <si>
    <t xml:space="preserve">1.0</t>
  </si>
  <si>
    <r>
      <rPr>
        <sz val="8.5"/>
        <color rgb="FF000000"/>
        <rFont val="Noto Sans CJK SC"/>
        <family val="2"/>
      </rPr>
      <t xml:space="preserve">下拉選單集中到 </t>
    </r>
    <r>
      <rPr>
        <sz val="8.5"/>
        <color rgb="FF000000"/>
        <rFont val="微軟正黑體"/>
        <family val="0"/>
        <charset val="1"/>
      </rPr>
      <t xml:space="preserve">98_</t>
    </r>
    <r>
      <rPr>
        <sz val="8.5"/>
        <color rgb="FF000000"/>
        <rFont val="Noto Sans CJK SC"/>
        <family val="2"/>
      </rPr>
      <t xml:space="preserve">選單維護（具名範圍驅動，全欄位防誤輸入）；</t>
    </r>
    <r>
      <rPr>
        <sz val="8.5"/>
        <color rgb="FF000000"/>
        <rFont val="微軟正黑體"/>
        <family val="0"/>
        <charset val="1"/>
      </rPr>
      <t xml:space="preserve">04 </t>
    </r>
    <r>
      <rPr>
        <sz val="8.5"/>
        <color rgb="FF000000"/>
        <rFont val="Noto Sans CJK SC"/>
        <family val="2"/>
      </rPr>
      <t xml:space="preserve">夥伴名冊擴充至 </t>
    </r>
    <r>
      <rPr>
        <sz val="8.5"/>
        <color rgb="FF000000"/>
        <rFont val="微軟正黑體"/>
        <family val="0"/>
        <charset val="1"/>
      </rPr>
      <t xml:space="preserve">29 </t>
    </r>
    <r>
      <rPr>
        <sz val="8.5"/>
        <color rgb="FF000000"/>
        <rFont val="Noto Sans CJK SC"/>
        <family val="2"/>
      </rPr>
      <t xml:space="preserve">個角色（含 </t>
    </r>
    <r>
      <rPr>
        <sz val="8.5"/>
        <color rgb="FF000000"/>
        <rFont val="微軟正黑體"/>
        <family val="0"/>
        <charset val="1"/>
      </rPr>
      <t xml:space="preserve">9 </t>
    </r>
    <r>
      <rPr>
        <sz val="8.5"/>
        <color rgb="FF000000"/>
        <rFont val="Noto Sans CJK SC"/>
        <family val="2"/>
      </rPr>
      <t xml:space="preserve">個缺口角色）；</t>
    </r>
    <r>
      <rPr>
        <sz val="8.5"/>
        <color rgb="FF000000"/>
        <rFont val="微軟正黑體"/>
        <family val="0"/>
        <charset val="1"/>
      </rPr>
      <t xml:space="preserve">03 </t>
    </r>
    <r>
      <rPr>
        <sz val="8.5"/>
        <color rgb="FF000000"/>
        <rFont val="Noto Sans CJK SC"/>
        <family val="2"/>
      </rPr>
      <t xml:space="preserve">候選夥伴改為下拉並與 </t>
    </r>
    <r>
      <rPr>
        <sz val="8.5"/>
        <color rgb="FF000000"/>
        <rFont val="微軟正黑體"/>
        <family val="0"/>
        <charset val="1"/>
      </rPr>
      <t xml:space="preserve">04 </t>
    </r>
    <r>
      <rPr>
        <sz val="8.5"/>
        <color rgb="FF000000"/>
        <rFont val="Noto Sans CJK SC"/>
        <family val="2"/>
      </rPr>
      <t xml:space="preserve">一致；</t>
    </r>
    <r>
      <rPr>
        <sz val="8.5"/>
        <color rgb="FF000000"/>
        <rFont val="微軟正黑體"/>
        <family val="0"/>
        <charset val="1"/>
      </rPr>
      <t xml:space="preserve">09 KPI </t>
    </r>
    <r>
      <rPr>
        <sz val="8.5"/>
        <color rgb="FF000000"/>
        <rFont val="Noto Sans CJK SC"/>
        <family val="2"/>
      </rPr>
      <t xml:space="preserve">新增計算公式與規劃假設基線；</t>
    </r>
    <r>
      <rPr>
        <sz val="8.5"/>
        <color rgb="FF000000"/>
        <rFont val="微軟正黑體"/>
        <family val="0"/>
        <charset val="1"/>
      </rPr>
      <t xml:space="preserve">07 </t>
    </r>
    <r>
      <rPr>
        <sz val="8.5"/>
        <color rgb="FF000000"/>
        <rFont val="Noto Sans CJK SC"/>
        <family val="2"/>
      </rPr>
      <t xml:space="preserve">改為整案量級並將專案商模移到獨立檔；新增 </t>
    </r>
    <r>
      <rPr>
        <sz val="8.5"/>
        <color rgb="FF000000"/>
        <rFont val="微軟正黑體"/>
        <family val="0"/>
        <charset val="1"/>
      </rPr>
      <t xml:space="preserve">11 </t>
    </r>
    <r>
      <rPr>
        <sz val="8.5"/>
        <color rgb="FF000000"/>
        <rFont val="Noto Sans CJK SC"/>
        <family val="2"/>
      </rPr>
      <t xml:space="preserve">缺口招募、</t>
    </r>
    <r>
      <rPr>
        <sz val="8.5"/>
        <color rgb="FF000000"/>
        <rFont val="微軟正黑體"/>
        <family val="0"/>
        <charset val="1"/>
      </rPr>
      <t xml:space="preserve">12 </t>
    </r>
    <r>
      <rPr>
        <sz val="8.5"/>
        <color rgb="FF000000"/>
        <rFont val="Noto Sans CJK SC"/>
        <family val="2"/>
      </rPr>
      <t xml:space="preserve">夥伴視角、</t>
    </r>
    <r>
      <rPr>
        <sz val="8.5"/>
        <color rgb="FF000000"/>
        <rFont val="微軟正黑體"/>
        <family val="0"/>
        <charset val="1"/>
      </rPr>
      <t xml:space="preserve">13 </t>
    </r>
    <r>
      <rPr>
        <sz val="8.5"/>
        <color rgb="FF000000"/>
        <rFont val="Noto Sans CJK SC"/>
        <family val="2"/>
      </rPr>
      <t xml:space="preserve">待辦看板</t>
    </r>
  </si>
  <si>
    <r>
      <rPr>
        <sz val="8.5"/>
        <color rgb="FF000000"/>
        <rFont val="Noto Sans CJK SC"/>
        <family val="2"/>
      </rPr>
      <t xml:space="preserve">正式版。同套交付五份，版本號統一為 </t>
    </r>
    <r>
      <rPr>
        <sz val="8.5"/>
        <color rgb="FF000000"/>
        <rFont val="微軟正黑體"/>
        <family val="0"/>
        <charset val="1"/>
      </rPr>
      <t xml:space="preserve">v1.0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軟正黑體"/>
        <family val="0"/>
        <charset val="1"/>
      </rPr>
      <t xml:space="preserve">VMH-EcoMap-1 </t>
    </r>
    <r>
      <rPr>
        <sz val="8.5"/>
        <color rgb="FF000000"/>
        <rFont val="Noto Sans CJK SC"/>
        <family val="2"/>
      </rPr>
      <t xml:space="preserve">主工具、</t>
    </r>
    <r>
      <rPr>
        <sz val="8.5"/>
        <color rgb="FF000000"/>
        <rFont val="微軟正黑體"/>
        <family val="0"/>
        <charset val="1"/>
      </rPr>
      <t xml:space="preserve">-2 </t>
    </r>
    <r>
      <rPr>
        <sz val="8.5"/>
        <color rgb="FF000000"/>
        <rFont val="Noto Sans CJK SC"/>
        <family val="2"/>
      </rPr>
      <t xml:space="preserve">專案商模試算器、</t>
    </r>
    <r>
      <rPr>
        <sz val="8.5"/>
        <color rgb="FF000000"/>
        <rFont val="微軟正黑體"/>
        <family val="0"/>
        <charset val="1"/>
      </rPr>
      <t xml:space="preserve">-3 </t>
    </r>
    <r>
      <rPr>
        <sz val="8.5"/>
        <color rgb="FF000000"/>
        <rFont val="Noto Sans CJK SC"/>
        <family val="2"/>
      </rPr>
      <t xml:space="preserve">夥伴提案回覆表、</t>
    </r>
    <r>
      <rPr>
        <sz val="8.5"/>
        <color rgb="FF000000"/>
        <rFont val="微軟正黑體"/>
        <family val="0"/>
        <charset val="1"/>
      </rPr>
      <t xml:space="preserve">-4 </t>
    </r>
    <r>
      <rPr>
        <sz val="8.5"/>
        <color rgb="FF000000"/>
        <rFont val="Noto Sans CJK SC"/>
        <family val="2"/>
      </rPr>
      <t xml:space="preserve">使用手冊、</t>
    </r>
    <r>
      <rPr>
        <sz val="8.5"/>
        <color rgb="FF000000"/>
        <rFont val="微軟正黑體"/>
        <family val="0"/>
        <charset val="1"/>
      </rPr>
      <t xml:space="preserve">-5 </t>
    </r>
    <r>
      <rPr>
        <sz val="8.5"/>
        <color rgb="FF000000"/>
        <rFont val="Noto Sans CJK SC"/>
        <family val="2"/>
      </rPr>
      <t xml:space="preserve">聯盟夥伴說明會；</t>
    </r>
    <r>
      <rPr>
        <sz val="8.5"/>
        <color rgb="FF000000"/>
        <rFont val="微軟正黑體"/>
        <family val="0"/>
        <charset val="1"/>
      </rPr>
      <t xml:space="preserve">03 </t>
    </r>
    <r>
      <rPr>
        <sz val="8.5"/>
        <color rgb="FF000000"/>
        <rFont val="Noto Sans CJK SC"/>
        <family val="2"/>
      </rPr>
      <t xml:space="preserve">能力總表輸入列擴充到</t>
    </r>
    <r>
      <rPr>
        <sz val="8.5"/>
        <color rgb="FF000000"/>
        <rFont val="微軟正黑體"/>
        <family val="0"/>
        <charset val="1"/>
      </rPr>
      <t xml:space="preserve">154</t>
    </r>
    <r>
      <rPr>
        <sz val="8.5"/>
        <color rgb="FF000000"/>
        <rFont val="Noto Sans CJK SC"/>
        <family val="2"/>
      </rPr>
      <t xml:space="preserve">列並新增</t>
    </r>
    <r>
      <rPr>
        <sz val="8.5"/>
        <color rgb="FF000000"/>
        <rFont val="微軟正黑體"/>
        <family val="0"/>
        <charset val="1"/>
      </rPr>
      <t xml:space="preserve">AB-AF</t>
    </r>
    <r>
      <rPr>
        <sz val="8.5"/>
        <color rgb="FF000000"/>
        <rFont val="Noto Sans CJK SC"/>
        <family val="2"/>
      </rPr>
      <t xml:space="preserve">五個擴充追蹤欄位；新增 </t>
    </r>
    <r>
      <rPr>
        <sz val="8.5"/>
        <color rgb="FF000000"/>
        <rFont val="微軟正黑體"/>
        <family val="0"/>
        <charset val="1"/>
      </rPr>
      <t xml:space="preserve">14 </t>
    </r>
    <r>
      <rPr>
        <sz val="8.5"/>
        <color rgb="FF000000"/>
        <rFont val="Noto Sans CJK SC"/>
        <family val="2"/>
      </rPr>
      <t xml:space="preserve">商機清單（業主視角商機管線）、</t>
    </r>
    <r>
      <rPr>
        <sz val="8.5"/>
        <color rgb="FF000000"/>
        <rFont val="微軟正黑體"/>
        <family val="0"/>
        <charset val="1"/>
      </rPr>
      <t xml:space="preserve">15 </t>
    </r>
    <r>
      <rPr>
        <sz val="8.5"/>
        <color rgb="FF000000"/>
        <rFont val="Noto Sans CJK SC"/>
        <family val="2"/>
      </rPr>
      <t xml:space="preserve">商機字典（</t>
    </r>
    <r>
      <rPr>
        <sz val="8.5"/>
        <color rgb="FF000000"/>
        <rFont val="微軟正黑體"/>
        <family val="0"/>
        <charset val="1"/>
      </rPr>
      <t xml:space="preserve">85</t>
    </r>
    <r>
      <rPr>
        <sz val="8.5"/>
        <color rgb="FF000000"/>
        <rFont val="Noto Sans CJK SC"/>
        <family val="2"/>
      </rPr>
      <t xml:space="preserve">種越南醫院商機，分</t>
    </r>
    <r>
      <rPr>
        <sz val="8.5"/>
        <color rgb="FF000000"/>
        <rFont val="微軟正黑體"/>
        <family val="0"/>
        <charset val="1"/>
      </rPr>
      <t xml:space="preserve">A~J</t>
    </r>
    <r>
      <rPr>
        <sz val="8.5"/>
        <color rgb="FF000000"/>
        <rFont val="Noto Sans CJK SC"/>
        <family val="2"/>
      </rPr>
      <t xml:space="preserve">十族群、含</t>
    </r>
    <r>
      <rPr>
        <sz val="8.5"/>
        <color rgb="FF000000"/>
        <rFont val="微軟正黑體"/>
        <family val="0"/>
        <charset val="1"/>
      </rPr>
      <t xml:space="preserve">17</t>
    </r>
    <r>
      <rPr>
        <sz val="8.5"/>
        <color rgb="FF000000"/>
        <rFont val="Noto Sans CJK SC"/>
        <family val="2"/>
      </rPr>
      <t xml:space="preserve">種</t>
    </r>
    <r>
      <rPr>
        <sz val="8.5"/>
        <color rgb="FF000000"/>
        <rFont val="微軟正黑體"/>
        <family val="0"/>
        <charset val="1"/>
      </rPr>
      <t xml:space="preserve">AI</t>
    </r>
    <r>
      <rPr>
        <sz val="8.5"/>
        <color rgb="FF000000"/>
        <rFont val="Noto Sans CJK SC"/>
        <family val="2"/>
      </rPr>
      <t xml:space="preserve">商機、標註越南現況與★白地商機）、</t>
    </r>
    <r>
      <rPr>
        <sz val="8.5"/>
        <color rgb="FF000000"/>
        <rFont val="微軟正黑體"/>
        <family val="0"/>
        <charset val="1"/>
      </rPr>
      <t xml:space="preserve">16 </t>
    </r>
    <r>
      <rPr>
        <sz val="8.5"/>
        <color rgb="FF000000"/>
        <rFont val="Noto Sans CJK SC"/>
        <family val="2"/>
      </rPr>
      <t xml:space="preserve">能力商機矩陣（</t>
    </r>
    <r>
      <rPr>
        <sz val="8.5"/>
        <color rgb="FF000000"/>
        <rFont val="微軟正黑體"/>
        <family val="0"/>
        <charset val="1"/>
      </rPr>
      <t xml:space="preserve">60</t>
    </r>
    <r>
      <rPr>
        <sz val="8.5"/>
        <color rgb="FF000000"/>
        <rFont val="Noto Sans CJK SC"/>
        <family val="2"/>
      </rPr>
      <t xml:space="preserve">能力</t>
    </r>
    <r>
      <rPr>
        <sz val="8.5"/>
        <color rgb="FF000000"/>
        <rFont val="微軟正黑體"/>
        <family val="0"/>
        <charset val="1"/>
      </rPr>
      <t xml:space="preserve">×85</t>
    </r>
    <r>
      <rPr>
        <sz val="8.5"/>
        <color rgb="FF000000"/>
        <rFont val="Noto Sans CJK SC"/>
        <family val="2"/>
      </rPr>
      <t xml:space="preserve">商機多對多勾選）三個分頁，</t>
    </r>
    <r>
      <rPr>
        <sz val="8.5"/>
        <color rgb="FF000000"/>
        <rFont val="微軟正黑體"/>
        <family val="0"/>
        <charset val="1"/>
      </rPr>
      <t xml:space="preserve">03</t>
    </r>
    <r>
      <rPr>
        <sz val="8.5"/>
        <color rgb="FF000000"/>
        <rFont val="Noto Sans CJK SC"/>
        <family val="2"/>
      </rPr>
      <t xml:space="preserve">的</t>
    </r>
    <r>
      <rPr>
        <sz val="8.5"/>
        <color rgb="FF000000"/>
        <rFont val="微軟正黑體"/>
        <family val="0"/>
        <charset val="1"/>
      </rPr>
      <t xml:space="preserve">AF</t>
    </r>
    <r>
      <rPr>
        <sz val="8.5"/>
        <color rgb="FF000000"/>
        <rFont val="Noto Sans CJK SC"/>
        <family val="2"/>
      </rPr>
      <t xml:space="preserve">「所屬商機」改為自動帶入；</t>
    </r>
    <r>
      <rPr>
        <sz val="8.5"/>
        <color rgb="FF000000"/>
        <rFont val="微軟正黑體"/>
        <family val="0"/>
        <charset val="1"/>
      </rPr>
      <t xml:space="preserve">04</t>
    </r>
    <r>
      <rPr>
        <sz val="8.5"/>
        <color rgb="FF000000"/>
        <rFont val="Noto Sans CJK SC"/>
        <family val="2"/>
      </rPr>
      <t xml:space="preserve">新增</t>
    </r>
    <r>
      <rPr>
        <sz val="8.5"/>
        <color rgb="FF000000"/>
        <rFont val="微軟正黑體"/>
        <family val="0"/>
        <charset val="1"/>
      </rPr>
      <t xml:space="preserve">T</t>
    </r>
    <r>
      <rPr>
        <sz val="8.5"/>
        <color rgb="FF000000"/>
        <rFont val="Noto Sans CJK SC"/>
        <family val="2"/>
      </rPr>
      <t xml:space="preserve">欄使候選夥伴下拉顯示代號＋名稱，</t>
    </r>
    <r>
      <rPr>
        <sz val="8.5"/>
        <color rgb="FF000000"/>
        <rFont val="微軟正黑體"/>
        <family val="0"/>
        <charset val="1"/>
      </rPr>
      <t xml:space="preserve">12</t>
    </r>
    <r>
      <rPr>
        <sz val="8.5"/>
        <color rgb="FF000000"/>
        <rFont val="Noto Sans CJK SC"/>
        <family val="2"/>
      </rPr>
      <t xml:space="preserve">夥伴視角預設值同步修正並加「所屬商機」欄</t>
    </r>
  </si>
  <si>
    <r>
      <rPr>
        <b val="true"/>
        <sz val="15"/>
        <color rgb="FFFFFFFF"/>
        <rFont val="微軟正黑體"/>
        <family val="0"/>
        <charset val="1"/>
      </rPr>
      <t xml:space="preserve">13 </t>
    </r>
    <r>
      <rPr>
        <b val="true"/>
        <sz val="15"/>
        <color rgb="FFFFFFFF"/>
        <rFont val="Noto Sans CJK SC"/>
        <family val="2"/>
      </rPr>
      <t xml:space="preserve">待辦看板｜</t>
    </r>
    <r>
      <rPr>
        <b val="true"/>
        <sz val="15"/>
        <color rgb="FFFFFFFF"/>
        <rFont val="微軟正黑體"/>
        <family val="0"/>
        <charset val="1"/>
      </rPr>
      <t xml:space="preserve">Action Board</t>
    </r>
    <r>
      <rPr>
        <b val="true"/>
        <sz val="15"/>
        <color rgb="FFFFFFFF"/>
        <rFont val="Noto Sans CJK SC"/>
        <family val="2"/>
      </rPr>
      <t xml:space="preserve">（週會直接照這一頁跑）</t>
    </r>
  </si>
  <si>
    <t xml:space="preserve">❓ 這頁在回答：這週要解的事有哪些？（週會照這頁跑）　　▸ 全部為公式，自動彙整三個必須處理的清單：未確認的強制法規、高與極高風險、尚無夥伴的缺口。</t>
  </si>
  <si>
    <t xml:space="preserve">未確認強制法規</t>
  </si>
  <si>
    <t xml:space="preserve">極高＋高風險</t>
  </si>
  <si>
    <r>
      <rPr>
        <b val="true"/>
        <sz val="10"/>
        <color rgb="FF1F3864"/>
        <rFont val="Noto Sans CJK SC"/>
        <family val="2"/>
      </rPr>
      <t xml:space="preserve">缺口</t>
    </r>
    <r>
      <rPr>
        <b val="true"/>
        <sz val="10"/>
        <color rgb="FF1F3864"/>
        <rFont val="微軟正黑體"/>
        <family val="0"/>
        <charset val="1"/>
      </rPr>
      <t xml:space="preserve">-</t>
    </r>
    <r>
      <rPr>
        <b val="true"/>
        <sz val="10"/>
        <color rgb="FF1F3864"/>
        <rFont val="Noto Sans CJK SC"/>
        <family val="2"/>
      </rPr>
      <t xml:space="preserve">待尋找</t>
    </r>
  </si>
  <si>
    <r>
      <rPr>
        <b val="true"/>
        <sz val="10"/>
        <color rgb="FF808080"/>
        <rFont val="Noto Sans CJK SC"/>
        <family val="2"/>
      </rPr>
      <t xml:space="preserve">先補條件 </t>
    </r>
    <r>
      <rPr>
        <b val="true"/>
        <sz val="10"/>
        <color rgb="FF808080"/>
        <rFont val="微軟正黑體"/>
        <family val="0"/>
        <charset val="1"/>
      </rPr>
      <t xml:space="preserve">Prepare</t>
    </r>
  </si>
  <si>
    <t xml:space="preserve">① 未確認的強制法規（沒過就不能過關）</t>
  </si>
  <si>
    <t xml:space="preserve">要求／標準</t>
  </si>
  <si>
    <t xml:space="preserve">② 極高與高風險（須有負責人與期限）</t>
  </si>
  <si>
    <r>
      <rPr>
        <b val="true"/>
        <sz val="10"/>
        <color rgb="FFFFFFFF"/>
        <rFont val="Noto Sans CJK SC"/>
        <family val="2"/>
      </rPr>
      <t xml:space="preserve">風險</t>
    </r>
    <r>
      <rPr>
        <b val="true"/>
        <sz val="10"/>
        <color rgb="FFFFFFFF"/>
        <rFont val="微軟正黑體"/>
        <family val="0"/>
        <charset val="1"/>
      </rPr>
      <t xml:space="preserve">ID</t>
    </r>
  </si>
  <si>
    <t xml:space="preserve">風險敘述</t>
  </si>
  <si>
    <t xml:space="preserve">因應作為</t>
  </si>
  <si>
    <t xml:space="preserve">③ 尚無夥伴的缺口（招募重點）</t>
  </si>
  <si>
    <t xml:space="preserve">判斷</t>
  </si>
  <si>
    <r>
      <rPr>
        <b val="true"/>
        <sz val="12"/>
        <color rgb="FF7030A0"/>
        <rFont val="Noto Sans CJK SC"/>
        <family val="2"/>
      </rPr>
      <t xml:space="preserve">④ 商機行動（</t>
    </r>
    <r>
      <rPr>
        <b val="true"/>
        <sz val="12"/>
        <color rgb="FF7030A0"/>
        <rFont val="微軟正黑體"/>
        <family val="0"/>
        <charset val="1"/>
      </rPr>
      <t xml:space="preserve">14</t>
    </r>
    <r>
      <rPr>
        <b val="true"/>
        <sz val="12"/>
        <color rgb="FF7030A0"/>
        <rFont val="Noto Sans CJK SC"/>
        <family val="2"/>
      </rPr>
      <t xml:space="preserve">管線中缺口</t>
    </r>
    <r>
      <rPr>
        <b val="true"/>
        <sz val="12"/>
        <color rgb="FF7030A0"/>
        <rFont val="微軟正黑體"/>
        <family val="0"/>
        <charset val="1"/>
      </rPr>
      <t xml:space="preserve">&gt;0</t>
    </r>
    <r>
      <rPr>
        <b val="true"/>
        <sz val="12"/>
        <color rgb="FF7030A0"/>
        <rFont val="Noto Sans CJK SC"/>
        <family val="2"/>
      </rPr>
      <t xml:space="preserve">或白地＝要去補能力</t>
    </r>
    <r>
      <rPr>
        <b val="true"/>
        <sz val="12"/>
        <color rgb="FF7030A0"/>
        <rFont val="微軟正黑體"/>
        <family val="0"/>
        <charset val="1"/>
      </rPr>
      <t xml:space="preserve">/</t>
    </r>
    <r>
      <rPr>
        <b val="true"/>
        <sz val="12"/>
        <color rgb="FF7030A0"/>
        <rFont val="Noto Sans CJK SC"/>
        <family val="2"/>
      </rPr>
      <t xml:space="preserve">找夥伴的生意）</t>
    </r>
  </si>
  <si>
    <r>
      <rPr>
        <b val="true"/>
        <sz val="10"/>
        <color rgb="FFFFFFFF"/>
        <rFont val="Noto Sans CJK SC"/>
        <family val="2"/>
      </rPr>
      <t xml:space="preserve">商機（來自</t>
    </r>
    <r>
      <rPr>
        <b val="true"/>
        <sz val="10"/>
        <color rgb="FFFFFFFF"/>
        <rFont val="微軟正黑體"/>
        <family val="0"/>
        <charset val="1"/>
      </rPr>
      <t xml:space="preserve">14</t>
    </r>
    <r>
      <rPr>
        <b val="true"/>
        <sz val="10"/>
        <color rgb="FFFFFFFF"/>
        <rFont val="Noto Sans CJK SC"/>
        <family val="2"/>
      </rPr>
      <t xml:space="preserve">管線）</t>
    </r>
  </si>
  <si>
    <r>
      <rPr>
        <b val="true"/>
        <sz val="10"/>
        <color rgb="FFFFFFFF"/>
        <rFont val="微軟正黑體"/>
        <family val="0"/>
        <charset val="1"/>
      </rPr>
      <t xml:space="preserve">CAP</t>
    </r>
    <r>
      <rPr>
        <b val="true"/>
        <sz val="10"/>
        <color rgb="FFFFFFFF"/>
        <rFont val="Noto Sans CJK SC"/>
        <family val="2"/>
      </rPr>
      <t xml:space="preserve">數</t>
    </r>
  </si>
  <si>
    <t xml:space="preserve">成熟階段</t>
  </si>
  <si>
    <r>
      <rPr>
        <sz val="9.5"/>
        <color rgb="FF404050"/>
        <rFont val="Noto Sans CJK SC"/>
        <family val="2"/>
      </rPr>
      <t xml:space="preserve">週會結論請記入 </t>
    </r>
    <r>
      <rPr>
        <sz val="9.5"/>
        <color rgb="FF404050"/>
        <rFont val="微軟正黑體"/>
        <family val="0"/>
        <charset val="1"/>
      </rPr>
      <t xml:space="preserve">10_</t>
    </r>
    <r>
      <rPr>
        <sz val="9.5"/>
        <color rgb="FF404050"/>
        <rFont val="Noto Sans CJK SC"/>
        <family val="2"/>
      </rPr>
      <t xml:space="preserve">決策紀錄；本頁不需手動維護，資料一律回到來源分頁（</t>
    </r>
    <r>
      <rPr>
        <sz val="9.5"/>
        <color rgb="FF404050"/>
        <rFont val="微軟正黑體"/>
        <family val="0"/>
        <charset val="1"/>
      </rPr>
      <t xml:space="preserve">05 / 08 / 03</t>
    </r>
    <r>
      <rPr>
        <sz val="9.5"/>
        <color rgb="FF404050"/>
        <rFont val="Noto Sans CJK SC"/>
        <family val="2"/>
      </rPr>
      <t xml:space="preserve">）修改。</t>
    </r>
  </si>
  <si>
    <r>
      <rPr>
        <b val="true"/>
        <sz val="15"/>
        <color rgb="FF1F3864"/>
        <rFont val="Microsoft JhengHei"/>
        <family val="0"/>
        <charset val="1"/>
      </rPr>
      <t xml:space="preserve">18</t>
    </r>
    <r>
      <rPr>
        <b val="true"/>
        <sz val="15"/>
        <color rgb="FF1F3864"/>
        <rFont val="Noto Sans CJK SC"/>
        <family val="2"/>
      </rPr>
      <t xml:space="preserve">　層級地圖｜醫院生態的七層堆疊</t>
    </r>
  </si>
  <si>
    <t xml:space="preserve">❓這頁在回答：我的專長落在哪一層？那一層有哪些生意、上下層要靠誰？　概念仿網際網路分層，下層是上層的地基。</t>
  </si>
  <si>
    <t xml:space="preserve">名稱</t>
  </si>
  <si>
    <t xml:space="preserve">英文</t>
  </si>
  <si>
    <t xml:space="preserve">這一層是什麼</t>
  </si>
  <si>
    <t xml:space="preserve">誰在這一層找定位</t>
  </si>
  <si>
    <t xml:space="preserve">生意</t>
  </si>
  <si>
    <t xml:space="preserve">能力</t>
  </si>
  <si>
    <t xml:space="preserve">警訊</t>
  </si>
  <si>
    <t xml:space="preserve">L7</t>
  </si>
  <si>
    <t xml:space="preserve">商模金流層</t>
  </si>
  <si>
    <t xml:space="preserve">Business &amp; Payment</t>
  </si>
  <si>
    <t xml:space="preserve">支付、健保申報、保險、國際醫療、投資架構——「收得到錢」的最上層。</t>
  </si>
  <si>
    <t xml:space="preserve">金融、保險、投資方在這一層。</t>
  </si>
  <si>
    <t xml:space="preserve">L6</t>
  </si>
  <si>
    <t xml:space="preserve">照護營運層</t>
  </si>
  <si>
    <t xml:space="preserve">Care &amp; Operations</t>
  </si>
  <si>
    <t xml:space="preserve">照護服務業態、供應鏈維運、品質與人才——「經營得下去」的服務層。</t>
  </si>
  <si>
    <t xml:space="preserve">醫院經營者、委外服務商、顧問在這一層。</t>
  </si>
  <si>
    <t xml:space="preserve">L5</t>
  </si>
  <si>
    <t xml:space="preserve">智慧應用層</t>
  </si>
  <si>
    <t xml:space="preserve">Intelligent Applications</t>
  </si>
  <si>
    <r>
      <rPr>
        <sz val="10"/>
        <rFont val="Microsoft JhengHei"/>
        <family val="0"/>
        <charset val="1"/>
      </rPr>
      <t xml:space="preserve">AI </t>
    </r>
    <r>
      <rPr>
        <sz val="10"/>
        <rFont val="Noto Sans CJK SC"/>
        <family val="2"/>
      </rPr>
      <t xml:space="preserve">診斷、預測、自動化——疊在資料層上面「變聰明」的應用。</t>
    </r>
  </si>
  <si>
    <r>
      <rPr>
        <sz val="10"/>
        <rFont val="Microsoft JhengHei"/>
        <family val="0"/>
        <charset val="1"/>
      </rPr>
      <t xml:space="preserve">AI </t>
    </r>
    <r>
      <rPr>
        <sz val="10"/>
        <rFont val="Noto Sans CJK SC"/>
        <family val="2"/>
      </rPr>
      <t xml:space="preserve">公司在這一層；沒有 </t>
    </r>
    <r>
      <rPr>
        <sz val="10"/>
        <rFont val="Microsoft JhengHei"/>
        <family val="0"/>
        <charset val="1"/>
      </rPr>
      <t xml:space="preserve">L2+L4 </t>
    </r>
    <r>
      <rPr>
        <sz val="10"/>
        <rFont val="Noto Sans CJK SC"/>
        <family val="2"/>
      </rPr>
      <t xml:space="preserve">就落不了地。</t>
    </r>
  </si>
  <si>
    <t xml:space="preserve">★ 有生意、沒有對應能力——能力盤點在這層是空的</t>
  </si>
  <si>
    <t xml:space="preserve">L4</t>
  </si>
  <si>
    <t xml:space="preserve">資料平台層</t>
  </si>
  <si>
    <t xml:space="preserve">Data &amp; Platform</t>
  </si>
  <si>
    <r>
      <rPr>
        <sz val="10"/>
        <rFont val="Microsoft JhengHei"/>
        <family val="0"/>
        <charset val="1"/>
      </rPr>
      <t xml:space="preserve">HIS/EMR</t>
    </r>
    <r>
      <rPr>
        <sz val="10"/>
        <rFont val="Noto Sans CJK SC"/>
        <family val="2"/>
      </rPr>
      <t xml:space="preserve">、</t>
    </r>
    <r>
      <rPr>
        <sz val="10"/>
        <rFont val="Microsoft JhengHei"/>
        <family val="0"/>
        <charset val="1"/>
      </rPr>
      <t xml:space="preserve">PACS</t>
    </r>
    <r>
      <rPr>
        <sz val="10"/>
        <rFont val="Noto Sans CJK SC"/>
        <family val="2"/>
      </rPr>
      <t xml:space="preserve">、互通介接、資料中台——讓資料「流得動」的軟體層。</t>
    </r>
  </si>
  <si>
    <r>
      <rPr>
        <sz val="10"/>
        <rFont val="Noto Sans CJK SC"/>
        <family val="2"/>
      </rPr>
      <t xml:space="preserve">醫療資訊軟體商、</t>
    </r>
    <r>
      <rPr>
        <sz val="10"/>
        <rFont val="Microsoft JhengHei"/>
        <family val="0"/>
        <charset val="1"/>
      </rPr>
      <t xml:space="preserve">SI</t>
    </r>
    <r>
      <rPr>
        <sz val="10"/>
        <rFont val="Noto Sans CJK SC"/>
        <family val="2"/>
      </rPr>
      <t xml:space="preserve">在這一層。</t>
    </r>
  </si>
  <si>
    <t xml:space="preserve">L3</t>
  </si>
  <si>
    <t xml:space="preserve">臨床設備層</t>
  </si>
  <si>
    <t xml:space="preserve">Clinical Equipment</t>
  </si>
  <si>
    <r>
      <rPr>
        <sz val="10"/>
        <rFont val="Noto Sans CJK SC"/>
        <family val="2"/>
      </rPr>
      <t xml:space="preserve">影像、檢驗、手術室、洗腎、</t>
    </r>
    <r>
      <rPr>
        <sz val="10"/>
        <rFont val="Microsoft JhengHei"/>
        <family val="0"/>
        <charset val="1"/>
      </rPr>
      <t xml:space="preserve">IVF——</t>
    </r>
    <r>
      <rPr>
        <sz val="10"/>
        <rFont val="Noto Sans CJK SC"/>
        <family val="2"/>
      </rPr>
      <t xml:space="preserve">「醫得了病」的裝備。</t>
    </r>
  </si>
  <si>
    <t xml:space="preserve">醫材原廠、代理商、設備整合商在這一層。</t>
  </si>
  <si>
    <t xml:space="preserve">L2</t>
  </si>
  <si>
    <t xml:space="preserve">數位基礎層</t>
  </si>
  <si>
    <t xml:space="preserve">Digital Infrastructure</t>
  </si>
  <si>
    <r>
      <rPr>
        <sz val="10"/>
        <rFont val="Noto Sans CJK SC"/>
        <family val="2"/>
      </rPr>
      <t xml:space="preserve">機房</t>
    </r>
    <r>
      <rPr>
        <sz val="10"/>
        <rFont val="Microsoft JhengHei"/>
        <family val="0"/>
        <charset val="1"/>
      </rPr>
      <t xml:space="preserve">IDC</t>
    </r>
    <r>
      <rPr>
        <sz val="10"/>
        <rFont val="Noto Sans CJK SC"/>
        <family val="2"/>
      </rPr>
      <t xml:space="preserve">、網路、資安、雲、備援——醫院「連得起來」的底座。</t>
    </r>
  </si>
  <si>
    <t xml:space="preserve">系統整合、電信、資安、機房廠商在這一層。群晶科技的主場。</t>
  </si>
  <si>
    <t xml:space="preserve">L1</t>
  </si>
  <si>
    <t xml:space="preserve">實體基礎層</t>
  </si>
  <si>
    <t xml:space="preserve">Physical Infrastructure</t>
  </si>
  <si>
    <t xml:space="preserve">土建、機電、潔淨空調、醫用氣體、電力、水與廢棄物——醫院「站得起來」的硬體。</t>
  </si>
  <si>
    <t xml:space="preserve">營建、機電、環工、能源廠商在這一層找位置。</t>
  </si>
  <si>
    <t xml:space="preserve">G</t>
  </si>
  <si>
    <t xml:space="preserve">治理合規層（跨層）</t>
  </si>
  <si>
    <t xml:space="preserve">Governance &amp; Compliance (cross-cutting)</t>
  </si>
  <si>
    <t xml:space="preserve">法規路徑、登記註冊、個資合規、認證——貫穿所有層的合規管線。</t>
  </si>
  <si>
    <t xml:space="preserve">法律、法規事務、認證輔導夥伴在這一層；每一層的生意都要經過它。</t>
  </si>
  <si>
    <t xml:space="preserve">怎麼用這一頁</t>
  </si>
  <si>
    <r>
      <rPr>
        <sz val="10"/>
        <rFont val="Noto Sans CJK SC"/>
        <family val="2"/>
      </rPr>
      <t xml:space="preserve">・夥伴：先找到自己的專長在哪一層 → 到 </t>
    </r>
    <r>
      <rPr>
        <sz val="10"/>
        <rFont val="Microsoft JhengHei"/>
        <family val="0"/>
        <charset val="1"/>
      </rPr>
      <t xml:space="preserve">19 </t>
    </r>
    <r>
      <rPr>
        <sz val="10"/>
        <rFont val="Noto Sans CJK SC"/>
        <family val="2"/>
      </rPr>
      <t xml:space="preserve">分頁篩該層的生意 → 看 </t>
    </r>
    <r>
      <rPr>
        <sz val="10"/>
        <rFont val="Microsoft JhengHei"/>
        <family val="0"/>
        <charset val="1"/>
      </rPr>
      <t xml:space="preserve">20 </t>
    </r>
    <r>
      <rPr>
        <sz val="10"/>
        <rFont val="Noto Sans CJK SC"/>
        <family val="2"/>
      </rPr>
      <t xml:space="preserve">分頁該層缺哪些能力。</t>
    </r>
  </si>
  <si>
    <r>
      <rPr>
        <sz val="10"/>
        <rFont val="Noto Sans CJK SC"/>
        <family val="2"/>
      </rPr>
      <t xml:space="preserve">・業主：由上往下讀。</t>
    </r>
    <r>
      <rPr>
        <sz val="10"/>
        <rFont val="Microsoft JhengHei"/>
        <family val="0"/>
        <charset val="1"/>
      </rPr>
      <t xml:space="preserve">L7 </t>
    </r>
    <r>
      <rPr>
        <sz val="10"/>
        <rFont val="Noto Sans CJK SC"/>
        <family val="2"/>
      </rPr>
      <t xml:space="preserve">收得到錢、</t>
    </r>
    <r>
      <rPr>
        <sz val="10"/>
        <rFont val="Microsoft JhengHei"/>
        <family val="0"/>
        <charset val="1"/>
      </rPr>
      <t xml:space="preserve">L6 </t>
    </r>
    <r>
      <rPr>
        <sz val="10"/>
        <rFont val="Noto Sans CJK SC"/>
        <family val="2"/>
      </rPr>
      <t xml:space="preserve">經營得下去、</t>
    </r>
    <r>
      <rPr>
        <sz val="10"/>
        <rFont val="Microsoft JhengHei"/>
        <family val="0"/>
        <charset val="1"/>
      </rPr>
      <t xml:space="preserve">L5 </t>
    </r>
    <r>
      <rPr>
        <sz val="10"/>
        <rFont val="Noto Sans CJK SC"/>
        <family val="2"/>
      </rPr>
      <t xml:space="preserve">變聰明、</t>
    </r>
    <r>
      <rPr>
        <sz val="10"/>
        <rFont val="Microsoft JhengHei"/>
        <family val="0"/>
        <charset val="1"/>
      </rPr>
      <t xml:space="preserve">L4 </t>
    </r>
    <r>
      <rPr>
        <sz val="10"/>
        <rFont val="Noto Sans CJK SC"/>
        <family val="2"/>
      </rPr>
      <t xml:space="preserve">資料流得動、</t>
    </r>
    <r>
      <rPr>
        <sz val="10"/>
        <rFont val="Microsoft JhengHei"/>
        <family val="0"/>
        <charset val="1"/>
      </rPr>
      <t xml:space="preserve">L3 </t>
    </r>
    <r>
      <rPr>
        <sz val="10"/>
        <rFont val="Noto Sans CJK SC"/>
        <family val="2"/>
      </rPr>
      <t xml:space="preserve">醫得了病、</t>
    </r>
    <r>
      <rPr>
        <sz val="10"/>
        <rFont val="Microsoft JhengHei"/>
        <family val="0"/>
        <charset val="1"/>
      </rPr>
      <t xml:space="preserve">L2 </t>
    </r>
    <r>
      <rPr>
        <sz val="10"/>
        <rFont val="Noto Sans CJK SC"/>
        <family val="2"/>
      </rPr>
      <t xml:space="preserve">連得起來、</t>
    </r>
    <r>
      <rPr>
        <sz val="10"/>
        <rFont val="Microsoft JhengHei"/>
        <family val="0"/>
        <charset val="1"/>
      </rPr>
      <t xml:space="preserve">L1 </t>
    </r>
    <r>
      <rPr>
        <sz val="10"/>
        <rFont val="Noto Sans CJK SC"/>
        <family val="2"/>
      </rPr>
      <t xml:space="preserve">站得起來。</t>
    </r>
  </si>
  <si>
    <r>
      <rPr>
        <sz val="10"/>
        <rFont val="Noto Sans CJK SC"/>
        <family val="2"/>
      </rPr>
      <t xml:space="preserve">・顧問：層級是依「交付什麼」歸屬，不是依組織分工。</t>
    </r>
    <r>
      <rPr>
        <sz val="10"/>
        <rFont val="Microsoft JhengHei"/>
        <family val="0"/>
        <charset val="1"/>
      </rPr>
      <t xml:space="preserve">G </t>
    </r>
    <r>
      <rPr>
        <sz val="10"/>
        <rFont val="Noto Sans CJK SC"/>
        <family val="2"/>
      </rPr>
      <t xml:space="preserve">治理合規層貫穿所有層，每一層的生意都要經過它。</t>
    </r>
  </si>
  <si>
    <r>
      <rPr>
        <b val="true"/>
        <sz val="15"/>
        <color rgb="FF1F3864"/>
        <rFont val="Microsoft JhengHei"/>
        <family val="0"/>
        <charset val="1"/>
      </rPr>
      <t xml:space="preserve">19</t>
    </r>
    <r>
      <rPr>
        <b val="true"/>
        <sz val="15"/>
        <color rgb="FF1F3864"/>
        <rFont val="Noto Sans CJK SC"/>
        <family val="2"/>
      </rPr>
      <t xml:space="preserve">　商機趨勢｜</t>
    </r>
    <r>
      <rPr>
        <b val="true"/>
        <sz val="15"/>
        <color rgb="FF1F3864"/>
        <rFont val="Microsoft JhengHei"/>
        <family val="0"/>
        <charset val="1"/>
      </rPr>
      <t xml:space="preserve">85 </t>
    </r>
    <r>
      <rPr>
        <b val="true"/>
        <sz val="15"/>
        <color rgb="FF1F3864"/>
        <rFont val="Noto Sans CJK SC"/>
        <family val="2"/>
      </rPr>
      <t xml:space="preserve">門生意的過去、現在、未來</t>
    </r>
  </si>
  <si>
    <r>
      <rPr>
        <sz val="10"/>
        <color rgb="FF6B7280"/>
        <rFont val="Noto Sans CJK SC"/>
        <family val="2"/>
      </rPr>
      <t xml:space="preserve">❓這頁在回答：這門生意在越南現在是什麼狀況、政策往哪走？　★ 用上方篩選鈕選層級或信心等級。信心 </t>
    </r>
    <r>
      <rPr>
        <sz val="10"/>
        <color rgb="FF6B7280"/>
        <rFont val="Microsoft JhengHei"/>
        <family val="0"/>
        <charset val="1"/>
      </rPr>
      <t xml:space="preserve">A=</t>
    </r>
    <r>
      <rPr>
        <sz val="10"/>
        <color rgb="FF6B7280"/>
        <rFont val="Noto Sans CJK SC"/>
        <family val="2"/>
      </rPr>
      <t xml:space="preserve">有具名來源、</t>
    </r>
    <r>
      <rPr>
        <sz val="10"/>
        <color rgb="FF6B7280"/>
        <rFont val="Microsoft JhengHei"/>
        <family val="0"/>
        <charset val="1"/>
      </rPr>
      <t xml:space="preserve">B=</t>
    </r>
    <r>
      <rPr>
        <sz val="10"/>
        <color rgb="FF6B7280"/>
        <rFont val="Noto Sans CJK SC"/>
        <family val="2"/>
      </rPr>
      <t xml:space="preserve">承襲家族趨勢、</t>
    </r>
    <r>
      <rPr>
        <sz val="10"/>
        <color rgb="FF6B7280"/>
        <rFont val="Microsoft JhengHei"/>
        <family val="0"/>
        <charset val="1"/>
      </rPr>
      <t xml:space="preserve">C=</t>
    </r>
    <r>
      <rPr>
        <sz val="10"/>
        <color rgb="FF6B7280"/>
        <rFont val="Noto Sans CJK SC"/>
        <family val="2"/>
      </rPr>
      <t xml:space="preserve">明確查不到。</t>
    </r>
  </si>
  <si>
    <t xml:space="preserve">層級</t>
  </si>
  <si>
    <r>
      <rPr>
        <b val="true"/>
        <sz val="11"/>
        <color rgb="FFFFFFFF"/>
        <rFont val="Noto Sans CJK SC"/>
        <family val="2"/>
      </rPr>
      <t xml:space="preserve">過去 </t>
    </r>
    <r>
      <rPr>
        <b val="true"/>
        <sz val="11"/>
        <color rgb="FFFFFFFF"/>
        <rFont val="Microsoft JhengHei"/>
        <family val="0"/>
        <charset val="1"/>
      </rPr>
      <t xml:space="preserve">2015-22</t>
    </r>
  </si>
  <si>
    <r>
      <rPr>
        <b val="true"/>
        <sz val="11"/>
        <color rgb="FFFFFFFF"/>
        <rFont val="Noto Sans CJK SC"/>
        <family val="2"/>
      </rPr>
      <t xml:space="preserve">現在 </t>
    </r>
    <r>
      <rPr>
        <b val="true"/>
        <sz val="11"/>
        <color rgb="FFFFFFFF"/>
        <rFont val="Microsoft JhengHei"/>
        <family val="0"/>
        <charset val="1"/>
      </rPr>
      <t xml:space="preserve">2023-26</t>
    </r>
  </si>
  <si>
    <r>
      <rPr>
        <b val="true"/>
        <sz val="11"/>
        <color rgb="FFFFFFFF"/>
        <rFont val="Noto Sans CJK SC"/>
        <family val="2"/>
      </rPr>
      <t xml:space="preserve">未來 </t>
    </r>
    <r>
      <rPr>
        <b val="true"/>
        <sz val="11"/>
        <color rgb="FFFFFFFF"/>
        <rFont val="Microsoft JhengHei"/>
        <family val="0"/>
        <charset val="1"/>
      </rPr>
      <t xml:space="preserve">2026-30</t>
    </r>
  </si>
  <si>
    <t xml:space="preserve">趨勢</t>
  </si>
  <si>
    <t xml:space="preserve">本項專屬發現</t>
  </si>
  <si>
    <t xml:space="preserve">信心</t>
  </si>
  <si>
    <r>
      <rPr>
        <sz val="10"/>
        <rFont val="Noto Sans CJK SC"/>
        <family val="2"/>
      </rPr>
      <t xml:space="preserve">醫院投資規劃與</t>
    </r>
    <r>
      <rPr>
        <sz val="10"/>
        <rFont val="Microsoft JhengHei"/>
        <family val="0"/>
        <charset val="1"/>
      </rPr>
      <t xml:space="preserve">PPP</t>
    </r>
    <r>
      <rPr>
        <sz val="10"/>
        <rFont val="Noto Sans CJK SC"/>
        <family val="2"/>
      </rPr>
      <t xml:space="preserve">交易架構顧問</t>
    </r>
  </si>
  <si>
    <r>
      <rPr>
        <sz val="9"/>
        <rFont val="Microsoft JhengHei"/>
        <family val="0"/>
        <charset val="1"/>
      </rPr>
      <t xml:space="preserve">2006</t>
    </r>
    <r>
      <rPr>
        <sz val="9"/>
        <rFont val="Noto Sans CJK SC"/>
        <family val="2"/>
      </rPr>
      <t xml:space="preserve">年起「社會化」政策允許公立醫院引入私人資本，但治理爭議多；</t>
    </r>
    <r>
      <rPr>
        <sz val="9"/>
        <rFont val="Microsoft JhengHei"/>
        <family val="0"/>
        <charset val="1"/>
      </rPr>
      <t xml:space="preserve">2021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PPP</t>
    </r>
    <r>
      <rPr>
        <sz val="9"/>
        <rFont val="Noto Sans CJK SC"/>
        <family val="2"/>
      </rPr>
      <t xml:space="preserve">法設醫療</t>
    </r>
    <r>
      <rPr>
        <sz val="9"/>
        <rFont val="Microsoft JhengHei"/>
        <family val="0"/>
        <charset val="1"/>
      </rPr>
      <t xml:space="preserve">1,000</t>
    </r>
    <r>
      <rPr>
        <sz val="9"/>
        <rFont val="Noto Sans CJK SC"/>
        <family val="2"/>
      </rPr>
      <t xml:space="preserve">億越盾門檻，健康</t>
    </r>
    <r>
      <rPr>
        <sz val="9"/>
        <rFont val="Microsoft JhengHei"/>
        <family val="0"/>
        <charset val="1"/>
      </rPr>
      <t xml:space="preserve">PPP</t>
    </r>
    <r>
      <rPr>
        <sz val="9"/>
        <rFont val="Noto Sans CJK SC"/>
        <family val="2"/>
      </rPr>
      <t xml:space="preserve">幾乎凍結；外資以併購切入（</t>
    </r>
    <r>
      <rPr>
        <sz val="9"/>
        <rFont val="Microsoft JhengHei"/>
        <family val="0"/>
        <charset val="1"/>
      </rPr>
      <t xml:space="preserve">2013 Chandler</t>
    </r>
    <r>
      <rPr>
        <sz val="9"/>
        <rFont val="Noto Sans CJK SC"/>
        <family val="2"/>
      </rPr>
      <t xml:space="preserve">入股</t>
    </r>
    <r>
      <rPr>
        <sz val="9"/>
        <rFont val="Microsoft JhengHei"/>
        <family val="0"/>
        <charset val="1"/>
      </rPr>
      <t xml:space="preserve">Hoan My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2020 GIC</t>
    </r>
    <r>
      <rPr>
        <sz val="9"/>
        <rFont val="Noto Sans CJK SC"/>
        <family val="2"/>
      </rPr>
      <t xml:space="preserve">投</t>
    </r>
    <r>
      <rPr>
        <sz val="9"/>
        <rFont val="Microsoft JhengHei"/>
        <family val="0"/>
        <charset val="1"/>
      </rPr>
      <t xml:space="preserve">Vinmec 2.03</t>
    </r>
    <r>
      <rPr>
        <sz val="9"/>
        <rFont val="Noto Sans CJK SC"/>
        <family val="2"/>
      </rPr>
      <t xml:space="preserve">億美元）。</t>
    </r>
  </si>
  <si>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年目標：每萬人</t>
    </r>
    <r>
      <rPr>
        <sz val="9"/>
        <rFont val="Microsoft JhengHei"/>
        <family val="0"/>
        <charset val="1"/>
      </rPr>
      <t xml:space="preserve">35</t>
    </r>
    <r>
      <rPr>
        <sz val="9"/>
        <rFont val="Noto Sans CJK SC"/>
        <family val="2"/>
      </rPr>
      <t xml:space="preserve">床、私立床位占比</t>
    </r>
    <r>
      <rPr>
        <sz val="9"/>
        <rFont val="Microsoft JhengHei"/>
        <family val="0"/>
        <charset val="1"/>
      </rPr>
      <t xml:space="preserve">15%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2050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25%</t>
    </r>
    <r>
      <rPr>
        <sz val="9"/>
        <rFont val="Noto Sans CJK SC"/>
        <family val="2"/>
      </rPr>
      <t xml:space="preserve">）——私立占比要倍增，綠地與</t>
    </r>
    <r>
      <rPr>
        <sz val="9"/>
        <rFont val="Microsoft JhengHei"/>
        <family val="0"/>
        <charset val="1"/>
      </rPr>
      <t xml:space="preserve">PPP</t>
    </r>
    <r>
      <rPr>
        <sz val="9"/>
        <rFont val="Noto Sans CJK SC"/>
        <family val="2"/>
      </rPr>
      <t xml:space="preserve">是政策明確歡迎的補口。省級行政區</t>
    </r>
    <r>
      <rPr>
        <sz val="9"/>
        <rFont val="Microsoft JhengHei"/>
        <family val="0"/>
        <charset val="1"/>
      </rPr>
      <t xml:space="preserve">2025</t>
    </r>
    <r>
      <rPr>
        <sz val="9"/>
        <rFont val="Noto Sans CJK SC"/>
        <family val="2"/>
      </rPr>
      <t xml:space="preserve">年由</t>
    </r>
    <r>
      <rPr>
        <sz val="9"/>
        <rFont val="Microsoft JhengHei"/>
        <family val="0"/>
        <charset val="1"/>
      </rPr>
      <t xml:space="preserve">63</t>
    </r>
    <r>
      <rPr>
        <sz val="9"/>
        <rFont val="Noto Sans CJK SC"/>
        <family val="2"/>
      </rPr>
      <t xml:space="preserve">併為</t>
    </r>
    <r>
      <rPr>
        <sz val="9"/>
        <rFont val="Microsoft JhengHei"/>
        <family val="0"/>
        <charset val="1"/>
      </rPr>
      <t xml:space="preserve">34</t>
    </r>
    <r>
      <rPr>
        <sz val="9"/>
        <rFont val="Noto Sans CJK SC"/>
        <family val="2"/>
      </rPr>
      <t xml:space="preserve">，地方談判對口全面更換。</t>
    </r>
  </si>
  <si>
    <t xml:space="preserve">↑↑</t>
  </si>
  <si>
    <t xml:space="preserve">（無本項專屬發現——見所屬家族／領域趨勢）</t>
  </si>
  <si>
    <r>
      <rPr>
        <sz val="9"/>
        <rFont val="Microsoft JhengHei"/>
        <family val="0"/>
        <charset val="1"/>
      </rPr>
      <t xml:space="preserve">TCVN 4470:2012</t>
    </r>
    <r>
      <rPr>
        <sz val="9"/>
        <rFont val="Noto Sans CJK SC"/>
        <family val="2"/>
      </rPr>
      <t xml:space="preserve">等標準更新緩慢；白梅二院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越德二院千床工程</t>
    </r>
    <r>
      <rPr>
        <sz val="9"/>
        <rFont val="Microsoft JhengHei"/>
        <family val="0"/>
        <charset val="1"/>
      </rPr>
      <t xml:space="preserve">2021</t>
    </r>
    <r>
      <rPr>
        <sz val="9"/>
        <rFont val="Noto Sans CJK SC"/>
        <family val="2"/>
      </rPr>
      <t xml:space="preserve">年起停擺</t>
    </r>
    <r>
      <rPr>
        <sz val="9"/>
        <rFont val="Microsoft JhengHei"/>
        <family val="0"/>
        <charset val="1"/>
      </rPr>
      <t xml:space="preserve">6-7</t>
    </r>
    <r>
      <rPr>
        <sz val="9"/>
        <rFont val="Noto Sans CJK SC"/>
        <family val="2"/>
      </rPr>
      <t xml:space="preserve">年、</t>
    </r>
    <r>
      <rPr>
        <sz val="9"/>
        <rFont val="Microsoft JhengHei"/>
        <family val="0"/>
        <charset val="1"/>
      </rPr>
      <t xml:space="preserve">2026</t>
    </r>
    <r>
      <rPr>
        <sz val="9"/>
        <rFont val="Noto Sans CJK SC"/>
        <family val="2"/>
      </rPr>
      <t xml:space="preserve">年始投運，成公立</t>
    </r>
    <r>
      <rPr>
        <sz val="9"/>
        <rFont val="Microsoft JhengHei"/>
        <family val="0"/>
        <charset val="1"/>
      </rPr>
      <t xml:space="preserve">EPC</t>
    </r>
    <r>
      <rPr>
        <sz val="9"/>
        <rFont val="Noto Sans CJK SC"/>
        <family val="2"/>
      </rPr>
      <t xml:space="preserve">治理失靈代表案（監察報告揭全環節違規）。屋頂光電</t>
    </r>
    <r>
      <rPr>
        <sz val="9"/>
        <rFont val="Microsoft JhengHei"/>
        <family val="0"/>
        <charset val="1"/>
      </rPr>
      <t xml:space="preserve">FIT 2020</t>
    </r>
    <r>
      <rPr>
        <sz val="9"/>
        <rFont val="Noto Sans CJK SC"/>
        <family val="2"/>
      </rPr>
      <t xml:space="preserve">年底到期後政策真空。</t>
    </r>
  </si>
  <si>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35</t>
    </r>
    <r>
      <rPr>
        <sz val="9"/>
        <rFont val="Noto Sans CJK SC"/>
        <family val="2"/>
      </rPr>
      <t xml:space="preserve">床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萬人＝持續新增病床與機電需求；六大醫院（白梅、越德、</t>
    </r>
    <r>
      <rPr>
        <sz val="9"/>
        <rFont val="Microsoft JhengHei"/>
        <family val="0"/>
        <charset val="1"/>
      </rPr>
      <t xml:space="preserve">108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Cho Ray</t>
    </r>
    <r>
      <rPr>
        <sz val="9"/>
        <rFont val="Noto Sans CJK SC"/>
        <family val="2"/>
      </rPr>
      <t xml:space="preserve">、順化、胡志明）升級國際水準。醫院部門將逐步納入</t>
    </r>
    <r>
      <rPr>
        <sz val="9"/>
        <rFont val="Microsoft JhengHei"/>
        <family val="0"/>
        <charset val="1"/>
      </rPr>
      <t xml:space="preserve">2050</t>
    </r>
    <r>
      <rPr>
        <sz val="9"/>
        <rFont val="Noto Sans CJK SC"/>
        <family val="2"/>
      </rPr>
      <t xml:space="preserve">淨零與氣候韌性要求（</t>
    </r>
    <r>
      <rPr>
        <sz val="9"/>
        <rFont val="Microsoft JhengHei"/>
        <family val="0"/>
        <charset val="1"/>
      </rPr>
      <t xml:space="preserve">WHO CRESHCF</t>
    </r>
    <r>
      <rPr>
        <sz val="9"/>
        <rFont val="Noto Sans CJK SC"/>
        <family val="2"/>
      </rPr>
      <t xml:space="preserve">框架）。</t>
    </r>
  </si>
  <si>
    <t xml:space="preserve">↑</t>
  </si>
  <si>
    <r>
      <rPr>
        <sz val="10"/>
        <rFont val="Noto Sans CJK SC"/>
        <family val="2"/>
      </rPr>
      <t xml:space="preserve">千床級醫院統包工程</t>
    </r>
    <r>
      <rPr>
        <sz val="10"/>
        <rFont val="Microsoft JhengHei"/>
        <family val="0"/>
        <charset val="1"/>
      </rPr>
      <t xml:space="preserve">(EPC)</t>
    </r>
  </si>
  <si>
    <r>
      <rPr>
        <sz val="10"/>
        <rFont val="Noto Sans CJK SC"/>
        <family val="2"/>
      </rPr>
      <t xml:space="preserve">手術室與加護病房潔淨空調（模組化</t>
    </r>
    <r>
      <rPr>
        <sz val="10"/>
        <rFont val="Microsoft JhengHei"/>
        <family val="0"/>
        <charset val="1"/>
      </rPr>
      <t xml:space="preserve">OR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</si>
  <si>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消毒供應中心</t>
    </r>
    <r>
      <rPr>
        <sz val="10"/>
        <rFont val="Microsoft JhengHei"/>
        <family val="0"/>
        <charset val="1"/>
      </rPr>
      <t xml:space="preserve">(CSSD)</t>
    </r>
    <r>
      <rPr>
        <sz val="10"/>
        <rFont val="Noto Sans CJK SC"/>
        <family val="2"/>
      </rPr>
      <t xml:space="preserve">設備整廠</t>
    </r>
  </si>
  <si>
    <r>
      <rPr>
        <sz val="10"/>
        <rFont val="Noto Sans CJK SC"/>
        <family val="2"/>
      </rPr>
      <t xml:space="preserve">影像設備整批交鑰匙（</t>
    </r>
    <r>
      <rPr>
        <sz val="10"/>
        <rFont val="Microsoft JhengHei"/>
        <family val="0"/>
        <charset val="1"/>
      </rPr>
      <t xml:space="preserve">CT/MRI/DSA</t>
    </r>
    <r>
      <rPr>
        <sz val="10"/>
        <rFont val="Noto Sans CJK SC"/>
        <family val="2"/>
      </rPr>
      <t xml:space="preserve">＋機房）</t>
    </r>
  </si>
  <si>
    <r>
      <rPr>
        <sz val="9"/>
        <rFont val="Noto Sans CJK SC"/>
        <family val="2"/>
      </rPr>
      <t xml:space="preserve">醫材市場</t>
    </r>
    <r>
      <rPr>
        <sz val="9"/>
        <rFont val="Microsoft JhengHei"/>
        <family val="0"/>
        <charset val="1"/>
      </rPr>
      <t xml:space="preserve">2015</t>
    </r>
    <r>
      <rPr>
        <sz val="9"/>
        <rFont val="Noto Sans CJK SC"/>
        <family val="2"/>
      </rPr>
      <t xml:space="preserve">年起雙位數成長，</t>
    </r>
    <r>
      <rPr>
        <sz val="9"/>
        <rFont val="Microsoft JhengHei"/>
        <family val="0"/>
        <charset val="1"/>
      </rPr>
      <t xml:space="preserve">90%</t>
    </r>
    <r>
      <rPr>
        <sz val="9"/>
        <rFont val="Noto Sans CJK SC"/>
        <family val="2"/>
      </rPr>
      <t xml:space="preserve">依賴進口；</t>
    </r>
    <r>
      <rPr>
        <sz val="9"/>
        <rFont val="Microsoft JhengHei"/>
        <family val="0"/>
        <charset val="1"/>
      </rPr>
      <t xml:space="preserve">Decree 98/2021</t>
    </r>
    <r>
      <rPr>
        <sz val="9"/>
        <rFont val="Noto Sans CJK SC"/>
        <family val="2"/>
      </rPr>
      <t xml:space="preserve">首建</t>
    </r>
    <r>
      <rPr>
        <sz val="9"/>
        <rFont val="Microsoft JhengHei"/>
        <family val="0"/>
        <charset val="1"/>
      </rPr>
      <t xml:space="preserve">A-D</t>
    </r>
    <r>
      <rPr>
        <sz val="9"/>
        <rFont val="Noto Sans CJK SC"/>
        <family val="2"/>
      </rPr>
      <t xml:space="preserve">分類統一登記，但審批塞車；</t>
    </r>
    <r>
      <rPr>
        <sz val="9"/>
        <rFont val="Microsoft JhengHei"/>
        <family val="0"/>
        <charset val="1"/>
      </rPr>
      <t xml:space="preserve">2022</t>
    </r>
    <r>
      <rPr>
        <sz val="9"/>
        <rFont val="Noto Sans CJK SC"/>
        <family val="2"/>
      </rPr>
      <t xml:space="preserve">年爆發全國設備短缺（三家報價規則＋弊案寒蟬效應）。</t>
    </r>
  </si>
  <si>
    <r>
      <rPr>
        <sz val="9"/>
        <rFont val="Noto Sans CJK SC"/>
        <family val="2"/>
      </rPr>
      <t xml:space="preserve">放腫要達低標需從</t>
    </r>
    <r>
      <rPr>
        <sz val="9"/>
        <rFont val="Microsoft JhengHei"/>
        <family val="0"/>
        <charset val="1"/>
      </rPr>
      <t xml:space="preserve">82</t>
    </r>
    <r>
      <rPr>
        <sz val="9"/>
        <rFont val="Noto Sans CJK SC"/>
        <family val="2"/>
      </rPr>
      <t xml:space="preserve">台增至約</t>
    </r>
    <r>
      <rPr>
        <sz val="9"/>
        <rFont val="Microsoft JhengHei"/>
        <family val="0"/>
        <charset val="1"/>
      </rPr>
      <t xml:space="preserve">400</t>
    </r>
    <r>
      <rPr>
        <sz val="9"/>
        <rFont val="Noto Sans CJK SC"/>
        <family val="2"/>
      </rPr>
      <t xml:space="preserve">台等級；設備更新與省級升級是主要資本支出方向；醫材國家集採目錄（首波</t>
    </r>
    <r>
      <rPr>
        <sz val="9"/>
        <rFont val="Microsoft JhengHei"/>
        <family val="0"/>
        <charset val="1"/>
      </rPr>
      <t xml:space="preserve">20</t>
    </r>
    <r>
      <rPr>
        <sz val="9"/>
        <rFont val="Noto Sans CJK SC"/>
        <family val="2"/>
      </rPr>
      <t xml:space="preserve">項）</t>
    </r>
    <r>
      <rPr>
        <sz val="9"/>
        <rFont val="Microsoft JhengHei"/>
        <family val="0"/>
        <charset val="1"/>
      </rPr>
      <t xml:space="preserve">2025-2026</t>
    </r>
    <r>
      <rPr>
        <sz val="9"/>
        <rFont val="Noto Sans CJK SC"/>
        <family val="2"/>
      </rPr>
      <t xml:space="preserve">落地後高值耗材走向全國統一價量。</t>
    </r>
  </si>
  <si>
    <r>
      <rPr>
        <sz val="10"/>
        <rFont val="Noto Sans CJK SC"/>
        <family val="2"/>
      </rPr>
      <t xml:space="preserve">生殖醫學</t>
    </r>
    <r>
      <rPr>
        <sz val="10"/>
        <rFont val="Microsoft JhengHei"/>
        <family val="0"/>
        <charset val="1"/>
      </rPr>
      <t xml:space="preserve">(IVF)</t>
    </r>
    <r>
      <rPr>
        <sz val="10"/>
        <rFont val="Noto Sans CJK SC"/>
        <family val="2"/>
      </rPr>
      <t xml:space="preserve">實驗室整廠</t>
    </r>
  </si>
  <si>
    <r>
      <rPr>
        <sz val="10"/>
        <rFont val="Noto Sans CJK SC"/>
        <family val="2"/>
      </rPr>
      <t xml:space="preserve">檢驗中心自動化與</t>
    </r>
    <r>
      <rPr>
        <sz val="10"/>
        <rFont val="Microsoft JhengHei"/>
        <family val="0"/>
        <charset val="1"/>
      </rPr>
      <t xml:space="preserve">LIS</t>
    </r>
  </si>
  <si>
    <r>
      <rPr>
        <sz val="10"/>
        <rFont val="Noto Sans CJK SC"/>
        <family val="2"/>
      </rPr>
      <t xml:space="preserve">醫院</t>
    </r>
    <r>
      <rPr>
        <sz val="10"/>
        <rFont val="Microsoft JhengHei"/>
        <family val="0"/>
        <charset val="1"/>
      </rPr>
      <t xml:space="preserve">IDC</t>
    </r>
    <r>
      <rPr>
        <sz val="10"/>
        <rFont val="Noto Sans CJK SC"/>
        <family val="2"/>
      </rPr>
      <t xml:space="preserve">機房與院區網路建置</t>
    </r>
  </si>
  <si>
    <r>
      <rPr>
        <sz val="9"/>
        <rFont val="Microsoft JhengHei"/>
        <family val="0"/>
        <charset val="1"/>
      </rPr>
      <t xml:space="preserve">Decree 85/2016</t>
    </r>
    <r>
      <rPr>
        <sz val="9"/>
        <rFont val="Noto Sans CJK SC"/>
        <family val="2"/>
      </rPr>
      <t xml:space="preserve">建立資訊系統五級等級保護；網安法</t>
    </r>
    <r>
      <rPr>
        <sz val="9"/>
        <rFont val="Microsoft JhengHei"/>
        <family val="0"/>
        <charset val="1"/>
      </rPr>
      <t xml:space="preserve">2019</t>
    </r>
    <r>
      <rPr>
        <sz val="9"/>
        <rFont val="Noto Sans CJK SC"/>
        <family val="2"/>
      </rPr>
      <t xml:space="preserve">年生效但細則缺位；醫院機房自建為主、四大電信商壟斷</t>
    </r>
    <r>
      <rPr>
        <sz val="9"/>
        <rFont val="Microsoft JhengHei"/>
        <family val="0"/>
        <charset val="1"/>
      </rPr>
      <t xml:space="preserve">IDC</t>
    </r>
    <r>
      <rPr>
        <sz val="9"/>
        <rFont val="Noto Sans CJK SC"/>
        <family val="2"/>
      </rPr>
      <t xml:space="preserve">，外資受持股上限限制。</t>
    </r>
  </si>
  <si>
    <r>
      <rPr>
        <sz val="9"/>
        <rFont val="Noto Sans CJK SC"/>
        <family val="2"/>
      </rPr>
      <t xml:space="preserve">醫院</t>
    </r>
    <r>
      <rPr>
        <sz val="9"/>
        <rFont val="Microsoft JhengHei"/>
        <family val="0"/>
        <charset val="1"/>
      </rPr>
      <t xml:space="preserve">2025</t>
    </r>
    <r>
      <rPr>
        <sz val="9"/>
        <rFont val="Noto Sans CJK SC"/>
        <family val="2"/>
      </rPr>
      <t xml:space="preserve">年倉促上線</t>
    </r>
    <r>
      <rPr>
        <sz val="9"/>
        <rFont val="Microsoft JhengHei"/>
        <family val="0"/>
        <charset val="1"/>
      </rPr>
      <t xml:space="preserve">EMR</t>
    </r>
    <r>
      <rPr>
        <sz val="9"/>
        <rFont val="Noto Sans CJK SC"/>
        <family val="2"/>
      </rPr>
      <t xml:space="preserve">後，</t>
    </r>
    <r>
      <rPr>
        <sz val="9"/>
        <rFont val="Microsoft JhengHei"/>
        <family val="0"/>
        <charset val="1"/>
      </rPr>
      <t xml:space="preserve">2026-2028</t>
    </r>
    <r>
      <rPr>
        <sz val="9"/>
        <rFont val="Noto Sans CJK SC"/>
        <family val="2"/>
      </rPr>
      <t xml:space="preserve">是資安定級、</t>
    </r>
    <r>
      <rPr>
        <sz val="9"/>
        <rFont val="Microsoft JhengHei"/>
        <family val="0"/>
        <charset val="1"/>
      </rPr>
      <t xml:space="preserve">DR/</t>
    </r>
    <r>
      <rPr>
        <sz val="9"/>
        <rFont val="Noto Sans CJK SC"/>
        <family val="2"/>
      </rPr>
      <t xml:space="preserve">雙活、</t>
    </r>
    <r>
      <rPr>
        <sz val="9"/>
        <rFont val="Microsoft JhengHei"/>
        <family val="0"/>
        <charset val="1"/>
      </rPr>
      <t xml:space="preserve">SOC</t>
    </r>
    <r>
      <rPr>
        <sz val="9"/>
        <rFont val="Noto Sans CJK SC"/>
        <family val="2"/>
      </rPr>
      <t xml:space="preserve">代管的集中補課窗口；國家資料中心二三期＋超大規模外資園區（</t>
    </r>
    <r>
      <rPr>
        <sz val="9"/>
        <rFont val="Microsoft JhengHei"/>
        <family val="0"/>
        <charset val="1"/>
      </rPr>
      <t xml:space="preserve">Viettel 140MW</t>
    </r>
    <r>
      <rPr>
        <sz val="9"/>
        <rFont val="Noto Sans CJK SC"/>
        <family val="2"/>
      </rPr>
      <t xml:space="preserve">）使容量翻倍；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負載推升高密度機櫃與液冷需求。</t>
    </r>
  </si>
  <si>
    <r>
      <rPr>
        <sz val="10"/>
        <rFont val="Noto Sans CJK SC"/>
        <family val="2"/>
      </rPr>
      <t xml:space="preserve">智慧院區</t>
    </r>
    <r>
      <rPr>
        <sz val="10"/>
        <rFont val="Microsoft JhengHei"/>
        <family val="0"/>
        <charset val="1"/>
      </rPr>
      <t xml:space="preserve">AIoT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BMS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RTLS</t>
    </r>
    <r>
      <rPr>
        <sz val="10"/>
        <rFont val="Noto Sans CJK SC"/>
        <family val="2"/>
      </rPr>
      <t xml:space="preserve">／智慧病房）</t>
    </r>
  </si>
  <si>
    <r>
      <rPr>
        <sz val="10"/>
        <rFont val="Noto Sans CJK SC"/>
        <family val="2"/>
      </rPr>
      <t xml:space="preserve">個資合規與跨境傳輸顧問</t>
    </r>
    <r>
      <rPr>
        <sz val="10"/>
        <rFont val="Microsoft JhengHei"/>
        <family val="0"/>
        <charset val="1"/>
      </rPr>
      <t xml:space="preserve">(PDPL)</t>
    </r>
  </si>
  <si>
    <r>
      <rPr>
        <sz val="10"/>
        <rFont val="Noto Sans CJK SC"/>
        <family val="2"/>
      </rPr>
      <t xml:space="preserve">災難復原與營運持續</t>
    </r>
    <r>
      <rPr>
        <sz val="10"/>
        <rFont val="Microsoft JhengHei"/>
        <family val="0"/>
        <charset val="1"/>
      </rPr>
      <t xml:space="preserve">(DR/BCM)</t>
    </r>
  </si>
  <si>
    <r>
      <rPr>
        <sz val="10"/>
        <rFont val="Noto Sans CJK SC"/>
        <family val="2"/>
      </rPr>
      <t xml:space="preserve">醫療數位簽章與</t>
    </r>
    <r>
      <rPr>
        <sz val="10"/>
        <rFont val="Microsoft JhengHei"/>
        <family val="0"/>
        <charset val="1"/>
      </rPr>
      <t xml:space="preserve">PKI</t>
    </r>
    <r>
      <rPr>
        <sz val="10"/>
        <rFont val="Noto Sans CJK SC"/>
        <family val="2"/>
      </rPr>
      <t xml:space="preserve">憑證</t>
    </r>
  </si>
  <si>
    <r>
      <rPr>
        <sz val="10"/>
        <rFont val="Microsoft JhengHei"/>
        <family val="0"/>
        <charset val="1"/>
      </rPr>
      <t xml:space="preserve">HIS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EMR</t>
    </r>
    <r>
      <rPr>
        <sz val="10"/>
        <rFont val="Noto Sans CJK SC"/>
        <family val="2"/>
      </rPr>
      <t xml:space="preserve">核心平台導入</t>
    </r>
  </si>
  <si>
    <r>
      <rPr>
        <sz val="9"/>
        <rFont val="Microsoft JhengHei"/>
        <family val="0"/>
        <charset val="1"/>
      </rPr>
      <t xml:space="preserve">Circular 54/2017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IT</t>
    </r>
    <r>
      <rPr>
        <sz val="9"/>
        <rFont val="Noto Sans CJK SC"/>
        <family val="2"/>
      </rPr>
      <t xml:space="preserve">評級</t>
    </r>
    <r>
      <rPr>
        <sz val="9"/>
        <rFont val="Microsoft JhengHei"/>
        <family val="0"/>
        <charset val="1"/>
      </rPr>
      <t xml:space="preserve">7</t>
    </r>
    <r>
      <rPr>
        <sz val="9"/>
        <rFont val="Noto Sans CJK SC"/>
        <family val="2"/>
      </rPr>
      <t xml:space="preserve">級）與</t>
    </r>
    <r>
      <rPr>
        <sz val="9"/>
        <rFont val="Microsoft JhengHei"/>
        <family val="0"/>
        <charset val="1"/>
      </rPr>
      <t xml:space="preserve">46/2018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EMR</t>
    </r>
    <r>
      <rPr>
        <sz val="9"/>
        <rFont val="Noto Sans CJK SC"/>
        <family val="2"/>
      </rPr>
      <t xml:space="preserve">法律地位）確立框架但屬鼓勵性質；至</t>
    </r>
    <r>
      <rPr>
        <sz val="9"/>
        <rFont val="Microsoft JhengHei"/>
        <family val="0"/>
        <charset val="1"/>
      </rPr>
      <t xml:space="preserve">2022</t>
    </r>
    <r>
      <rPr>
        <sz val="9"/>
        <rFont val="Noto Sans CJK SC"/>
        <family val="2"/>
      </rPr>
      <t xml:space="preserve">年僅數十家無紙化；</t>
    </r>
    <r>
      <rPr>
        <sz val="9"/>
        <rFont val="Microsoft JhengHei"/>
        <family val="0"/>
        <charset val="1"/>
      </rPr>
      <t xml:space="preserve">HIS</t>
    </r>
    <r>
      <rPr>
        <sz val="9"/>
        <rFont val="Noto Sans CJK SC"/>
        <family val="2"/>
      </rPr>
      <t xml:space="preserve">近全覆蓋但只服務健保申報。</t>
    </r>
  </si>
  <si>
    <r>
      <rPr>
        <sz val="9"/>
        <rFont val="Noto Sans CJK SC"/>
        <family val="2"/>
      </rPr>
      <t xml:space="preserve">需求從</t>
    </r>
    <r>
      <rPr>
        <sz val="9"/>
        <rFont val="Microsoft JhengHei"/>
        <family val="0"/>
        <charset val="1"/>
      </rPr>
      <t xml:space="preserve">1,600</t>
    </r>
    <r>
      <rPr>
        <sz val="9"/>
        <rFont val="Noto Sans CJK SC"/>
        <family val="2"/>
      </rPr>
      <t xml:space="preserve">家醫院擴到上萬家基層機構（</t>
    </r>
    <r>
      <rPr>
        <sz val="9"/>
        <rFont val="Microsoft JhengHei"/>
        <family val="0"/>
        <charset val="1"/>
      </rPr>
      <t xml:space="preserve">2026-12-31</t>
    </r>
    <r>
      <rPr>
        <sz val="9"/>
        <rFont val="Noto Sans CJK SC"/>
        <family val="2"/>
      </rPr>
      <t xml:space="preserve">期限）；</t>
    </r>
    <r>
      <rPr>
        <sz val="9"/>
        <rFont val="Microsoft JhengHei"/>
        <family val="0"/>
        <charset val="1"/>
      </rPr>
      <t xml:space="preserve">881</t>
    </r>
    <r>
      <rPr>
        <sz val="9"/>
        <rFont val="Noto Sans CJK SC"/>
        <family val="2"/>
      </rPr>
      <t xml:space="preserve">家倉促達標醫院的「二次工程」（</t>
    </r>
    <r>
      <rPr>
        <sz val="9"/>
        <rFont val="Microsoft JhengHei"/>
        <family val="0"/>
        <charset val="1"/>
      </rPr>
      <t xml:space="preserve">PACS/VNA</t>
    </r>
    <r>
      <rPr>
        <sz val="9"/>
        <rFont val="Noto Sans CJK SC"/>
        <family val="2"/>
      </rPr>
      <t xml:space="preserve">、閉環給藥、</t>
    </r>
    <r>
      <rPr>
        <sz val="9"/>
        <rFont val="Microsoft JhengHei"/>
        <family val="0"/>
        <charset val="1"/>
      </rPr>
      <t xml:space="preserve">CPOE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BI</t>
    </r>
    <r>
      <rPr>
        <sz val="9"/>
        <rFont val="Noto Sans CJK SC"/>
        <family val="2"/>
      </rPr>
      <t xml:space="preserve">）是深化市場；</t>
    </r>
    <r>
      <rPr>
        <sz val="9"/>
        <rFont val="Microsoft JhengHei"/>
        <family val="0"/>
        <charset val="1"/>
      </rPr>
      <t xml:space="preserve">FHIR</t>
    </r>
    <r>
      <rPr>
        <sz val="9"/>
        <rFont val="Noto Sans CJK SC"/>
        <family val="2"/>
      </rPr>
      <t xml:space="preserve">無官方強制——互通策略應以接入</t>
    </r>
    <r>
      <rPr>
        <sz val="9"/>
        <rFont val="Microsoft JhengHei"/>
        <family val="0"/>
        <charset val="1"/>
      </rPr>
      <t xml:space="preserve">VNeID/</t>
    </r>
    <r>
      <rPr>
        <sz val="9"/>
        <rFont val="Noto Sans CJK SC"/>
        <family val="2"/>
      </rPr>
      <t xml:space="preserve">國家平台優先。</t>
    </r>
  </si>
  <si>
    <r>
      <rPr>
        <sz val="10"/>
        <rFont val="Microsoft JhengHei"/>
        <family val="0"/>
        <charset val="1"/>
      </rPr>
      <t xml:space="preserve">PACS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RIS</t>
    </r>
    <r>
      <rPr>
        <sz val="10"/>
        <rFont val="Noto Sans CJK SC"/>
        <family val="2"/>
      </rPr>
      <t xml:space="preserve">影像資訊系統</t>
    </r>
  </si>
  <si>
    <r>
      <rPr>
        <sz val="10"/>
        <rFont val="Microsoft JhengHei"/>
        <family val="0"/>
        <charset val="1"/>
      </rPr>
      <t xml:space="preserve">FHIR</t>
    </r>
    <r>
      <rPr>
        <sz val="10"/>
        <rFont val="Noto Sans CJK SC"/>
        <family val="2"/>
      </rPr>
      <t xml:space="preserve">互通平台與資料交換</t>
    </r>
  </si>
  <si>
    <r>
      <rPr>
        <sz val="10"/>
        <rFont val="Noto Sans CJK SC"/>
        <family val="2"/>
      </rPr>
      <t xml:space="preserve">主病人索引</t>
    </r>
    <r>
      <rPr>
        <sz val="10"/>
        <rFont val="Microsoft JhengHei"/>
        <family val="0"/>
        <charset val="1"/>
      </rPr>
      <t xml:space="preserve">(MPI)</t>
    </r>
    <r>
      <rPr>
        <sz val="10"/>
        <rFont val="Noto Sans CJK SC"/>
        <family val="2"/>
      </rPr>
      <t xml:space="preserve">與資料清理</t>
    </r>
  </si>
  <si>
    <r>
      <rPr>
        <sz val="10"/>
        <rFont val="Noto Sans CJK SC"/>
        <family val="2"/>
      </rPr>
      <t xml:space="preserve">醫院</t>
    </r>
    <r>
      <rPr>
        <sz val="10"/>
        <rFont val="Microsoft JhengHei"/>
        <family val="0"/>
        <charset val="1"/>
      </rPr>
      <t xml:space="preserve">BI</t>
    </r>
    <r>
      <rPr>
        <sz val="10"/>
        <rFont val="Noto Sans CJK SC"/>
        <family val="2"/>
      </rPr>
      <t xml:space="preserve">與營運指揮中心</t>
    </r>
  </si>
  <si>
    <r>
      <rPr>
        <sz val="10"/>
        <rFont val="Noto Sans CJK SC"/>
        <family val="2"/>
      </rPr>
      <t xml:space="preserve">影像長期歸檔</t>
    </r>
    <r>
      <rPr>
        <sz val="10"/>
        <rFont val="Microsoft JhengHei"/>
        <family val="0"/>
        <charset val="1"/>
      </rPr>
      <t xml:space="preserve">(VNA)</t>
    </r>
    <r>
      <rPr>
        <sz val="10"/>
        <rFont val="Noto Sans CJK SC"/>
        <family val="2"/>
      </rPr>
      <t xml:space="preserve">與異地備援</t>
    </r>
  </si>
  <si>
    <r>
      <rPr>
        <sz val="10"/>
        <rFont val="Noto Sans CJK SC"/>
        <family val="2"/>
      </rPr>
      <t xml:space="preserve">醫療</t>
    </r>
    <r>
      <rPr>
        <sz val="10"/>
        <rFont val="Microsoft JhengHei"/>
        <family val="0"/>
        <charset val="1"/>
      </rPr>
      <t xml:space="preserve">IT</t>
    </r>
    <r>
      <rPr>
        <sz val="10"/>
        <rFont val="Noto Sans CJK SC"/>
        <family val="2"/>
      </rPr>
      <t xml:space="preserve">代管與以租代購</t>
    </r>
  </si>
  <si>
    <r>
      <rPr>
        <sz val="10"/>
        <rFont val="Noto Sans CJK SC"/>
        <family val="2"/>
      </rPr>
      <t xml:space="preserve">結核胸片</t>
    </r>
    <r>
      <rPr>
        <sz val="10"/>
        <rFont val="Microsoft JhengHei"/>
        <family val="0"/>
        <charset val="1"/>
      </rPr>
      <t xml:space="preserve">AI</t>
    </r>
    <r>
      <rPr>
        <sz val="10"/>
        <rFont val="Noto Sans CJK SC"/>
        <family val="2"/>
      </rPr>
      <t xml:space="preserve">篩檢</t>
    </r>
    <r>
      <rPr>
        <sz val="10"/>
        <rFont val="Microsoft JhengHei"/>
        <family val="0"/>
        <charset val="1"/>
      </rPr>
      <t xml:space="preserve">(CAD)</t>
    </r>
  </si>
  <si>
    <r>
      <rPr>
        <sz val="9"/>
        <rFont val="Noto Sans CJK SC"/>
        <family val="2"/>
      </rPr>
      <t xml:space="preserve">醫療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集中於結核胸片</t>
    </r>
    <r>
      <rPr>
        <sz val="9"/>
        <rFont val="Microsoft JhengHei"/>
        <family val="0"/>
        <charset val="1"/>
      </rPr>
      <t xml:space="preserve">CAD</t>
    </r>
    <r>
      <rPr>
        <sz val="9"/>
        <rFont val="Noto Sans CJK SC"/>
        <family val="2"/>
      </rPr>
      <t xml:space="preserve">：</t>
    </r>
    <r>
      <rPr>
        <sz val="9"/>
        <rFont val="Microsoft JhengHei"/>
        <family val="0"/>
        <charset val="1"/>
      </rPr>
      <t xml:space="preserve">USAID 2020</t>
    </r>
    <r>
      <rPr>
        <sz val="9"/>
        <rFont val="Noto Sans CJK SC"/>
        <family val="2"/>
      </rPr>
      <t xml:space="preserve">年計畫、</t>
    </r>
    <r>
      <rPr>
        <sz val="9"/>
        <rFont val="Microsoft JhengHei"/>
        <family val="0"/>
        <charset val="1"/>
      </rPr>
      <t xml:space="preserve">NTP 2022</t>
    </r>
    <r>
      <rPr>
        <sz val="9"/>
        <rFont val="Noto Sans CJK SC"/>
        <family val="2"/>
      </rPr>
      <t xml:space="preserve">年標準化</t>
    </r>
    <r>
      <rPr>
        <sz val="9"/>
        <rFont val="Microsoft JhengHei"/>
        <family val="0"/>
        <charset val="1"/>
      </rPr>
      <t xml:space="preserve">CAD-first</t>
    </r>
    <r>
      <rPr>
        <sz val="9"/>
        <rFont val="Noto Sans CJK SC"/>
        <family val="2"/>
      </rPr>
      <t xml:space="preserve">流程（</t>
    </r>
    <r>
      <rPr>
        <sz val="9"/>
        <rFont val="Microsoft JhengHei"/>
        <family val="0"/>
        <charset val="1"/>
      </rPr>
      <t xml:space="preserve">qXR 3.0</t>
    </r>
    <r>
      <rPr>
        <sz val="9"/>
        <rFont val="Noto Sans CJK SC"/>
        <family val="2"/>
      </rPr>
      <t xml:space="preserve">）；</t>
    </r>
    <r>
      <rPr>
        <sz val="9"/>
        <rFont val="Microsoft JhengHei"/>
        <family val="0"/>
        <charset val="1"/>
      </rPr>
      <t xml:space="preserve">VinBrain DrAid 2022</t>
    </r>
    <r>
      <rPr>
        <sz val="9"/>
        <rFont val="Noto Sans CJK SC"/>
        <family val="2"/>
      </rPr>
      <t xml:space="preserve">年過</t>
    </r>
    <r>
      <rPr>
        <sz val="9"/>
        <rFont val="Microsoft JhengHei"/>
        <family val="0"/>
        <charset val="1"/>
      </rPr>
      <t xml:space="preserve">FDA 510(k)</t>
    </r>
    <r>
      <rPr>
        <sz val="9"/>
        <rFont val="Noto Sans CJK SC"/>
        <family val="2"/>
      </rPr>
      <t xml:space="preserve">。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醫材無專門路徑，循</t>
    </r>
    <r>
      <rPr>
        <sz val="9"/>
        <rFont val="Microsoft JhengHei"/>
        <family val="0"/>
        <charset val="1"/>
      </rPr>
      <t xml:space="preserve">Decree 98/2021</t>
    </r>
    <r>
      <rPr>
        <sz val="9"/>
        <rFont val="Noto Sans CJK SC"/>
        <family val="2"/>
      </rPr>
      <t xml:space="preserve">。</t>
    </r>
  </si>
  <si>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專法若</t>
    </r>
    <r>
      <rPr>
        <sz val="9"/>
        <rFont val="Microsoft JhengHei"/>
        <family val="0"/>
        <charset val="1"/>
      </rPr>
      <t xml:space="preserve">2026-2027</t>
    </r>
    <r>
      <rPr>
        <sz val="9"/>
        <rFont val="Noto Sans CJK SC"/>
        <family val="2"/>
      </rPr>
      <t xml:space="preserve">通過，形成「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專法＋</t>
    </r>
    <r>
      <rPr>
        <sz val="9"/>
        <rFont val="Microsoft JhengHei"/>
        <family val="0"/>
        <charset val="1"/>
      </rPr>
      <t xml:space="preserve">SaMD</t>
    </r>
    <r>
      <rPr>
        <sz val="9"/>
        <rFont val="Noto Sans CJK SC"/>
        <family val="2"/>
      </rPr>
      <t xml:space="preserve">註冊」雙軌合規，早進場者築起門檻；</t>
    </r>
    <r>
      <rPr>
        <sz val="9"/>
        <rFont val="Microsoft JhengHei"/>
        <family val="0"/>
        <charset val="1"/>
      </rPr>
      <t xml:space="preserve">USAID</t>
    </r>
    <r>
      <rPr>
        <sz val="9"/>
        <rFont val="Noto Sans CJK SC"/>
        <family val="2"/>
      </rPr>
      <t xml:space="preserve">退場後結核</t>
    </r>
    <r>
      <rPr>
        <sz val="9"/>
        <rFont val="Microsoft JhengHei"/>
        <family val="0"/>
        <charset val="1"/>
      </rPr>
      <t xml:space="preserve">CAD</t>
    </r>
    <r>
      <rPr>
        <sz val="9"/>
        <rFont val="Noto Sans CJK SC"/>
        <family val="2"/>
      </rPr>
      <t xml:space="preserve">由捐助方買單轉向政府預算；</t>
    </r>
    <r>
      <rPr>
        <sz val="9"/>
        <rFont val="Microsoft JhengHei"/>
        <family val="0"/>
        <charset val="1"/>
      </rPr>
      <t xml:space="preserve">EMR</t>
    </r>
    <r>
      <rPr>
        <sz val="9"/>
        <rFont val="Noto Sans CJK SC"/>
        <family val="2"/>
      </rPr>
      <t xml:space="preserve">全面化開啟病歷</t>
    </r>
    <r>
      <rPr>
        <sz val="9"/>
        <rFont val="Microsoft JhengHei"/>
        <family val="0"/>
        <charset val="1"/>
      </rPr>
      <t xml:space="preserve">NLP</t>
    </r>
    <r>
      <rPr>
        <sz val="9"/>
        <rFont val="Noto Sans CJK SC"/>
        <family val="2"/>
      </rPr>
      <t xml:space="preserve">、申報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、資料湖第二波。</t>
    </r>
  </si>
  <si>
    <r>
      <rPr>
        <sz val="10"/>
        <rFont val="Noto Sans CJK SC"/>
        <family val="2"/>
      </rPr>
      <t xml:space="preserve">放射影像分診</t>
    </r>
    <r>
      <rPr>
        <sz val="10"/>
        <rFont val="Microsoft JhengHei"/>
        <family val="0"/>
        <charset val="1"/>
      </rPr>
      <t xml:space="preserve">AI</t>
    </r>
    <r>
      <rPr>
        <sz val="10"/>
        <rFont val="Noto Sans CJK SC"/>
        <family val="2"/>
      </rPr>
      <t xml:space="preserve">（中風／出血／結節／骨折）</t>
    </r>
  </si>
  <si>
    <r>
      <rPr>
        <sz val="10"/>
        <rFont val="Noto Sans CJK SC"/>
        <family val="2"/>
      </rPr>
      <t xml:space="preserve">肺癌</t>
    </r>
    <r>
      <rPr>
        <sz val="10"/>
        <rFont val="Microsoft JhengHei"/>
        <family val="0"/>
        <charset val="1"/>
      </rPr>
      <t xml:space="preserve">CT</t>
    </r>
    <r>
      <rPr>
        <sz val="10"/>
        <rFont val="Noto Sans CJK SC"/>
        <family val="2"/>
      </rPr>
      <t xml:space="preserve">早篩</t>
    </r>
    <r>
      <rPr>
        <sz val="10"/>
        <rFont val="Microsoft JhengHei"/>
        <family val="0"/>
        <charset val="1"/>
      </rPr>
      <t xml:space="preserve">AI</t>
    </r>
  </si>
  <si>
    <r>
      <rPr>
        <sz val="10"/>
        <rFont val="Noto Sans CJK SC"/>
        <family val="2"/>
      </rPr>
      <t xml:space="preserve">內視鏡</t>
    </r>
    <r>
      <rPr>
        <sz val="10"/>
        <rFont val="Microsoft JhengHei"/>
        <family val="0"/>
        <charset val="1"/>
      </rPr>
      <t xml:space="preserve">AI</t>
    </r>
    <r>
      <rPr>
        <sz val="10"/>
        <rFont val="Noto Sans CJK SC"/>
        <family val="2"/>
      </rPr>
      <t xml:space="preserve">息肉偵測</t>
    </r>
  </si>
  <si>
    <r>
      <rPr>
        <sz val="10"/>
        <rFont val="Noto Sans CJK SC"/>
        <family val="2"/>
      </rPr>
      <t xml:space="preserve">糖尿病視網膜病變</t>
    </r>
    <r>
      <rPr>
        <sz val="10"/>
        <rFont val="Microsoft JhengHei"/>
        <family val="0"/>
        <charset val="1"/>
      </rPr>
      <t xml:space="preserve">AI</t>
    </r>
    <r>
      <rPr>
        <sz val="10"/>
        <rFont val="Noto Sans CJK SC"/>
        <family val="2"/>
      </rPr>
      <t xml:space="preserve">篩檢</t>
    </r>
  </si>
  <si>
    <r>
      <rPr>
        <sz val="10"/>
        <rFont val="Noto Sans CJK SC"/>
        <family val="2"/>
      </rPr>
      <t xml:space="preserve">病理數位化與</t>
    </r>
    <r>
      <rPr>
        <sz val="10"/>
        <rFont val="Microsoft JhengHei"/>
        <family val="0"/>
        <charset val="1"/>
      </rPr>
      <t xml:space="preserve">AI</t>
    </r>
    <r>
      <rPr>
        <sz val="10"/>
        <rFont val="Noto Sans CJK SC"/>
        <family val="2"/>
      </rPr>
      <t xml:space="preserve">判讀</t>
    </r>
  </si>
  <si>
    <r>
      <rPr>
        <sz val="10"/>
        <rFont val="Noto Sans CJK SC"/>
        <family val="2"/>
      </rPr>
      <t xml:space="preserve">越南語</t>
    </r>
    <r>
      <rPr>
        <sz val="10"/>
        <rFont val="Microsoft JhengHei"/>
        <family val="0"/>
        <charset val="1"/>
      </rPr>
      <t xml:space="preserve">AI</t>
    </r>
    <r>
      <rPr>
        <sz val="10"/>
        <rFont val="Noto Sans CJK SC"/>
        <family val="2"/>
      </rPr>
      <t xml:space="preserve">病歷書寫助理</t>
    </r>
  </si>
  <si>
    <r>
      <rPr>
        <sz val="10"/>
        <rFont val="Noto Sans CJK SC"/>
        <family val="2"/>
      </rPr>
      <t xml:space="preserve">健保申報</t>
    </r>
    <r>
      <rPr>
        <sz val="10"/>
        <rFont val="Microsoft JhengHei"/>
        <family val="0"/>
        <charset val="1"/>
      </rPr>
      <t xml:space="preserve">AI</t>
    </r>
    <r>
      <rPr>
        <sz val="10"/>
        <rFont val="Noto Sans CJK SC"/>
        <family val="2"/>
      </rPr>
      <t xml:space="preserve">審核與拒付管理</t>
    </r>
  </si>
  <si>
    <r>
      <rPr>
        <sz val="10"/>
        <rFont val="Noto Sans CJK SC"/>
        <family val="2"/>
      </rPr>
      <t xml:space="preserve">病床病人流</t>
    </r>
    <r>
      <rPr>
        <sz val="10"/>
        <rFont val="Microsoft JhengHei"/>
        <family val="0"/>
        <charset val="1"/>
      </rPr>
      <t xml:space="preserve">AI</t>
    </r>
    <r>
      <rPr>
        <sz val="10"/>
        <rFont val="Noto Sans CJK SC"/>
        <family val="2"/>
      </rPr>
      <t xml:space="preserve">與手術室排程優化</t>
    </r>
  </si>
  <si>
    <r>
      <rPr>
        <sz val="10"/>
        <rFont val="Noto Sans CJK SC"/>
        <family val="2"/>
      </rPr>
      <t xml:space="preserve">藥品耗材需求預測</t>
    </r>
    <r>
      <rPr>
        <sz val="10"/>
        <rFont val="Microsoft JhengHei"/>
        <family val="0"/>
        <charset val="1"/>
      </rPr>
      <t xml:space="preserve">AI</t>
    </r>
  </si>
  <si>
    <r>
      <rPr>
        <sz val="10"/>
        <rFont val="Noto Sans CJK SC"/>
        <family val="2"/>
      </rPr>
      <t xml:space="preserve">設備預測維護與能耗優化</t>
    </r>
    <r>
      <rPr>
        <sz val="10"/>
        <rFont val="Microsoft JhengHei"/>
        <family val="0"/>
        <charset val="1"/>
      </rPr>
      <t xml:space="preserve">AI</t>
    </r>
  </si>
  <si>
    <r>
      <rPr>
        <sz val="10"/>
        <rFont val="Noto Sans CJK SC"/>
        <family val="2"/>
      </rPr>
      <t xml:space="preserve">敗血症與病情惡化預警</t>
    </r>
    <r>
      <rPr>
        <sz val="10"/>
        <rFont val="Microsoft JhengHei"/>
        <family val="0"/>
        <charset val="1"/>
      </rPr>
      <t xml:space="preserve">AI</t>
    </r>
  </si>
  <si>
    <r>
      <rPr>
        <sz val="10"/>
        <rFont val="Noto Sans CJK SC"/>
        <family val="2"/>
      </rPr>
      <t xml:space="preserve">院內</t>
    </r>
    <r>
      <rPr>
        <sz val="10"/>
        <rFont val="Microsoft JhengHei"/>
        <family val="0"/>
        <charset val="1"/>
      </rPr>
      <t xml:space="preserve">GPU</t>
    </r>
    <r>
      <rPr>
        <sz val="10"/>
        <rFont val="Noto Sans CJK SC"/>
        <family val="2"/>
      </rPr>
      <t xml:space="preserve">與邊緣推論基礎設施</t>
    </r>
  </si>
  <si>
    <r>
      <rPr>
        <sz val="10"/>
        <rFont val="Noto Sans CJK SC"/>
        <family val="2"/>
      </rPr>
      <t xml:space="preserve">醫院資料湖、去識別化與</t>
    </r>
    <r>
      <rPr>
        <sz val="10"/>
        <rFont val="Microsoft JhengHei"/>
        <family val="0"/>
        <charset val="1"/>
      </rPr>
      <t xml:space="preserve">AI</t>
    </r>
    <r>
      <rPr>
        <sz val="10"/>
        <rFont val="Noto Sans CJK SC"/>
        <family val="2"/>
      </rPr>
      <t xml:space="preserve">訓練資料層</t>
    </r>
  </si>
  <si>
    <r>
      <rPr>
        <sz val="10"/>
        <rFont val="Noto Sans CJK SC"/>
        <family val="2"/>
      </rPr>
      <t xml:space="preserve">醫療</t>
    </r>
    <r>
      <rPr>
        <sz val="10"/>
        <rFont val="Microsoft JhengHei"/>
        <family val="0"/>
        <charset val="1"/>
      </rPr>
      <t xml:space="preserve">AI</t>
    </r>
    <r>
      <rPr>
        <sz val="10"/>
        <rFont val="Noto Sans CJK SC"/>
        <family val="2"/>
      </rPr>
      <t xml:space="preserve">法規登記、在地驗證與模型治理</t>
    </r>
  </si>
  <si>
    <r>
      <rPr>
        <sz val="10"/>
        <rFont val="Microsoft JhengHei"/>
        <family val="0"/>
        <charset val="1"/>
      </rPr>
      <t xml:space="preserve">JCI</t>
    </r>
    <r>
      <rPr>
        <sz val="10"/>
        <rFont val="Noto Sans CJK SC"/>
        <family val="2"/>
      </rPr>
      <t xml:space="preserve">品質認證與病安體系導入</t>
    </r>
  </si>
  <si>
    <r>
      <rPr>
        <sz val="9"/>
        <rFont val="Microsoft JhengHei"/>
        <family val="0"/>
        <charset val="1"/>
      </rPr>
      <t xml:space="preserve">JCI</t>
    </r>
    <r>
      <rPr>
        <sz val="9"/>
        <rFont val="Noto Sans CJK SC"/>
        <family val="2"/>
      </rPr>
      <t xml:space="preserve">由私立開端：</t>
    </r>
    <r>
      <rPr>
        <sz val="9"/>
        <rFont val="Microsoft JhengHei"/>
        <family val="0"/>
        <charset val="1"/>
      </rPr>
      <t xml:space="preserve">Vinmec Times City 2015</t>
    </r>
    <r>
      <rPr>
        <sz val="9"/>
        <rFont val="Noto Sans CJK SC"/>
        <family val="2"/>
      </rPr>
      <t xml:space="preserve">年越南首家、</t>
    </r>
    <r>
      <rPr>
        <sz val="9"/>
        <rFont val="Microsoft JhengHei"/>
        <family val="0"/>
        <charset val="1"/>
      </rPr>
      <t xml:space="preserve">FV 2016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Hạnh Phúc 2019</t>
    </r>
    <r>
      <rPr>
        <sz val="9"/>
        <rFont val="Noto Sans CJK SC"/>
        <family val="2"/>
      </rPr>
      <t xml:space="preserve">（第</t>
    </r>
    <r>
      <rPr>
        <sz val="9"/>
        <rFont val="Microsoft JhengHei"/>
        <family val="0"/>
        <charset val="1"/>
      </rPr>
      <t xml:space="preserve">4</t>
    </r>
    <r>
      <rPr>
        <sz val="9"/>
        <rFont val="Noto Sans CJK SC"/>
        <family val="2"/>
      </rPr>
      <t xml:space="preserve">家）；公立掛零。</t>
    </r>
    <r>
      <rPr>
        <sz val="9"/>
        <rFont val="Microsoft JhengHei"/>
        <family val="0"/>
        <charset val="1"/>
      </rPr>
      <t xml:space="preserve">ISO 15189</t>
    </r>
    <r>
      <rPr>
        <sz val="9"/>
        <rFont val="Noto Sans CJK SC"/>
        <family val="2"/>
      </rPr>
      <t xml:space="preserve">：</t>
    </r>
    <r>
      <rPr>
        <sz val="9"/>
        <rFont val="Microsoft JhengHei"/>
        <family val="0"/>
        <charset val="1"/>
      </rPr>
      <t xml:space="preserve">BoA</t>
    </r>
    <r>
      <rPr>
        <sz val="9"/>
        <rFont val="Noto Sans CJK SC"/>
        <family val="2"/>
      </rPr>
      <t xml:space="preserve">的</t>
    </r>
    <r>
      <rPr>
        <sz val="9"/>
        <rFont val="Microsoft JhengHei"/>
        <family val="0"/>
        <charset val="1"/>
      </rPr>
      <t xml:space="preserve">VILAS Med 2008</t>
    </r>
    <r>
      <rPr>
        <sz val="9"/>
        <rFont val="Noto Sans CJK SC"/>
        <family val="2"/>
      </rPr>
      <t xml:space="preserve">年設立、</t>
    </r>
    <r>
      <rPr>
        <sz val="9"/>
        <rFont val="Microsoft JhengHei"/>
        <family val="0"/>
        <charset val="1"/>
      </rPr>
      <t xml:space="preserve">2012</t>
    </r>
    <r>
      <rPr>
        <sz val="9"/>
        <rFont val="Noto Sans CJK SC"/>
        <family val="2"/>
      </rPr>
      <t xml:space="preserve">年入</t>
    </r>
    <r>
      <rPr>
        <sz val="9"/>
        <rFont val="Microsoft JhengHei"/>
        <family val="0"/>
        <charset val="1"/>
      </rPr>
      <t xml:space="preserve">ILAC MRA</t>
    </r>
    <r>
      <rPr>
        <sz val="9"/>
        <rFont val="Noto Sans CJK SC"/>
        <family val="2"/>
      </rPr>
      <t xml:space="preserve">。</t>
    </r>
  </si>
  <si>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年目標</t>
    </r>
    <r>
      <rPr>
        <sz val="9"/>
        <rFont val="Microsoft JhengHei"/>
        <family val="0"/>
        <charset val="1"/>
      </rPr>
      <t xml:space="preserve">15-20</t>
    </r>
    <r>
      <rPr>
        <sz val="9"/>
        <rFont val="Noto Sans CJK SC"/>
        <family val="2"/>
      </rPr>
      <t xml:space="preserve">家</t>
    </r>
    <r>
      <rPr>
        <sz val="9"/>
        <rFont val="Microsoft JhengHei"/>
        <family val="0"/>
        <charset val="1"/>
      </rPr>
      <t xml:space="preserve">JCI</t>
    </r>
    <r>
      <rPr>
        <sz val="9"/>
        <rFont val="Noto Sans CJK SC"/>
        <family val="2"/>
      </rPr>
      <t xml:space="preserve">或同等國際標準醫院（含至少</t>
    </r>
    <r>
      <rPr>
        <sz val="9"/>
        <rFont val="Microsoft JhengHei"/>
        <family val="0"/>
        <charset val="1"/>
      </rPr>
      <t xml:space="preserve">5</t>
    </r>
    <r>
      <rPr>
        <sz val="9"/>
        <rFont val="Noto Sans CJK SC"/>
        <family val="2"/>
      </rPr>
      <t xml:space="preserve">家公立）——認證輔導從私立差異化工具變成公立旗艦政策任務。</t>
    </r>
    <r>
      <rPr>
        <sz val="9"/>
        <rFont val="Microsoft JhengHei"/>
        <family val="0"/>
        <charset val="1"/>
      </rPr>
      <t xml:space="preserve">2027</t>
    </r>
    <r>
      <rPr>
        <sz val="9"/>
        <rFont val="Noto Sans CJK SC"/>
        <family val="2"/>
      </rPr>
      <t xml:space="preserve">國考催生考前培訓、題庫、</t>
    </r>
    <r>
      <rPr>
        <sz val="9"/>
        <rFont val="Microsoft JhengHei"/>
        <family val="0"/>
        <charset val="1"/>
      </rPr>
      <t xml:space="preserve">OSCE/</t>
    </r>
    <r>
      <rPr>
        <sz val="9"/>
        <rFont val="Noto Sans CJK SC"/>
        <family val="2"/>
      </rPr>
      <t xml:space="preserve">模擬產業鏈；護理</t>
    </r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年缺</t>
    </r>
    <r>
      <rPr>
        <sz val="9"/>
        <rFont val="Microsoft JhengHei"/>
        <family val="0"/>
        <charset val="1"/>
      </rPr>
      <t xml:space="preserve">5</t>
    </r>
    <r>
      <rPr>
        <sz val="9"/>
        <rFont val="Noto Sans CJK SC"/>
        <family val="2"/>
      </rPr>
      <t xml:space="preserve">萬人。</t>
    </r>
  </si>
  <si>
    <r>
      <rPr>
        <sz val="10"/>
        <rFont val="Microsoft JhengHei"/>
        <family val="0"/>
        <charset val="1"/>
      </rPr>
      <t xml:space="preserve">ISO 15189</t>
    </r>
    <r>
      <rPr>
        <sz val="10"/>
        <rFont val="Noto Sans CJK SC"/>
        <family val="2"/>
      </rPr>
      <t xml:space="preserve">檢驗室認證輔導</t>
    </r>
  </si>
  <si>
    <r>
      <rPr>
        <sz val="10"/>
        <rFont val="Noto Sans CJK SC"/>
        <family val="2"/>
      </rPr>
      <t xml:space="preserve">院內物流</t>
    </r>
    <r>
      <rPr>
        <sz val="10"/>
        <rFont val="Microsoft JhengHei"/>
        <family val="0"/>
        <charset val="1"/>
      </rPr>
      <t xml:space="preserve">SPD</t>
    </r>
    <r>
      <rPr>
        <sz val="10"/>
        <rFont val="Noto Sans CJK SC"/>
        <family val="2"/>
      </rPr>
      <t xml:space="preserve">委外</t>
    </r>
  </si>
  <si>
    <r>
      <rPr>
        <sz val="9"/>
        <rFont val="Noto Sans CJK SC"/>
        <family val="2"/>
      </rPr>
      <t xml:space="preserve">醫院後勤委外以低價零散外包為主；</t>
    </r>
    <r>
      <rPr>
        <sz val="9"/>
        <rFont val="Microsoft JhengHei"/>
        <family val="0"/>
        <charset val="1"/>
      </rPr>
      <t xml:space="preserve">COVID</t>
    </r>
    <r>
      <rPr>
        <sz val="9"/>
        <rFont val="Noto Sans CJK SC"/>
        <family val="2"/>
      </rPr>
      <t xml:space="preserve">暴露醫廢量能極端錯配（全國焚化使用率</t>
    </r>
    <r>
      <rPr>
        <sz val="9"/>
        <rFont val="Microsoft JhengHei"/>
        <family val="0"/>
        <charset val="1"/>
      </rPr>
      <t xml:space="preserve">7.4% vs </t>
    </r>
    <r>
      <rPr>
        <sz val="9"/>
        <rFont val="Noto Sans CJK SC"/>
        <family val="2"/>
      </rPr>
      <t xml:space="preserve">胡志明尖峰</t>
    </r>
    <r>
      <rPr>
        <sz val="9"/>
        <rFont val="Microsoft JhengHei"/>
        <family val="0"/>
        <charset val="1"/>
      </rPr>
      <t xml:space="preserve">780%</t>
    </r>
    <r>
      <rPr>
        <sz val="9"/>
        <rFont val="Noto Sans CJK SC"/>
        <family val="2"/>
      </rPr>
      <t xml:space="preserve">）。</t>
    </r>
  </si>
  <si>
    <r>
      <rPr>
        <sz val="9"/>
        <rFont val="Noto Sans CJK SC"/>
        <family val="2"/>
      </rPr>
      <t xml:space="preserve">私立連鎖擴張率先採納整合供應鏈與委外維運；醫廢處理隨環境規範翻新（</t>
    </r>
    <r>
      <rPr>
        <sz val="9"/>
        <rFont val="Microsoft JhengHei"/>
        <family val="0"/>
        <charset val="1"/>
      </rPr>
      <t xml:space="preserve">QCVN 40:2025</t>
    </r>
    <r>
      <rPr>
        <sz val="9"/>
        <rFont val="Noto Sans CJK SC"/>
        <family val="2"/>
      </rPr>
      <t xml:space="preserve">訊號）走向合規化；進入者需自建市場情報。</t>
    </r>
  </si>
  <si>
    <r>
      <rPr>
        <sz val="10"/>
        <rFont val="Noto Sans CJK SC"/>
        <family val="2"/>
      </rPr>
      <t xml:space="preserve">消毒供應外包（區域</t>
    </r>
    <r>
      <rPr>
        <sz val="10"/>
        <rFont val="Microsoft JhengHei"/>
        <family val="0"/>
        <charset val="1"/>
      </rPr>
      <t xml:space="preserve">CSSD</t>
    </r>
    <r>
      <rPr>
        <sz val="10"/>
        <rFont val="Noto Sans CJK SC"/>
        <family val="2"/>
      </rPr>
      <t xml:space="preserve">服務化）</t>
    </r>
  </si>
  <si>
    <r>
      <rPr>
        <sz val="10"/>
        <rFont val="Noto Sans CJK SC"/>
        <family val="2"/>
      </rPr>
      <t xml:space="preserve">醫材維運與託管服務</t>
    </r>
    <r>
      <rPr>
        <sz val="10"/>
        <rFont val="Microsoft JhengHei"/>
        <family val="0"/>
        <charset val="1"/>
      </rPr>
      <t xml:space="preserve">(MES)</t>
    </r>
  </si>
  <si>
    <r>
      <rPr>
        <sz val="10"/>
        <rFont val="Noto Sans CJK SC"/>
        <family val="2"/>
      </rPr>
      <t xml:space="preserve">醫院設施管理委外（醫療級</t>
    </r>
    <r>
      <rPr>
        <sz val="10"/>
        <rFont val="Microsoft JhengHei"/>
        <family val="0"/>
        <charset val="1"/>
      </rPr>
      <t xml:space="preserve">FM</t>
    </r>
    <r>
      <rPr>
        <sz val="10"/>
        <rFont val="Noto Sans CJK SC"/>
        <family val="2"/>
      </rPr>
      <t xml:space="preserve">）</t>
    </r>
  </si>
  <si>
    <r>
      <rPr>
        <sz val="9"/>
        <rFont val="Noto Sans CJK SC"/>
        <family val="2"/>
      </rPr>
      <t xml:space="preserve">民營集團完成初步佈局但普遍增收不增利（</t>
    </r>
    <r>
      <rPr>
        <sz val="9"/>
        <rFont val="Microsoft JhengHei"/>
        <family val="0"/>
        <charset val="1"/>
      </rPr>
      <t xml:space="preserve">Vinmec 2022</t>
    </r>
    <r>
      <rPr>
        <sz val="9"/>
        <rFont val="Noto Sans CJK SC"/>
        <family val="2"/>
      </rPr>
      <t xml:space="preserve">年營收</t>
    </r>
    <r>
      <rPr>
        <sz val="9"/>
        <rFont val="Microsoft JhengHei"/>
        <family val="0"/>
        <charset val="1"/>
      </rPr>
      <t xml:space="preserve">+53%</t>
    </r>
    <r>
      <rPr>
        <sz val="9"/>
        <rFont val="Noto Sans CJK SC"/>
        <family val="2"/>
      </rPr>
      <t xml:space="preserve">仍虧損）；洗腎幾乎全在公立、三四班連開；</t>
    </r>
    <r>
      <rPr>
        <sz val="9"/>
        <rFont val="Microsoft JhengHei"/>
        <family val="0"/>
        <charset val="1"/>
      </rPr>
      <t xml:space="preserve">IVF</t>
    </r>
    <r>
      <rPr>
        <sz val="9"/>
        <rFont val="Noto Sans CJK SC"/>
        <family val="2"/>
      </rPr>
      <t xml:space="preserve">自</t>
    </r>
    <r>
      <rPr>
        <sz val="9"/>
        <rFont val="Microsoft JhengHei"/>
        <family val="0"/>
        <charset val="1"/>
      </rPr>
      <t xml:space="preserve">1998</t>
    </r>
    <r>
      <rPr>
        <sz val="9"/>
        <rFont val="Noto Sans CJK SC"/>
        <family val="2"/>
      </rPr>
      <t xml:space="preserve">年首例後快速民主化。</t>
    </r>
  </si>
  <si>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年私立床位</t>
    </r>
    <r>
      <rPr>
        <sz val="9"/>
        <rFont val="Microsoft JhengHei"/>
        <family val="0"/>
        <charset val="1"/>
      </rPr>
      <t xml:space="preserve">15%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2050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25%</t>
    </r>
    <r>
      <rPr>
        <sz val="9"/>
        <rFont val="Noto Sans CJK SC"/>
        <family val="2"/>
      </rPr>
      <t xml:space="preserve">）給民營照護官方成長軌道；透析連鎖可複製泰國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印尼模式；長照</t>
    </r>
    <r>
      <rPr>
        <sz val="9"/>
        <rFont val="Microsoft JhengHei"/>
        <family val="0"/>
        <charset val="1"/>
      </rPr>
      <t xml:space="preserve">2026-2030</t>
    </r>
    <r>
      <rPr>
        <sz val="9"/>
        <rFont val="Noto Sans CJK SC"/>
        <family val="2"/>
      </rPr>
      <t xml:space="preserve">處「政策空窗＋自費先行」；輕人力模式（檢驗外包、健檢、</t>
    </r>
    <r>
      <rPr>
        <sz val="9"/>
        <rFont val="Microsoft JhengHei"/>
        <family val="0"/>
        <charset val="1"/>
      </rPr>
      <t xml:space="preserve">RPM</t>
    </r>
    <r>
      <rPr>
        <sz val="9"/>
        <rFont val="Noto Sans CJK SC"/>
        <family val="2"/>
      </rPr>
      <t xml:space="preserve">、日間手術）相對有利。</t>
    </r>
  </si>
  <si>
    <r>
      <rPr>
        <sz val="10"/>
        <rFont val="Noto Sans CJK SC"/>
        <family val="2"/>
      </rPr>
      <t xml:space="preserve">日間手術中心</t>
    </r>
    <r>
      <rPr>
        <sz val="10"/>
        <rFont val="Microsoft JhengHei"/>
        <family val="0"/>
        <charset val="1"/>
      </rPr>
      <t xml:space="preserve">(ASC)</t>
    </r>
  </si>
  <si>
    <r>
      <rPr>
        <sz val="10"/>
        <rFont val="Noto Sans CJK SC"/>
        <family val="2"/>
      </rPr>
      <t xml:space="preserve">生殖醫學</t>
    </r>
    <r>
      <rPr>
        <sz val="10"/>
        <rFont val="Microsoft JhengHei"/>
        <family val="0"/>
        <charset val="1"/>
      </rPr>
      <t xml:space="preserve">(IVF)</t>
    </r>
    <r>
      <rPr>
        <sz val="10"/>
        <rFont val="Noto Sans CJK SC"/>
        <family val="2"/>
      </rPr>
      <t xml:space="preserve">連鎖</t>
    </r>
  </si>
  <si>
    <r>
      <rPr>
        <sz val="10"/>
        <rFont val="Noto Sans CJK SC"/>
        <family val="2"/>
      </rPr>
      <t xml:space="preserve">病人</t>
    </r>
    <r>
      <rPr>
        <sz val="10"/>
        <rFont val="Microsoft JhengHei"/>
        <family val="0"/>
        <charset val="1"/>
      </rPr>
      <t xml:space="preserve">App</t>
    </r>
    <r>
      <rPr>
        <sz val="10"/>
        <rFont val="Noto Sans CJK SC"/>
        <family val="2"/>
      </rPr>
      <t xml:space="preserve">、無現金支付與報到機</t>
    </r>
  </si>
  <si>
    <r>
      <rPr>
        <sz val="9"/>
        <rFont val="Noto Sans CJK SC"/>
        <family val="2"/>
      </rPr>
      <t xml:space="preserve">無現金繳費</t>
    </r>
    <r>
      <rPr>
        <sz val="9"/>
        <rFont val="Microsoft JhengHei"/>
        <family val="0"/>
        <charset val="1"/>
      </rPr>
      <t xml:space="preserve">2019</t>
    </r>
    <r>
      <rPr>
        <sz val="9"/>
        <rFont val="Noto Sans CJK SC"/>
        <family val="2"/>
      </rPr>
      <t xml:space="preserve">年起政策推動（</t>
    </r>
    <r>
      <rPr>
        <sz val="9"/>
        <rFont val="Microsoft JhengHei"/>
        <family val="0"/>
        <charset val="1"/>
      </rPr>
      <t xml:space="preserve">02/NQ-CP→12/CT-BYT</t>
    </r>
    <r>
      <rPr>
        <sz val="9"/>
        <rFont val="Noto Sans CJK SC"/>
        <family val="2"/>
      </rPr>
      <t xml:space="preserve">）；出境就醫</t>
    </r>
    <r>
      <rPr>
        <sz val="9"/>
        <rFont val="Microsoft JhengHei"/>
        <family val="0"/>
        <charset val="1"/>
      </rPr>
      <t xml:space="preserve">2018</t>
    </r>
    <r>
      <rPr>
        <sz val="9"/>
        <rFont val="Noto Sans CJK SC"/>
        <family val="2"/>
      </rPr>
      <t xml:space="preserve">年估約</t>
    </r>
    <r>
      <rPr>
        <sz val="9"/>
        <rFont val="Microsoft JhengHei"/>
        <family val="0"/>
        <charset val="1"/>
      </rPr>
      <t xml:space="preserve">10</t>
    </r>
    <r>
      <rPr>
        <sz val="9"/>
        <rFont val="Noto Sans CJK SC"/>
        <family val="2"/>
      </rPr>
      <t xml:space="preserve">億美元（官方承認難統計）；</t>
    </r>
    <r>
      <rPr>
        <sz val="9"/>
        <rFont val="Microsoft JhengHei"/>
        <family val="0"/>
        <charset val="1"/>
      </rPr>
      <t xml:space="preserve">BHYT</t>
    </r>
    <r>
      <rPr>
        <sz val="9"/>
        <rFont val="Noto Sans CJK SC"/>
        <family val="2"/>
      </rPr>
      <t xml:space="preserve">覆蓋率</t>
    </r>
    <r>
      <rPr>
        <sz val="9"/>
        <rFont val="Microsoft JhengHei"/>
        <family val="0"/>
        <charset val="1"/>
      </rPr>
      <t xml:space="preserve">2015</t>
    </r>
    <r>
      <rPr>
        <sz val="9"/>
        <rFont val="Noto Sans CJK SC"/>
        <family val="2"/>
      </rPr>
      <t xml:space="preserve">年約</t>
    </r>
    <r>
      <rPr>
        <sz val="9"/>
        <rFont val="Microsoft JhengHei"/>
        <family val="0"/>
        <charset val="1"/>
      </rPr>
      <t xml:space="preserve">75%</t>
    </r>
    <r>
      <rPr>
        <sz val="9"/>
        <rFont val="Noto Sans CJK SC"/>
        <family val="2"/>
      </rPr>
      <t xml:space="preserve">起步。</t>
    </r>
  </si>
  <si>
    <r>
      <rPr>
        <sz val="9"/>
        <rFont val="Noto Sans CJK SC"/>
        <family val="2"/>
      </rPr>
      <t xml:space="preserve">醫療觀光</t>
    </r>
    <r>
      <rPr>
        <sz val="9"/>
        <rFont val="Microsoft JhengHei"/>
        <family val="0"/>
        <charset val="1"/>
      </rPr>
      <t xml:space="preserve">2026-2030</t>
    </r>
    <r>
      <rPr>
        <sz val="9"/>
        <rFont val="Noto Sans CJK SC"/>
        <family val="2"/>
      </rPr>
      <t xml:space="preserve">計畫：</t>
    </r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年</t>
    </r>
    <r>
      <rPr>
        <sz val="9"/>
        <rFont val="Microsoft JhengHei"/>
        <family val="0"/>
        <charset val="1"/>
      </rPr>
      <t xml:space="preserve">75</t>
    </r>
    <r>
      <rPr>
        <sz val="9"/>
        <rFont val="Noto Sans CJK SC"/>
        <family val="2"/>
      </rPr>
      <t xml:space="preserve">萬國際醫療旅客、直接收入</t>
    </r>
    <r>
      <rPr>
        <sz val="9"/>
        <rFont val="Microsoft JhengHei"/>
        <family val="0"/>
        <charset val="1"/>
      </rPr>
      <t xml:space="preserve">10</t>
    </r>
    <r>
      <rPr>
        <sz val="9"/>
        <rFont val="Noto Sans CJK SC"/>
        <family val="2"/>
      </rPr>
      <t xml:space="preserve">億美元（</t>
    </r>
    <r>
      <rPr>
        <sz val="9"/>
        <rFont val="Microsoft JhengHei"/>
        <family val="0"/>
        <charset val="1"/>
      </rPr>
      <t xml:space="preserve">2026-2028</t>
    </r>
    <r>
      <rPr>
        <sz val="9"/>
        <rFont val="Noto Sans CJK SC"/>
        <family val="2"/>
      </rPr>
      <t xml:space="preserve">五城市試點）。</t>
    </r>
    <r>
      <rPr>
        <sz val="9"/>
        <rFont val="Microsoft JhengHei"/>
        <family val="0"/>
        <charset val="1"/>
      </rPr>
      <t xml:space="preserve">DRG</t>
    </r>
    <r>
      <rPr>
        <sz val="9"/>
        <rFont val="Noto Sans CJK SC"/>
        <family val="2"/>
      </rPr>
      <t xml:space="preserve">若落地，醫院成本核算能力從加分項變生存項；商保直付與</t>
    </r>
    <r>
      <rPr>
        <sz val="9"/>
        <rFont val="Microsoft JhengHei"/>
        <family val="0"/>
        <charset val="1"/>
      </rPr>
      <t xml:space="preserve">TPA</t>
    </r>
    <r>
      <rPr>
        <sz val="9"/>
        <rFont val="Noto Sans CJK SC"/>
        <family val="2"/>
      </rPr>
      <t xml:space="preserve">市場擴大。</t>
    </r>
  </si>
  <si>
    <r>
      <rPr>
        <b val="true"/>
        <sz val="15"/>
        <color rgb="FF1F3864"/>
        <rFont val="Microsoft JhengHei"/>
        <family val="0"/>
        <charset val="1"/>
      </rPr>
      <t xml:space="preserve">20</t>
    </r>
    <r>
      <rPr>
        <b val="true"/>
        <sz val="15"/>
        <color rgb="FF1F3864"/>
        <rFont val="Noto Sans CJK SC"/>
        <family val="2"/>
      </rPr>
      <t xml:space="preserve">　能力趨勢｜</t>
    </r>
    <r>
      <rPr>
        <b val="true"/>
        <sz val="15"/>
        <color rgb="FF1F3864"/>
        <rFont val="Microsoft JhengHei"/>
        <family val="0"/>
        <charset val="1"/>
      </rPr>
      <t xml:space="preserve">60 </t>
    </r>
    <r>
      <rPr>
        <b val="true"/>
        <sz val="15"/>
        <color rgb="FF1F3864"/>
        <rFont val="Noto Sans CJK SC"/>
        <family val="2"/>
      </rPr>
      <t xml:space="preserve">項能力的過去、現在、未來</t>
    </r>
  </si>
  <si>
    <r>
      <rPr>
        <sz val="10"/>
        <color rgb="FF6B7280"/>
        <rFont val="Noto Sans CJK SC"/>
        <family val="2"/>
      </rPr>
      <t xml:space="preserve">❓這頁在回答：這項能力在越南有沒有法規要求、有沒有人在做、我們該補什麼？　★ 信心 </t>
    </r>
    <r>
      <rPr>
        <sz val="10"/>
        <color rgb="FF6B7280"/>
        <rFont val="Microsoft JhengHei"/>
        <family val="0"/>
        <charset val="1"/>
      </rPr>
      <t xml:space="preserve">C </t>
    </r>
    <r>
      <rPr>
        <sz val="10"/>
        <color rgb="FF6B7280"/>
        <rFont val="Noto Sans CJK SC"/>
        <family val="2"/>
      </rPr>
      <t xml:space="preserve">不是缺陷——代表那是沒有公開統計的早期市場，要自建情報。</t>
    </r>
  </si>
  <si>
    <r>
      <rPr>
        <sz val="9"/>
        <rFont val="Noto Sans CJK SC"/>
        <family val="2"/>
      </rPr>
      <t xml:space="preserve">自主化＋社會化路徑：</t>
    </r>
    <r>
      <rPr>
        <sz val="9"/>
        <rFont val="Microsoft JhengHei"/>
        <family val="0"/>
        <charset val="1"/>
      </rPr>
      <t xml:space="preserve">Decree 43/2006</t>
    </r>
    <r>
      <rPr>
        <sz val="9"/>
        <rFont val="Noto Sans CJK SC"/>
        <family val="2"/>
      </rPr>
      <t xml:space="preserve">、</t>
    </r>
    <r>
      <rPr>
        <sz val="9"/>
        <rFont val="Microsoft JhengHei"/>
        <family val="0"/>
        <charset val="1"/>
      </rPr>
      <t xml:space="preserve">85/2012</t>
    </r>
    <r>
      <rPr>
        <sz val="9"/>
        <rFont val="Noto Sans CJK SC"/>
        <family val="2"/>
      </rPr>
      <t xml:space="preserve">下放財務自主，但缺透明治理，</t>
    </r>
    <r>
      <rPr>
        <sz val="9"/>
        <rFont val="Microsoft JhengHei"/>
        <family val="0"/>
        <charset val="1"/>
      </rPr>
      <t xml:space="preserve">2019-2022</t>
    </r>
    <r>
      <rPr>
        <sz val="9"/>
        <rFont val="Noto Sans CJK SC"/>
        <family val="2"/>
      </rPr>
      <t xml:space="preserve">多起設備合資弊案。</t>
    </r>
  </si>
  <si>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私立</t>
    </r>
    <r>
      <rPr>
        <sz val="9"/>
        <rFont val="Microsoft JhengHei"/>
        <family val="0"/>
        <charset val="1"/>
      </rPr>
      <t xml:space="preserve">15%</t>
    </r>
    <r>
      <rPr>
        <sz val="9"/>
        <rFont val="Noto Sans CJK SC"/>
        <family val="2"/>
      </rPr>
      <t xml:space="preserve">目標下授權框架持續鬆綁；</t>
    </r>
    <r>
      <rPr>
        <sz val="9"/>
        <rFont val="Microsoft JhengHei"/>
        <family val="0"/>
        <charset val="1"/>
      </rPr>
      <t xml:space="preserve">PPP</t>
    </r>
    <r>
      <rPr>
        <sz val="9"/>
        <rFont val="Noto Sans CJK SC"/>
        <family val="2"/>
      </rPr>
      <t xml:space="preserve">案源自專科中心與後勤服務小案起步；</t>
    </r>
    <r>
      <rPr>
        <sz val="9"/>
        <rFont val="Microsoft JhengHei"/>
        <family val="0"/>
        <charset val="1"/>
      </rPr>
      <t xml:space="preserve">2025</t>
    </r>
    <r>
      <rPr>
        <sz val="9"/>
        <rFont val="Noto Sans CJK SC"/>
        <family val="2"/>
      </rPr>
      <t xml:space="preserve">省級合併（</t>
    </r>
    <r>
      <rPr>
        <sz val="9"/>
        <rFont val="Microsoft JhengHei"/>
        <family val="0"/>
        <charset val="1"/>
      </rPr>
      <t xml:space="preserve">63→34</t>
    </r>
    <r>
      <rPr>
        <sz val="9"/>
        <rFont val="Noto Sans CJK SC"/>
        <family val="2"/>
      </rPr>
      <t xml:space="preserve">）重畫地方授權地圖。</t>
    </r>
  </si>
  <si>
    <r>
      <rPr>
        <sz val="9"/>
        <rFont val="Noto Sans CJK SC"/>
        <family val="2"/>
      </rPr>
      <t xml:space="preserve">倒金字塔體系：基層弱、病人湧向中央醫院；</t>
    </r>
    <r>
      <rPr>
        <sz val="9"/>
        <rFont val="Microsoft JhengHei"/>
        <family val="0"/>
        <charset val="1"/>
      </rPr>
      <t xml:space="preserve">DOHA</t>
    </r>
    <r>
      <rPr>
        <sz val="9"/>
        <rFont val="Noto Sans CJK SC"/>
        <family val="2"/>
      </rPr>
      <t xml:space="preserve">與衛星醫院計畫回應；跨線就醫鬆綁埋下病人流失控根源。</t>
    </r>
  </si>
  <si>
    <r>
      <rPr>
        <sz val="9"/>
        <rFont val="Noto Sans CJK SC"/>
        <family val="2"/>
      </rPr>
      <t xml:space="preserve">專科優先化可由缺口直接推導：腫瘤、腎臟、老年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復健、心血管、生殖。</t>
    </r>
    <r>
      <rPr>
        <sz val="9"/>
        <rFont val="Microsoft JhengHei"/>
        <family val="0"/>
        <charset val="1"/>
      </rPr>
      <t xml:space="preserve">DRG</t>
    </r>
    <r>
      <rPr>
        <sz val="9"/>
        <rFont val="Noto Sans CJK SC"/>
        <family val="2"/>
      </rPr>
      <t xml:space="preserve">改革將改變日間手術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亞急性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居家的相對經濟性。</t>
    </r>
  </si>
  <si>
    <r>
      <rPr>
        <sz val="9"/>
        <rFont val="Noto Sans CJK SC"/>
        <family val="2"/>
      </rPr>
      <t xml:space="preserve">標準更新緩慢（</t>
    </r>
    <r>
      <rPr>
        <sz val="9"/>
        <rFont val="Microsoft JhengHei"/>
        <family val="0"/>
        <charset val="1"/>
      </rPr>
      <t xml:space="preserve">TCVN 4470:2012</t>
    </r>
    <r>
      <rPr>
        <sz val="9"/>
        <rFont val="Noto Sans CJK SC"/>
        <family val="2"/>
      </rPr>
      <t xml:space="preserve">、醫氣</t>
    </r>
    <r>
      <rPr>
        <sz val="9"/>
        <rFont val="Microsoft JhengHei"/>
        <family val="0"/>
        <charset val="1"/>
      </rPr>
      <t xml:space="preserve">2009</t>
    </r>
    <r>
      <rPr>
        <sz val="9"/>
        <rFont val="Noto Sans CJK SC"/>
        <family val="2"/>
      </rPr>
      <t xml:space="preserve">版）；</t>
    </r>
    <r>
      <rPr>
        <sz val="9"/>
        <rFont val="Microsoft JhengHei"/>
        <family val="0"/>
        <charset val="1"/>
      </rPr>
      <t xml:space="preserve">COVID</t>
    </r>
    <r>
      <rPr>
        <sz val="9"/>
        <rFont val="Noto Sans CJK SC"/>
        <family val="2"/>
      </rPr>
      <t xml:space="preserve">暴露感控與通風短板；</t>
    </r>
    <r>
      <rPr>
        <sz val="9"/>
        <rFont val="Microsoft JhengHei"/>
        <family val="0"/>
        <charset val="1"/>
      </rPr>
      <t xml:space="preserve">2021 COP26</t>
    </r>
    <r>
      <rPr>
        <sz val="9"/>
        <rFont val="Noto Sans CJK SC"/>
        <family val="2"/>
      </rPr>
      <t xml:space="preserve">承諾</t>
    </r>
    <r>
      <rPr>
        <sz val="9"/>
        <rFont val="Microsoft JhengHei"/>
        <family val="0"/>
        <charset val="1"/>
      </rPr>
      <t xml:space="preserve">2050</t>
    </r>
    <r>
      <rPr>
        <sz val="9"/>
        <rFont val="Noto Sans CJK SC"/>
        <family val="2"/>
      </rPr>
      <t xml:space="preserve">淨零。</t>
    </r>
  </si>
  <si>
    <r>
      <rPr>
        <sz val="9"/>
        <rFont val="Microsoft JhengHei"/>
        <family val="0"/>
        <charset val="1"/>
      </rPr>
      <t xml:space="preserve">35</t>
    </r>
    <r>
      <rPr>
        <sz val="9"/>
        <rFont val="Noto Sans CJK SC"/>
        <family val="2"/>
      </rPr>
      <t xml:space="preserve">床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萬人＝機電醫氣持續成長；</t>
    </r>
    <r>
      <rPr>
        <sz val="9"/>
        <rFont val="Microsoft JhengHei"/>
        <family val="0"/>
        <charset val="1"/>
      </rPr>
      <t xml:space="preserve">TCVN 4470</t>
    </r>
    <r>
      <rPr>
        <sz val="9"/>
        <rFont val="Noto Sans CJK SC"/>
        <family val="2"/>
      </rPr>
      <t xml:space="preserve">與醫氣標準屬下波更新高機率對象；醫院隔離電源（</t>
    </r>
    <r>
      <rPr>
        <sz val="9"/>
        <rFont val="Microsoft JhengHei"/>
        <family val="0"/>
        <charset val="1"/>
      </rPr>
      <t xml:space="preserve">IEC 60364-7-710</t>
    </r>
    <r>
      <rPr>
        <sz val="9"/>
        <rFont val="Noto Sans CJK SC"/>
        <family val="2"/>
      </rPr>
      <t xml:space="preserve">）越南採用情況未查得——標準空窗即差異化機會。</t>
    </r>
  </si>
  <si>
    <r>
      <rPr>
        <sz val="10"/>
        <rFont val="Microsoft JhengHei"/>
        <family val="0"/>
        <charset val="1"/>
      </rPr>
      <t xml:space="preserve">IDC</t>
    </r>
    <r>
      <rPr>
        <sz val="10"/>
        <rFont val="Noto Sans CJK SC"/>
        <family val="2"/>
      </rPr>
      <t xml:space="preserve">與邊緣運算底座</t>
    </r>
  </si>
  <si>
    <r>
      <rPr>
        <sz val="9"/>
        <rFont val="Noto Sans CJK SC"/>
        <family val="2"/>
      </rPr>
      <t xml:space="preserve">醫院機房自建、等級低無異地備援；智慧醫療政策始於</t>
    </r>
    <r>
      <rPr>
        <sz val="9"/>
        <rFont val="Microsoft JhengHei"/>
        <family val="0"/>
        <charset val="1"/>
      </rPr>
      <t xml:space="preserve">Quyết định 4888/QĐ-BYT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2019</t>
    </r>
    <r>
      <rPr>
        <sz val="9"/>
        <rFont val="Noto Sans CJK SC"/>
        <family val="2"/>
      </rPr>
      <t xml:space="preserve">）。</t>
    </r>
  </si>
  <si>
    <r>
      <rPr>
        <sz val="9"/>
        <rFont val="Microsoft JhengHei"/>
        <family val="0"/>
        <charset val="1"/>
      </rPr>
      <t xml:space="preserve">2026-2028</t>
    </r>
    <r>
      <rPr>
        <sz val="9"/>
        <rFont val="Noto Sans CJK SC"/>
        <family val="2"/>
      </rPr>
      <t xml:space="preserve">是</t>
    </r>
    <r>
      <rPr>
        <sz val="9"/>
        <rFont val="Microsoft JhengHei"/>
        <family val="0"/>
        <charset val="1"/>
      </rPr>
      <t xml:space="preserve">DR/SOC/</t>
    </r>
    <r>
      <rPr>
        <sz val="9"/>
        <rFont val="Noto Sans CJK SC"/>
        <family val="2"/>
      </rPr>
      <t xml:space="preserve">資安定級集中補課窗口；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負載推升</t>
    </r>
    <r>
      <rPr>
        <sz val="9"/>
        <rFont val="Microsoft JhengHei"/>
        <family val="0"/>
        <charset val="1"/>
      </rPr>
      <t xml:space="preserve">GPU</t>
    </r>
    <r>
      <rPr>
        <sz val="9"/>
        <rFont val="Noto Sans CJK SC"/>
        <family val="2"/>
      </rPr>
      <t xml:space="preserve">邊緣節點；智慧病房隨新醫院建設以整案打包成長。</t>
    </r>
  </si>
  <si>
    <r>
      <rPr>
        <sz val="10"/>
        <rFont val="Microsoft JhengHei"/>
        <family val="0"/>
        <charset val="1"/>
      </rPr>
      <t xml:space="preserve">BMS</t>
    </r>
    <r>
      <rPr>
        <sz val="10"/>
        <rFont val="Noto Sans CJK SC"/>
        <family val="2"/>
      </rPr>
      <t xml:space="preserve">與能源管理</t>
    </r>
  </si>
  <si>
    <r>
      <rPr>
        <sz val="10"/>
        <rFont val="Microsoft JhengHei"/>
        <family val="0"/>
        <charset val="1"/>
      </rPr>
      <t xml:space="preserve">RTLS</t>
    </r>
    <r>
      <rPr>
        <sz val="10"/>
        <rFont val="Noto Sans CJK SC"/>
        <family val="2"/>
      </rPr>
      <t xml:space="preserve">與資產／人員定位</t>
    </r>
  </si>
  <si>
    <r>
      <rPr>
        <sz val="9"/>
        <rFont val="Microsoft JhengHei"/>
        <family val="0"/>
        <charset val="1"/>
      </rPr>
      <t xml:space="preserve">HIS</t>
    </r>
    <r>
      <rPr>
        <sz val="9"/>
        <rFont val="Noto Sans CJK SC"/>
        <family val="2"/>
      </rPr>
      <t xml:space="preserve">以報帳為主；設備採購依賴</t>
    </r>
    <r>
      <rPr>
        <sz val="9"/>
        <rFont val="Microsoft JhengHei"/>
        <family val="0"/>
        <charset val="1"/>
      </rPr>
      <t xml:space="preserve">ODA</t>
    </r>
    <r>
      <rPr>
        <sz val="9"/>
        <rFont val="Noto Sans CJK SC"/>
        <family val="2"/>
      </rPr>
      <t xml:space="preserve">與預算、缺生命週期管理；</t>
    </r>
    <r>
      <rPr>
        <sz val="9"/>
        <rFont val="Microsoft JhengHei"/>
        <family val="0"/>
        <charset val="1"/>
      </rPr>
      <t xml:space="preserve">2022</t>
    </r>
    <r>
      <rPr>
        <sz val="9"/>
        <rFont val="Noto Sans CJK SC"/>
        <family val="2"/>
      </rPr>
      <t xml:space="preserve">短缺危機證明脆弱性。</t>
    </r>
  </si>
  <si>
    <r>
      <rPr>
        <sz val="9"/>
        <rFont val="Noto Sans CJK SC"/>
        <family val="2"/>
      </rPr>
      <t xml:space="preserve">放腫從</t>
    </r>
    <r>
      <rPr>
        <sz val="9"/>
        <rFont val="Microsoft JhengHei"/>
        <family val="0"/>
        <charset val="1"/>
      </rPr>
      <t xml:space="preserve">82</t>
    </r>
    <r>
      <rPr>
        <sz val="9"/>
        <rFont val="Noto Sans CJK SC"/>
        <family val="2"/>
      </rPr>
      <t xml:space="preserve">台向</t>
    </r>
    <r>
      <rPr>
        <sz val="9"/>
        <rFont val="Microsoft JhengHei"/>
        <family val="0"/>
        <charset val="1"/>
      </rPr>
      <t xml:space="preserve">400</t>
    </r>
    <r>
      <rPr>
        <sz val="9"/>
        <rFont val="Noto Sans CJK SC"/>
        <family val="2"/>
      </rPr>
      <t xml:space="preserve">台級擴張＝大量</t>
    </r>
    <r>
      <rPr>
        <sz val="9"/>
        <rFont val="Microsoft JhengHei"/>
        <family val="0"/>
        <charset val="1"/>
      </rPr>
      <t xml:space="preserve">LINAC</t>
    </r>
    <r>
      <rPr>
        <sz val="9"/>
        <rFont val="Noto Sans CJK SC"/>
        <family val="2"/>
      </rPr>
      <t xml:space="preserve">＋</t>
    </r>
    <r>
      <rPr>
        <sz val="9"/>
        <rFont val="Microsoft JhengHei"/>
        <family val="0"/>
        <charset val="1"/>
      </rPr>
      <t xml:space="preserve">PACS/OIS</t>
    </r>
    <r>
      <rPr>
        <sz val="9"/>
        <rFont val="Noto Sans CJK SC"/>
        <family val="2"/>
      </rPr>
      <t xml:space="preserve">採購；臨床工程與生命週期管理是空白能力。</t>
    </r>
  </si>
  <si>
    <r>
      <rPr>
        <sz val="10"/>
        <rFont val="Noto Sans CJK SC"/>
        <family val="2"/>
      </rPr>
      <t xml:space="preserve">影像設備、</t>
    </r>
    <r>
      <rPr>
        <sz val="10"/>
        <rFont val="Microsoft JhengHei"/>
        <family val="0"/>
        <charset val="1"/>
      </rPr>
      <t xml:space="preserve">PACS</t>
    </r>
    <r>
      <rPr>
        <sz val="10"/>
        <rFont val="Noto Sans CJK SC"/>
        <family val="2"/>
      </rPr>
      <t xml:space="preserve">與報告流程</t>
    </r>
  </si>
  <si>
    <r>
      <rPr>
        <sz val="10"/>
        <rFont val="Noto Sans CJK SC"/>
        <family val="2"/>
      </rPr>
      <t xml:space="preserve">實驗室自動化與</t>
    </r>
    <r>
      <rPr>
        <sz val="10"/>
        <rFont val="Microsoft JhengHei"/>
        <family val="0"/>
        <charset val="1"/>
      </rPr>
      <t xml:space="preserve">LIS</t>
    </r>
  </si>
  <si>
    <r>
      <rPr>
        <sz val="10"/>
        <rFont val="Microsoft JhengHei"/>
        <family val="0"/>
        <charset val="1"/>
      </rPr>
      <t xml:space="preserve">HIS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EMR</t>
    </r>
    <r>
      <rPr>
        <sz val="10"/>
        <rFont val="Noto Sans CJK SC"/>
        <family val="2"/>
      </rPr>
      <t xml:space="preserve">核心平台</t>
    </r>
  </si>
  <si>
    <r>
      <rPr>
        <sz val="9"/>
        <rFont val="Microsoft JhengHei"/>
        <family val="0"/>
        <charset val="1"/>
      </rPr>
      <t xml:space="preserve">HIS</t>
    </r>
    <r>
      <rPr>
        <sz val="9"/>
        <rFont val="Noto Sans CJK SC"/>
        <family val="2"/>
      </rPr>
      <t xml:space="preserve">覆蓋近</t>
    </r>
    <r>
      <rPr>
        <sz val="9"/>
        <rFont val="Microsoft JhengHei"/>
        <family val="0"/>
        <charset val="1"/>
      </rPr>
      <t xml:space="preserve">100%</t>
    </r>
    <r>
      <rPr>
        <sz val="9"/>
        <rFont val="Noto Sans CJK SC"/>
        <family val="2"/>
      </rPr>
      <t xml:space="preserve">（健保申報驅動）但</t>
    </r>
    <r>
      <rPr>
        <sz val="9"/>
        <rFont val="Microsoft JhengHei"/>
        <family val="0"/>
        <charset val="1"/>
      </rPr>
      <t xml:space="preserve">EMR/CPOE/CDSS</t>
    </r>
    <r>
      <rPr>
        <sz val="9"/>
        <rFont val="Noto Sans CJK SC"/>
        <family val="2"/>
      </rPr>
      <t xml:space="preserve">滲透極低；</t>
    </r>
    <r>
      <rPr>
        <sz val="9"/>
        <rFont val="Microsoft JhengHei"/>
        <family val="0"/>
        <charset val="1"/>
      </rPr>
      <t xml:space="preserve">Đề án 06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2022</t>
    </r>
    <r>
      <rPr>
        <sz val="9"/>
        <rFont val="Noto Sans CJK SC"/>
        <family val="2"/>
      </rPr>
      <t xml:space="preserve">）啟動國家數位身分工程。</t>
    </r>
  </si>
  <si>
    <r>
      <rPr>
        <sz val="9"/>
        <rFont val="Noto Sans CJK SC"/>
        <family val="2"/>
      </rPr>
      <t xml:space="preserve">「醫院</t>
    </r>
    <r>
      <rPr>
        <sz val="9"/>
        <rFont val="Microsoft JhengHei"/>
        <family val="0"/>
        <charset val="1"/>
      </rPr>
      <t xml:space="preserve">EMR→</t>
    </r>
    <r>
      <rPr>
        <sz val="9"/>
        <rFont val="Noto Sans CJK SC"/>
        <family val="2"/>
      </rPr>
      <t xml:space="preserve">省平台→</t>
    </r>
    <r>
      <rPr>
        <sz val="9"/>
        <rFont val="Microsoft JhengHei"/>
        <family val="0"/>
        <charset val="1"/>
      </rPr>
      <t xml:space="preserve">VNeID</t>
    </r>
    <r>
      <rPr>
        <sz val="9"/>
        <rFont val="Noto Sans CJK SC"/>
        <family val="2"/>
      </rPr>
      <t xml:space="preserve">」三層架構</t>
    </r>
    <r>
      <rPr>
        <sz val="9"/>
        <rFont val="Microsoft JhengHei"/>
        <family val="0"/>
        <charset val="1"/>
      </rPr>
      <t xml:space="preserve">2026-2027</t>
    </r>
    <r>
      <rPr>
        <sz val="9"/>
        <rFont val="Noto Sans CJK SC"/>
        <family val="2"/>
      </rPr>
      <t xml:space="preserve">成形；基層是下波量體；</t>
    </r>
    <r>
      <rPr>
        <sz val="9"/>
        <rFont val="Microsoft JhengHei"/>
        <family val="0"/>
        <charset val="1"/>
      </rPr>
      <t xml:space="preserve">EMR</t>
    </r>
    <r>
      <rPr>
        <sz val="9"/>
        <rFont val="Noto Sans CJK SC"/>
        <family val="2"/>
      </rPr>
      <t xml:space="preserve">普及後轉向「用資料」：</t>
    </r>
    <r>
      <rPr>
        <sz val="9"/>
        <rFont val="Microsoft JhengHei"/>
        <family val="0"/>
        <charset val="1"/>
      </rPr>
      <t xml:space="preserve">BI</t>
    </r>
    <r>
      <rPr>
        <sz val="9"/>
        <rFont val="Noto Sans CJK SC"/>
        <family val="2"/>
      </rPr>
      <t xml:space="preserve">、資料治理、術語標準化，</t>
    </r>
    <r>
      <rPr>
        <sz val="9"/>
        <rFont val="Microsoft JhengHei"/>
        <family val="0"/>
        <charset val="1"/>
      </rPr>
      <t xml:space="preserve">FHIR</t>
    </r>
    <r>
      <rPr>
        <sz val="9"/>
        <rFont val="Noto Sans CJK SC"/>
        <family val="2"/>
      </rPr>
      <t xml:space="preserve">可能屆時被正式採納。</t>
    </r>
  </si>
  <si>
    <r>
      <rPr>
        <sz val="10"/>
        <rFont val="Microsoft JhengHei"/>
        <family val="0"/>
        <charset val="1"/>
      </rPr>
      <t xml:space="preserve">FHIR</t>
    </r>
    <r>
      <rPr>
        <sz val="10"/>
        <rFont val="Noto Sans CJK SC"/>
        <family val="2"/>
      </rPr>
      <t xml:space="preserve">介接與</t>
    </r>
    <r>
      <rPr>
        <sz val="10"/>
        <rFont val="Microsoft JhengHei"/>
        <family val="0"/>
        <charset val="1"/>
      </rPr>
      <t xml:space="preserve">API</t>
    </r>
    <r>
      <rPr>
        <sz val="10"/>
        <rFont val="Noto Sans CJK SC"/>
        <family val="2"/>
      </rPr>
      <t xml:space="preserve">管理</t>
    </r>
  </si>
  <si>
    <r>
      <rPr>
        <sz val="10"/>
        <rFont val="Noto Sans CJK SC"/>
        <family val="2"/>
      </rPr>
      <t xml:space="preserve">資料平台、</t>
    </r>
    <r>
      <rPr>
        <sz val="10"/>
        <rFont val="Microsoft JhengHei"/>
        <family val="0"/>
        <charset val="1"/>
      </rPr>
      <t xml:space="preserve">BI</t>
    </r>
    <r>
      <rPr>
        <sz val="10"/>
        <rFont val="Noto Sans CJK SC"/>
        <family val="2"/>
      </rPr>
      <t xml:space="preserve">與營運指揮</t>
    </r>
  </si>
  <si>
    <r>
      <rPr>
        <sz val="10"/>
        <rFont val="Noto Sans CJK SC"/>
        <family val="2"/>
      </rPr>
      <t xml:space="preserve">病人入口、行動服務與</t>
    </r>
    <r>
      <rPr>
        <sz val="10"/>
        <rFont val="Microsoft JhengHei"/>
        <family val="0"/>
        <charset val="1"/>
      </rPr>
      <t xml:space="preserve">VNeID</t>
    </r>
    <r>
      <rPr>
        <sz val="10"/>
        <rFont val="Noto Sans CJK SC"/>
        <family val="2"/>
      </rPr>
      <t xml:space="preserve">準備</t>
    </r>
  </si>
  <si>
    <r>
      <rPr>
        <sz val="10"/>
        <rFont val="Noto Sans CJK SC"/>
        <family val="2"/>
      </rPr>
      <t xml:space="preserve">品質管理與</t>
    </r>
    <r>
      <rPr>
        <sz val="10"/>
        <rFont val="Microsoft JhengHei"/>
        <family val="0"/>
        <charset val="1"/>
      </rPr>
      <t xml:space="preserve">JCI</t>
    </r>
    <r>
      <rPr>
        <sz val="10"/>
        <rFont val="Noto Sans CJK SC"/>
        <family val="2"/>
      </rPr>
      <t xml:space="preserve">路線圖</t>
    </r>
  </si>
  <si>
    <r>
      <rPr>
        <sz val="9"/>
        <rFont val="Microsoft JhengHei"/>
        <family val="0"/>
        <charset val="1"/>
      </rPr>
      <t xml:space="preserve">6858/QĐ-BYT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2016</t>
    </r>
    <r>
      <rPr>
        <sz val="9"/>
        <rFont val="Noto Sans CJK SC"/>
        <family val="2"/>
      </rPr>
      <t xml:space="preserve">）</t>
    </r>
    <r>
      <rPr>
        <sz val="9"/>
        <rFont val="Microsoft JhengHei"/>
        <family val="0"/>
        <charset val="1"/>
      </rPr>
      <t xml:space="preserve">83</t>
    </r>
    <r>
      <rPr>
        <sz val="9"/>
        <rFont val="Noto Sans CJK SC"/>
        <family val="2"/>
      </rPr>
      <t xml:space="preserve">條品質標準</t>
    </r>
    <r>
      <rPr>
        <sz val="9"/>
        <rFont val="Microsoft JhengHei"/>
        <family val="0"/>
        <charset val="1"/>
      </rPr>
      <t xml:space="preserve">2.0</t>
    </r>
    <r>
      <rPr>
        <sz val="9"/>
        <rFont val="Noto Sans CJK SC"/>
        <family val="2"/>
      </rPr>
      <t xml:space="preserve">版確立全國評分制；感控與通報以部門通知零散規範。</t>
    </r>
  </si>
  <si>
    <r>
      <rPr>
        <sz val="9"/>
        <rFont val="Noto Sans CJK SC"/>
        <family val="2"/>
      </rPr>
      <t xml:space="preserve">公立旗艦</t>
    </r>
    <r>
      <rPr>
        <sz val="9"/>
        <rFont val="Microsoft JhengHei"/>
        <family val="0"/>
        <charset val="1"/>
      </rPr>
      <t xml:space="preserve">JCI</t>
    </r>
    <r>
      <rPr>
        <sz val="9"/>
        <rFont val="Noto Sans CJK SC"/>
        <family val="2"/>
      </rPr>
      <t xml:space="preserve">級改造啟動；</t>
    </r>
    <r>
      <rPr>
        <sz val="9"/>
        <rFont val="Microsoft JhengHei"/>
        <family val="0"/>
        <charset val="1"/>
      </rPr>
      <t xml:space="preserve">83</t>
    </r>
    <r>
      <rPr>
        <sz val="9"/>
        <rFont val="Noto Sans CJK SC"/>
        <family val="2"/>
      </rPr>
      <t xml:space="preserve">條</t>
    </r>
    <r>
      <rPr>
        <sz val="9"/>
        <rFont val="Microsoft JhengHei"/>
        <family val="0"/>
        <charset val="1"/>
      </rPr>
      <t xml:space="preserve">3.0</t>
    </r>
    <r>
      <rPr>
        <sz val="9"/>
        <rFont val="Noto Sans CJK SC"/>
        <family val="2"/>
      </rPr>
      <t xml:space="preserve">版修訂中；感控、用藥閉環、通報文化是最大差距項＝輔導需求。</t>
    </r>
  </si>
  <si>
    <r>
      <rPr>
        <sz val="9"/>
        <rFont val="Noto Sans CJK SC"/>
        <family val="2"/>
      </rPr>
      <t xml:space="preserve">終身執照無國考；</t>
    </r>
    <r>
      <rPr>
        <sz val="9"/>
        <rFont val="Microsoft JhengHei"/>
        <family val="0"/>
        <charset val="1"/>
      </rPr>
      <t xml:space="preserve">2022</t>
    </r>
    <r>
      <rPr>
        <sz val="9"/>
        <rFont val="Noto Sans CJK SC"/>
        <family val="2"/>
      </rPr>
      <t xml:space="preserve">上半年</t>
    </r>
    <r>
      <rPr>
        <sz val="9"/>
        <rFont val="Microsoft JhengHei"/>
        <family val="0"/>
        <charset val="1"/>
      </rPr>
      <t xml:space="preserve">9,680</t>
    </r>
    <r>
      <rPr>
        <sz val="9"/>
        <rFont val="Noto Sans CJK SC"/>
        <family val="2"/>
      </rPr>
      <t xml:space="preserve">醫療人員離職；護醫比</t>
    </r>
    <r>
      <rPr>
        <sz val="9"/>
        <rFont val="Microsoft JhengHei"/>
        <family val="0"/>
        <charset val="1"/>
      </rPr>
      <t xml:space="preserve">1.95:1</t>
    </r>
    <r>
      <rPr>
        <sz val="9"/>
        <rFont val="Noto Sans CJK SC"/>
        <family val="2"/>
      </rPr>
      <t xml:space="preserve">（世界平均約</t>
    </r>
    <r>
      <rPr>
        <sz val="9"/>
        <rFont val="Microsoft JhengHei"/>
        <family val="0"/>
        <charset val="1"/>
      </rPr>
      <t xml:space="preserve">4:1</t>
    </r>
    <r>
      <rPr>
        <sz val="9"/>
        <rFont val="Noto Sans CJK SC"/>
        <family val="2"/>
      </rPr>
      <t xml:space="preserve">）。</t>
    </r>
  </si>
  <si>
    <r>
      <rPr>
        <sz val="9"/>
        <rFont val="Microsoft JhengHei"/>
        <family val="0"/>
        <charset val="1"/>
      </rPr>
      <t xml:space="preserve">2027</t>
    </r>
    <r>
      <rPr>
        <sz val="9"/>
        <rFont val="Noto Sans CJK SC"/>
        <family val="2"/>
      </rPr>
      <t xml:space="preserve">國考催生考前培訓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題庫</t>
    </r>
    <r>
      <rPr>
        <sz val="9"/>
        <rFont val="Microsoft JhengHei"/>
        <family val="0"/>
        <charset val="1"/>
      </rPr>
      <t xml:space="preserve">/OSCE</t>
    </r>
    <r>
      <rPr>
        <sz val="9"/>
        <rFont val="Noto Sans CJK SC"/>
        <family val="2"/>
      </rPr>
      <t xml:space="preserve">賽道；護理缺口</t>
    </r>
    <r>
      <rPr>
        <sz val="9"/>
        <rFont val="Microsoft JhengHei"/>
        <family val="0"/>
        <charset val="1"/>
      </rPr>
      <t xml:space="preserve">5</t>
    </r>
    <r>
      <rPr>
        <sz val="9"/>
        <rFont val="Noto Sans CJK SC"/>
        <family val="2"/>
      </rPr>
      <t xml:space="preserve">萬人推動職能分級；醫院自主化使變革管理成為剛需但本土顧問供給少。</t>
    </r>
  </si>
  <si>
    <r>
      <rPr>
        <sz val="9"/>
        <rFont val="Noto Sans CJK SC"/>
        <family val="2"/>
      </rPr>
      <t xml:space="preserve">採購分散自辦；藥品</t>
    </r>
    <r>
      <rPr>
        <sz val="9"/>
        <rFont val="Microsoft JhengHei"/>
        <family val="0"/>
        <charset val="1"/>
      </rPr>
      <t xml:space="preserve">2017</t>
    </r>
    <r>
      <rPr>
        <sz val="9"/>
        <rFont val="Noto Sans CJK SC"/>
        <family val="2"/>
      </rPr>
      <t xml:space="preserve">年起國家集採試行；</t>
    </r>
    <r>
      <rPr>
        <sz val="9"/>
        <rFont val="Microsoft JhengHei"/>
        <family val="0"/>
        <charset val="1"/>
      </rPr>
      <t xml:space="preserve">2022</t>
    </r>
    <r>
      <rPr>
        <sz val="9"/>
        <rFont val="Noto Sans CJK SC"/>
        <family val="2"/>
      </rPr>
      <t xml:space="preserve">比價規則致採購癱瘓、全國短缺。</t>
    </r>
  </si>
  <si>
    <r>
      <rPr>
        <sz val="9"/>
        <rFont val="Noto Sans CJK SC"/>
        <family val="2"/>
      </rPr>
      <t xml:space="preserve">高值耗材走向全國價量採購＝框架協議成核心通路能力；藥品</t>
    </r>
    <r>
      <rPr>
        <sz val="9"/>
        <rFont val="Microsoft JhengHei"/>
        <family val="0"/>
        <charset val="1"/>
      </rPr>
      <t xml:space="preserve">2030</t>
    </r>
    <r>
      <rPr>
        <sz val="9"/>
        <rFont val="Noto Sans CJK SC"/>
        <family val="2"/>
      </rPr>
      <t xml:space="preserve">年國產</t>
    </r>
    <r>
      <rPr>
        <sz val="9"/>
        <rFont val="Microsoft JhengHei"/>
        <family val="0"/>
        <charset val="1"/>
      </rPr>
      <t xml:space="preserve">80%</t>
    </r>
    <r>
      <rPr>
        <sz val="9"/>
        <rFont val="Noto Sans CJK SC"/>
        <family val="2"/>
      </rPr>
      <t xml:space="preserve">目標＝在地化主旋律；</t>
    </r>
    <r>
      <rPr>
        <sz val="9"/>
        <rFont val="Microsoft JhengHei"/>
        <family val="0"/>
        <charset val="1"/>
      </rPr>
      <t xml:space="preserve">SPD/CSSD</t>
    </r>
    <r>
      <rPr>
        <sz val="9"/>
        <rFont val="Noto Sans CJK SC"/>
        <family val="2"/>
      </rPr>
      <t xml:space="preserve">屬需自建市場情報的空白市場。</t>
    </r>
  </si>
  <si>
    <r>
      <rPr>
        <sz val="10"/>
        <rFont val="Noto Sans CJK SC"/>
        <family val="2"/>
      </rPr>
      <t xml:space="preserve">藥品耗材與</t>
    </r>
    <r>
      <rPr>
        <sz val="10"/>
        <rFont val="Microsoft JhengHei"/>
        <family val="0"/>
        <charset val="1"/>
      </rPr>
      <t xml:space="preserve">SPD</t>
    </r>
    <r>
      <rPr>
        <sz val="10"/>
        <rFont val="Noto Sans CJK SC"/>
        <family val="2"/>
      </rPr>
      <t xml:space="preserve">物流</t>
    </r>
  </si>
  <si>
    <r>
      <rPr>
        <sz val="10"/>
        <rFont val="Microsoft JhengHei"/>
        <family val="0"/>
        <charset val="1"/>
      </rPr>
      <t xml:space="preserve">CMMS</t>
    </r>
    <r>
      <rPr>
        <sz val="10"/>
        <rFont val="Noto Sans CJK SC"/>
        <family val="2"/>
      </rPr>
      <t xml:space="preserve">與設施維運</t>
    </r>
  </si>
  <si>
    <r>
      <rPr>
        <sz val="9"/>
        <rFont val="Microsoft JhengHei"/>
        <family val="0"/>
        <charset val="1"/>
      </rPr>
      <t xml:space="preserve">BHYT</t>
    </r>
    <r>
      <rPr>
        <sz val="9"/>
        <rFont val="Noto Sans CJK SC"/>
        <family val="2"/>
      </rPr>
      <t xml:space="preserve">覆蓋率一路提升至</t>
    </r>
    <r>
      <rPr>
        <sz val="9"/>
        <rFont val="Microsoft JhengHei"/>
        <family val="0"/>
        <charset val="1"/>
      </rPr>
      <t xml:space="preserve">2020</t>
    </r>
    <r>
      <rPr>
        <sz val="9"/>
        <rFont val="Noto Sans CJK SC"/>
        <family val="2"/>
      </rPr>
      <t xml:space="preserve">年逾</t>
    </r>
    <r>
      <rPr>
        <sz val="9"/>
        <rFont val="Microsoft JhengHei"/>
        <family val="0"/>
        <charset val="1"/>
      </rPr>
      <t xml:space="preserve">90%</t>
    </r>
    <r>
      <rPr>
        <sz val="9"/>
        <rFont val="Noto Sans CJK SC"/>
        <family val="2"/>
      </rPr>
      <t xml:space="preserve">；論人計酬</t>
    </r>
    <r>
      <rPr>
        <sz val="9"/>
        <rFont val="Microsoft JhengHei"/>
        <family val="0"/>
        <charset val="1"/>
      </rPr>
      <t xml:space="preserve">04/2021</t>
    </r>
    <r>
      <rPr>
        <sz val="9"/>
        <rFont val="Noto Sans CJK SC"/>
        <family val="2"/>
      </rPr>
      <t xml:space="preserve">暫停；出境就醫敘事定型於「</t>
    </r>
    <r>
      <rPr>
        <sz val="9"/>
        <rFont val="Microsoft JhengHei"/>
        <family val="0"/>
        <charset val="1"/>
      </rPr>
      <t xml:space="preserve">10-20</t>
    </r>
    <r>
      <rPr>
        <sz val="9"/>
        <rFont val="Noto Sans CJK SC"/>
        <family val="2"/>
      </rPr>
      <t xml:space="preserve">億美元」估計。</t>
    </r>
  </si>
  <si>
    <r>
      <rPr>
        <sz val="9"/>
        <rFont val="Microsoft JhengHei"/>
        <family val="0"/>
        <charset val="1"/>
      </rPr>
      <t xml:space="preserve">DRG</t>
    </r>
    <r>
      <rPr>
        <sz val="9"/>
        <rFont val="Noto Sans CJK SC"/>
        <family val="2"/>
      </rPr>
      <t xml:space="preserve">落地→單病種成本核算從加分項變生存項（多數醫院不具備）；醫療觀光</t>
    </r>
    <r>
      <rPr>
        <sz val="9"/>
        <rFont val="Microsoft JhengHei"/>
        <family val="0"/>
        <charset val="1"/>
      </rPr>
      <t xml:space="preserve">75</t>
    </r>
    <r>
      <rPr>
        <sz val="9"/>
        <rFont val="Noto Sans CJK SC"/>
        <family val="2"/>
      </rPr>
      <t xml:space="preserve">萬人次</t>
    </r>
    <r>
      <rPr>
        <sz val="9"/>
        <rFont val="Microsoft JhengHei"/>
        <family val="0"/>
        <charset val="1"/>
      </rPr>
      <t xml:space="preserve">/10</t>
    </r>
    <r>
      <rPr>
        <sz val="9"/>
        <rFont val="Noto Sans CJK SC"/>
        <family val="2"/>
      </rPr>
      <t xml:space="preserve">億美元目標；商保直付與</t>
    </r>
    <r>
      <rPr>
        <sz val="9"/>
        <rFont val="Microsoft JhengHei"/>
        <family val="0"/>
        <charset val="1"/>
      </rPr>
      <t xml:space="preserve">TPA</t>
    </r>
    <r>
      <rPr>
        <sz val="9"/>
        <rFont val="Noto Sans CJK SC"/>
        <family val="2"/>
      </rPr>
      <t xml:space="preserve">擴大。</t>
    </r>
  </si>
  <si>
    <r>
      <rPr>
        <sz val="10"/>
        <rFont val="Microsoft JhengHei"/>
        <family val="0"/>
        <charset val="1"/>
      </rPr>
      <t xml:space="preserve">PPP</t>
    </r>
    <r>
      <rPr>
        <sz val="10"/>
        <rFont val="Noto Sans CJK SC"/>
        <family val="2"/>
      </rPr>
      <t xml:space="preserve">／</t>
    </r>
    <r>
      <rPr>
        <sz val="10"/>
        <rFont val="Microsoft JhengHei"/>
        <family val="0"/>
        <charset val="1"/>
      </rPr>
      <t xml:space="preserve">JV</t>
    </r>
    <r>
      <rPr>
        <sz val="10"/>
        <rFont val="Noto Sans CJK SC"/>
        <family val="2"/>
      </rPr>
      <t xml:space="preserve">財務與風險分配</t>
    </r>
  </si>
  <si>
    <r>
      <rPr>
        <b val="true"/>
        <sz val="15"/>
        <color rgb="FF1F3864"/>
        <rFont val="Microsoft JhengHei"/>
        <family val="0"/>
        <charset val="1"/>
      </rPr>
      <t xml:space="preserve">21</t>
    </r>
    <r>
      <rPr>
        <b val="true"/>
        <sz val="15"/>
        <color rgb="FF1F3864"/>
        <rFont val="Noto Sans CJK SC"/>
        <family val="2"/>
      </rPr>
      <t xml:space="preserve">　情報來源｜每一個數字都查得到出處</t>
    </r>
  </si>
  <si>
    <r>
      <rPr>
        <sz val="10"/>
        <color rgb="FF6B7280"/>
        <rFont val="Noto Sans CJK SC"/>
        <family val="2"/>
      </rPr>
      <t xml:space="preserve">❓這頁在回答：被追問「你憑什麼這樣說」的時候，證據在哪裡？　全部於 </t>
    </r>
    <r>
      <rPr>
        <sz val="10"/>
        <color rgb="FF6B7280"/>
        <rFont val="Microsoft JhengHei"/>
        <family val="0"/>
        <charset val="1"/>
      </rPr>
      <t xml:space="preserve">2026-08-18 </t>
    </r>
    <r>
      <rPr>
        <sz val="10"/>
        <color rgb="FF6B7280"/>
        <rFont val="Noto Sans CJK SC"/>
        <family val="2"/>
      </rPr>
      <t xml:space="preserve">重新實際查證（第 </t>
    </r>
    <r>
      <rPr>
        <sz val="10"/>
        <color rgb="FF6B7280"/>
        <rFont val="Microsoft JhengHei"/>
        <family val="0"/>
        <charset val="1"/>
      </rPr>
      <t xml:space="preserve">46 </t>
    </r>
    <r>
      <rPr>
        <sz val="10"/>
        <color rgb="FF6B7280"/>
        <rFont val="Noto Sans CJK SC"/>
        <family val="2"/>
      </rPr>
      <t xml:space="preserve">號以後為本次新增／更正）。</t>
    </r>
  </si>
  <si>
    <t xml:space="preserve">來源</t>
  </si>
  <si>
    <t xml:space="preserve">網址</t>
  </si>
  <si>
    <r>
      <rPr>
        <sz val="10"/>
        <rFont val="Noto Sans CJK SC"/>
        <family val="2"/>
      </rPr>
      <t xml:space="preserve">美國商務部 </t>
    </r>
    <r>
      <rPr>
        <sz val="10"/>
        <rFont val="Microsoft JhengHei"/>
        <family val="0"/>
        <charset val="1"/>
      </rPr>
      <t xml:space="preserve">Vietnam Healthcare CCG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2026-03</t>
    </r>
    <r>
      <rPr>
        <sz val="10"/>
        <rFont val="Noto Sans CJK SC"/>
        <family val="2"/>
      </rPr>
      <t xml:space="preserve">更新）</t>
    </r>
  </si>
  <si>
    <t xml:space="preserve">https://www.trade.gov/country-commercial-guides/vietnam-healthcare</t>
  </si>
  <si>
    <r>
      <rPr>
        <sz val="10"/>
        <rFont val="Noto Sans CJK SC"/>
        <family val="2"/>
      </rPr>
      <t xml:space="preserve">醫療網總體規劃</t>
    </r>
    <r>
      <rPr>
        <sz val="10"/>
        <rFont val="Microsoft JhengHei"/>
        <family val="0"/>
        <charset val="1"/>
      </rPr>
      <t xml:space="preserve">2021-2030</t>
    </r>
    <r>
      <rPr>
        <sz val="10"/>
        <rFont val="Noto Sans CJK SC"/>
        <family val="2"/>
      </rPr>
      <t xml:space="preserve">核定（</t>
    </r>
    <r>
      <rPr>
        <sz val="10"/>
        <rFont val="Microsoft JhengHei"/>
        <family val="0"/>
        <charset val="1"/>
      </rPr>
      <t xml:space="preserve">VietnamPlus 2024-02</t>
    </r>
    <r>
      <rPr>
        <sz val="10"/>
        <rFont val="Noto Sans CJK SC"/>
        <family val="2"/>
      </rPr>
      <t xml:space="preserve">）</t>
    </r>
  </si>
  <si>
    <t xml:space="preserve">https://en.vietnamplus.vn/master-plan-on-healthcare-network-by-2050-approved/280091.vnp</t>
  </si>
  <si>
    <r>
      <rPr>
        <sz val="10"/>
        <rFont val="Microsoft JhengHei"/>
        <family val="0"/>
        <charset val="1"/>
      </rPr>
      <t xml:space="preserve">Decree 71/2025 PPP</t>
    </r>
    <r>
      <rPr>
        <sz val="10"/>
        <rFont val="Noto Sans CJK SC"/>
        <family val="2"/>
      </rPr>
      <t xml:space="preserve">法令分析（</t>
    </r>
    <r>
      <rPr>
        <sz val="10"/>
        <rFont val="Microsoft JhengHei"/>
        <family val="0"/>
        <charset val="1"/>
      </rPr>
      <t xml:space="preserve">DFDL</t>
    </r>
    <r>
      <rPr>
        <sz val="10"/>
        <rFont val="Noto Sans CJK SC"/>
        <family val="2"/>
      </rPr>
      <t xml:space="preserve">）｜⚠已被 </t>
    </r>
    <r>
      <rPr>
        <sz val="10"/>
        <rFont val="Microsoft JhengHei"/>
        <family val="0"/>
        <charset val="1"/>
      </rPr>
      <t xml:space="preserve">Nghị định 243/2025 </t>
    </r>
    <r>
      <rPr>
        <sz val="10"/>
        <rFont val="Noto Sans CJK SC"/>
        <family val="2"/>
      </rPr>
      <t xml:space="preserve">全部廢止</t>
    </r>
  </si>
  <si>
    <t xml:space="preserve">https://www.dfdl.com/insights/legal-and-tax-updates/legal-update-on-amendments-and-supplements-to-the-decree-detailing-and-guiding-the-implementation-of-the-law-on-investment-in-the-form-of-public-private-partnership/</t>
  </si>
  <si>
    <r>
      <rPr>
        <sz val="10"/>
        <rFont val="Microsoft JhengHei"/>
        <family val="0"/>
        <charset val="1"/>
      </rPr>
      <t xml:space="preserve">Law 57/2024 </t>
    </r>
    <r>
      <rPr>
        <sz val="10"/>
        <rFont val="Noto Sans CJK SC"/>
        <family val="2"/>
      </rPr>
      <t xml:space="preserve">取消</t>
    </r>
    <r>
      <rPr>
        <sz val="10"/>
        <rFont val="Microsoft JhengHei"/>
        <family val="0"/>
        <charset val="1"/>
      </rPr>
      <t xml:space="preserve">PPP</t>
    </r>
    <r>
      <rPr>
        <sz val="10"/>
        <rFont val="Noto Sans CJK SC"/>
        <family val="2"/>
      </rPr>
      <t xml:space="preserve">門檻（</t>
    </r>
    <r>
      <rPr>
        <sz val="10"/>
        <rFont val="Microsoft JhengHei"/>
        <family val="0"/>
        <charset val="1"/>
      </rPr>
      <t xml:space="preserve">Allen &amp; Gledhill</t>
    </r>
    <r>
      <rPr>
        <sz val="10"/>
        <rFont val="Noto Sans CJK SC"/>
        <family val="2"/>
      </rPr>
      <t xml:space="preserve">）</t>
    </r>
  </si>
  <si>
    <t xml:space="preserve">https://www.allenandgledhill.com/publication/articles/29956/introduces-simplified-processes-and-expands-investment-opportunities</t>
  </si>
  <si>
    <r>
      <rPr>
        <sz val="10"/>
        <rFont val="Noto Sans CJK SC"/>
        <family val="2"/>
      </rPr>
      <t xml:space="preserve">健康</t>
    </r>
    <r>
      <rPr>
        <sz val="10"/>
        <rFont val="Microsoft JhengHei"/>
        <family val="0"/>
        <charset val="1"/>
      </rPr>
      <t xml:space="preserve">PPP</t>
    </r>
    <r>
      <rPr>
        <sz val="10"/>
        <rFont val="Noto Sans CJK SC"/>
        <family val="2"/>
      </rPr>
      <t xml:space="preserve">僅</t>
    </r>
    <r>
      <rPr>
        <sz val="10"/>
        <rFont val="Microsoft JhengHei"/>
        <family val="0"/>
        <charset val="1"/>
      </rPr>
      <t xml:space="preserve">2</t>
    </r>
    <r>
      <rPr>
        <sz val="10"/>
        <rFont val="Noto Sans CJK SC"/>
        <family val="2"/>
      </rPr>
      <t xml:space="preserve">案（</t>
    </r>
    <r>
      <rPr>
        <sz val="10"/>
        <rFont val="Microsoft JhengHei"/>
        <family val="0"/>
        <charset val="1"/>
      </rPr>
      <t xml:space="preserve">VietnamPlus 2024-08</t>
    </r>
    <r>
      <rPr>
        <sz val="10"/>
        <rFont val="Noto Sans CJK SC"/>
        <family val="2"/>
      </rPr>
      <t xml:space="preserve">）</t>
    </r>
  </si>
  <si>
    <t xml:space="preserve">https://en.vietnamplus.vn/vietnam-embraces-ppp-to-transform-healthcare-services-post292306.vnp</t>
  </si>
  <si>
    <r>
      <rPr>
        <sz val="10"/>
        <rFont val="Microsoft JhengHei"/>
        <family val="0"/>
        <charset val="1"/>
      </rPr>
      <t xml:space="preserve">Thomson</t>
    </r>
    <r>
      <rPr>
        <sz val="10"/>
        <rFont val="Noto Sans CJK SC"/>
        <family val="2"/>
      </rPr>
      <t xml:space="preserve">收購</t>
    </r>
    <r>
      <rPr>
        <sz val="10"/>
        <rFont val="Microsoft JhengHei"/>
        <family val="0"/>
        <charset val="1"/>
      </rPr>
      <t xml:space="preserve">FV</t>
    </r>
    <r>
      <rPr>
        <sz val="10"/>
        <rFont val="Noto Sans CJK SC"/>
        <family val="2"/>
      </rPr>
      <t xml:space="preserve">醫院（</t>
    </r>
    <r>
      <rPr>
        <sz val="10"/>
        <rFont val="Microsoft JhengHei"/>
        <family val="0"/>
        <charset val="1"/>
      </rPr>
      <t xml:space="preserve">Health365</t>
    </r>
    <r>
      <rPr>
        <sz val="10"/>
        <rFont val="Noto Sans CJK SC"/>
        <family val="2"/>
      </rPr>
      <t xml:space="preserve">）</t>
    </r>
  </si>
  <si>
    <t xml:space="preserve">https://www.health365.sg/thomson-medical-acquires-fv-hospital/</t>
  </si>
  <si>
    <r>
      <rPr>
        <sz val="10"/>
        <rFont val="Noto Sans CJK SC"/>
        <family val="2"/>
      </rPr>
      <t xml:space="preserve">外資醫院設立條件（</t>
    </r>
    <r>
      <rPr>
        <sz val="10"/>
        <rFont val="Microsoft JhengHei"/>
        <family val="0"/>
        <charset val="1"/>
      </rPr>
      <t xml:space="preserve">Viet An Law</t>
    </r>
    <r>
      <rPr>
        <sz val="10"/>
        <rFont val="Noto Sans CJK SC"/>
        <family val="2"/>
      </rPr>
      <t xml:space="preserve">）</t>
    </r>
  </si>
  <si>
    <t xml:space="preserve">https://vietanlaw.com/conditions-for-establishing-a-foreign-invested-hospital-in-vietnam/</t>
  </si>
  <si>
    <r>
      <rPr>
        <sz val="10"/>
        <rFont val="Noto Sans CJK SC"/>
        <family val="2"/>
      </rPr>
      <t xml:space="preserve">白梅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越德二院復工（</t>
    </r>
    <r>
      <rPr>
        <sz val="10"/>
        <rFont val="Microsoft JhengHei"/>
        <family val="0"/>
        <charset val="1"/>
      </rPr>
      <t xml:space="preserve">VietnamNet 2025-05</t>
    </r>
    <r>
      <rPr>
        <sz val="10"/>
        <rFont val="Noto Sans CJK SC"/>
        <family val="2"/>
      </rPr>
      <t xml:space="preserve">）</t>
    </r>
  </si>
  <si>
    <t xml:space="preserve">https://vietnamnet.vn/en/hospital-projects-to-resume-after-years-of-delay-pm-pledges-full-support-2404326.html</t>
  </si>
  <si>
    <r>
      <rPr>
        <sz val="10"/>
        <rFont val="Noto Sans CJK SC"/>
        <family val="2"/>
      </rPr>
      <t xml:space="preserve">醫院建築標準</t>
    </r>
    <r>
      <rPr>
        <sz val="10"/>
        <rFont val="Microsoft JhengHei"/>
        <family val="0"/>
        <charset val="1"/>
      </rPr>
      <t xml:space="preserve">2025</t>
    </r>
    <r>
      <rPr>
        <sz val="10"/>
        <rFont val="Noto Sans CJK SC"/>
        <family val="2"/>
      </rPr>
      <t xml:space="preserve">指南（</t>
    </r>
    <r>
      <rPr>
        <sz val="10"/>
        <rFont val="Microsoft JhengHei"/>
        <family val="0"/>
        <charset val="1"/>
      </rPr>
      <t xml:space="preserve">Global Referral Network</t>
    </r>
    <r>
      <rPr>
        <sz val="10"/>
        <rFont val="Noto Sans CJK SC"/>
        <family val="2"/>
      </rPr>
      <t xml:space="preserve">）</t>
    </r>
  </si>
  <si>
    <t xml:space="preserve">https://globalreferral.group/hospital-construction-standards-in-2025-a-comprehensive-guide-for-investors/</t>
  </si>
  <si>
    <r>
      <rPr>
        <sz val="10"/>
        <rFont val="Microsoft JhengHei"/>
        <family val="0"/>
        <charset val="1"/>
      </rPr>
      <t xml:space="preserve">Decree 58/2025</t>
    </r>
    <r>
      <rPr>
        <sz val="10"/>
        <rFont val="Noto Sans CJK SC"/>
        <family val="2"/>
      </rPr>
      <t xml:space="preserve">屋頂光電（</t>
    </r>
    <r>
      <rPr>
        <sz val="10"/>
        <rFont val="Microsoft JhengHei"/>
        <family val="0"/>
        <charset val="1"/>
      </rPr>
      <t xml:space="preserve">Duane Morris</t>
    </r>
    <r>
      <rPr>
        <sz val="10"/>
        <rFont val="Noto Sans CJK SC"/>
        <family val="2"/>
      </rPr>
      <t xml:space="preserve">）｜已由 </t>
    </r>
    <r>
      <rPr>
        <sz val="10"/>
        <rFont val="Microsoft JhengHei"/>
        <family val="0"/>
        <charset val="1"/>
      </rPr>
      <t xml:space="preserve">Nghị định 243/2026 </t>
    </r>
    <r>
      <rPr>
        <sz val="10"/>
        <rFont val="Noto Sans CJK SC"/>
        <family val="2"/>
      </rPr>
      <t xml:space="preserve">修訂為餘電可售 </t>
    </r>
    <r>
      <rPr>
        <sz val="10"/>
        <rFont val="Microsoft JhengHei"/>
        <family val="0"/>
        <charset val="1"/>
      </rPr>
      <t xml:space="preserve">50%</t>
    </r>
  </si>
  <si>
    <t xml:space="preserve">https://blogs.duanemorris.com/vietnam/2025/08/27/vietnam-decree-58-on-development-of-renewable-energy-power-mechanisms-and-policies-for-self-production-and-self-consumption-rooftop-solar-power-systems/</t>
  </si>
  <si>
    <r>
      <rPr>
        <sz val="10"/>
        <rFont val="Noto Sans CJK SC"/>
        <family val="2"/>
      </rPr>
      <t xml:space="preserve">醫材過渡終止</t>
    </r>
    <r>
      <rPr>
        <sz val="10"/>
        <rFont val="Microsoft JhengHei"/>
        <family val="0"/>
        <charset val="1"/>
      </rPr>
      <t xml:space="preserve">2025-07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Thema-Med</t>
    </r>
    <r>
      <rPr>
        <sz val="10"/>
        <rFont val="Noto Sans CJK SC"/>
        <family val="2"/>
      </rPr>
      <t xml:space="preserve">）</t>
    </r>
  </si>
  <si>
    <t xml:space="preserve">https://www.thema-med.com/en/2025/06/16/vietnam-end-of-derogations-for-import-licences-as-of-july-1-2025/</t>
  </si>
  <si>
    <r>
      <rPr>
        <sz val="10"/>
        <rFont val="Microsoft JhengHei"/>
        <family val="0"/>
        <charset val="1"/>
      </rPr>
      <t xml:space="preserve">Bidding Law </t>
    </r>
    <r>
      <rPr>
        <sz val="10"/>
        <rFont val="Noto Sans CJK SC"/>
        <family val="2"/>
      </rPr>
      <t xml:space="preserve">選商方式（</t>
    </r>
    <r>
      <rPr>
        <sz val="10"/>
        <rFont val="Microsoft JhengHei"/>
        <family val="0"/>
        <charset val="1"/>
      </rPr>
      <t xml:space="preserve">EuroCham</t>
    </r>
    <r>
      <rPr>
        <sz val="10"/>
        <rFont val="Noto Sans CJK SC"/>
        <family val="2"/>
      </rPr>
      <t xml:space="preserve">）｜</t>
    </r>
    <r>
      <rPr>
        <sz val="10"/>
        <rFont val="Microsoft JhengHei"/>
        <family val="0"/>
        <charset val="1"/>
      </rPr>
      <t xml:space="preserve">2025-07-01</t>
    </r>
    <r>
      <rPr>
        <sz val="10"/>
        <rFont val="Noto Sans CJK SC"/>
        <family val="2"/>
      </rPr>
      <t xml:space="preserve">起 </t>
    </r>
    <r>
      <rPr>
        <sz val="10"/>
        <rFont val="Microsoft JhengHei"/>
        <family val="0"/>
        <charset val="1"/>
      </rPr>
      <t xml:space="preserve">Luật 90/2025 </t>
    </r>
    <r>
      <rPr>
        <sz val="10"/>
        <rFont val="Noto Sans CJK SC"/>
        <family val="2"/>
      </rPr>
      <t xml:space="preserve">增為</t>
    </r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種</t>
    </r>
  </si>
  <si>
    <t xml:space="preserve">https://eurochamvn.org/vietnam-passes-new-law-on-tender-an-advocacy-success-for-the-eurocham-medical-devices-and-diagnostics-sector-committee/</t>
  </si>
  <si>
    <r>
      <rPr>
        <sz val="10"/>
        <rFont val="Noto Sans CJK SC"/>
        <family val="2"/>
      </rPr>
      <t xml:space="preserve">放療量能缺口（</t>
    </r>
    <r>
      <rPr>
        <sz val="10"/>
        <rFont val="Microsoft JhengHei"/>
        <family val="0"/>
        <charset val="1"/>
      </rPr>
      <t xml:space="preserve">JCO Global Oncology 2025</t>
    </r>
    <r>
      <rPr>
        <sz val="10"/>
        <rFont val="Noto Sans CJK SC"/>
        <family val="2"/>
      </rPr>
      <t xml:space="preserve">）</t>
    </r>
  </si>
  <si>
    <t xml:space="preserve">https://ascopubs.org/doi/10.1200/GO-24-00530</t>
  </si>
  <si>
    <r>
      <rPr>
        <sz val="10"/>
        <rFont val="Noto Sans CJK SC"/>
        <family val="2"/>
      </rPr>
      <t xml:space="preserve">透析覆蓋現況（</t>
    </r>
    <r>
      <rPr>
        <sz val="10"/>
        <rFont val="Microsoft JhengHei"/>
        <family val="0"/>
        <charset val="1"/>
      </rPr>
      <t xml:space="preserve">Kidney360/PMC</t>
    </r>
    <r>
      <rPr>
        <sz val="10"/>
        <rFont val="Noto Sans CJK SC"/>
        <family val="2"/>
      </rPr>
      <t xml:space="preserve">）</t>
    </r>
  </si>
  <si>
    <t xml:space="preserve">https://pmc.ncbi.nlm.nih.gov/articles/PMC8815609/</t>
  </si>
  <si>
    <r>
      <rPr>
        <sz val="10"/>
        <rFont val="Microsoft JhengHei"/>
        <family val="0"/>
        <charset val="1"/>
      </rPr>
      <t xml:space="preserve">IVF</t>
    </r>
    <r>
      <rPr>
        <sz val="10"/>
        <rFont val="Noto Sans CJK SC"/>
        <family val="2"/>
      </rPr>
      <t xml:space="preserve">市場（</t>
    </r>
    <r>
      <rPr>
        <sz val="10"/>
        <rFont val="Microsoft JhengHei"/>
        <family val="0"/>
        <charset val="1"/>
      </rPr>
      <t xml:space="preserve">Vietnam News 2025-04</t>
    </r>
    <r>
      <rPr>
        <sz val="10"/>
        <rFont val="Noto Sans CJK SC"/>
        <family val="2"/>
      </rPr>
      <t xml:space="preserve">）</t>
    </r>
  </si>
  <si>
    <t xml:space="preserve">https://vietnamnews.vn/society/1716334/infertility-treatment-challenges-and-opportunities.html</t>
  </si>
  <si>
    <r>
      <rPr>
        <sz val="10"/>
        <rFont val="Microsoft JhengHei"/>
        <family val="0"/>
        <charset val="1"/>
      </rPr>
      <t xml:space="preserve">EMR</t>
    </r>
    <r>
      <rPr>
        <sz val="10"/>
        <rFont val="Noto Sans CJK SC"/>
        <family val="2"/>
      </rPr>
      <t xml:space="preserve">期限</t>
    </r>
    <r>
      <rPr>
        <sz val="10"/>
        <rFont val="Microsoft JhengHei"/>
        <family val="0"/>
        <charset val="1"/>
      </rPr>
      <t xml:space="preserve">Circular 13/2025</t>
    </r>
    <r>
      <rPr>
        <sz val="10"/>
        <rFont val="Noto Sans CJK SC"/>
        <family val="2"/>
      </rPr>
      <t xml:space="preserve">英文版（</t>
    </r>
    <r>
      <rPr>
        <sz val="10"/>
        <rFont val="Microsoft JhengHei"/>
        <family val="0"/>
        <charset val="1"/>
      </rPr>
      <t xml:space="preserve">thuvienphapluat</t>
    </r>
    <r>
      <rPr>
        <sz val="10"/>
        <rFont val="Noto Sans CJK SC"/>
        <family val="2"/>
      </rPr>
      <t xml:space="preserve">）</t>
    </r>
  </si>
  <si>
    <t xml:space="preserve">https://thuvienphapluat.vn/van-ban/EN/Cong-nghe-thong-tin/Circular-13-2025-TT-BYT-providing-guidance-on-adoption-of-electronic-medical-records/662324/tieng-anh.aspx</t>
  </si>
  <si>
    <r>
      <rPr>
        <sz val="10"/>
        <rFont val="Microsoft JhengHei"/>
        <family val="0"/>
        <charset val="1"/>
      </rPr>
      <t xml:space="preserve">EMR</t>
    </r>
    <r>
      <rPr>
        <sz val="10"/>
        <rFont val="Noto Sans CJK SC"/>
        <family val="2"/>
      </rPr>
      <t xml:space="preserve">完成率（</t>
    </r>
    <r>
      <rPr>
        <sz val="10"/>
        <rFont val="Microsoft JhengHei"/>
        <family val="0"/>
        <charset val="1"/>
      </rPr>
      <t xml:space="preserve">VietnamPlus 2025-10-06</t>
    </r>
    <r>
      <rPr>
        <sz val="10"/>
        <rFont val="Noto Sans CJK SC"/>
        <family val="2"/>
      </rPr>
      <t xml:space="preserve">）｜</t>
    </r>
    <r>
      <rPr>
        <sz val="10"/>
        <rFont val="Microsoft JhengHei"/>
        <family val="0"/>
        <charset val="1"/>
      </rPr>
      <t xml:space="preserve">2025</t>
    </r>
    <r>
      <rPr>
        <sz val="10"/>
        <rFont val="Noto Sans CJK SC"/>
        <family val="2"/>
      </rPr>
      <t xml:space="preserve">年底已更新為 </t>
    </r>
    <r>
      <rPr>
        <sz val="10"/>
        <rFont val="Microsoft JhengHei"/>
        <family val="0"/>
        <charset val="1"/>
      </rPr>
      <t xml:space="preserve">64.6%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1,062/1,645</t>
    </r>
    <r>
      <rPr>
        <sz val="10"/>
        <rFont val="Noto Sans CJK SC"/>
        <family val="2"/>
      </rPr>
      <t xml:space="preserve">家）</t>
    </r>
  </si>
  <si>
    <t xml:space="preserve">https://www.vietnamplus.vn/tien-do-trien-khai-benh-an-dien-tu-tren-toan-quoc-van-chua-dat-yeu-cau-post1068289.vnp</t>
  </si>
  <si>
    <r>
      <rPr>
        <sz val="10"/>
        <rFont val="Noto Sans CJK SC"/>
        <family val="2"/>
      </rPr>
      <t xml:space="preserve">電子處方</t>
    </r>
    <r>
      <rPr>
        <sz val="10"/>
        <rFont val="Microsoft JhengHei"/>
        <family val="0"/>
        <charset val="1"/>
      </rPr>
      <t xml:space="preserve">Circular 26/2025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thuvienphapluat</t>
    </r>
    <r>
      <rPr>
        <sz val="10"/>
        <rFont val="Noto Sans CJK SC"/>
        <family val="2"/>
      </rPr>
      <t xml:space="preserve">）</t>
    </r>
  </si>
  <si>
    <t xml:space="preserve">https://thuvienphapluat.vn/chinh-sach-phap-luat-moi/vn/ho-tro-phap-luat/chinh-sach-moi/89231/tu-01-10-2025-tat-ca-cac-benh-vien-bat-buoc-ke-don-thuoc-dien-tu</t>
  </si>
  <si>
    <r>
      <rPr>
        <sz val="10"/>
        <rFont val="Microsoft JhengHei"/>
        <family val="0"/>
        <charset val="1"/>
      </rPr>
      <t xml:space="preserve">PDPL</t>
    </r>
    <r>
      <rPr>
        <sz val="10"/>
        <rFont val="Noto Sans CJK SC"/>
        <family val="2"/>
      </rPr>
      <t xml:space="preserve">個資法（</t>
    </r>
    <r>
      <rPr>
        <sz val="10"/>
        <rFont val="Microsoft JhengHei"/>
        <family val="0"/>
        <charset val="1"/>
      </rPr>
      <t xml:space="preserve">Tilleke &amp; Gibbins 2025</t>
    </r>
    <r>
      <rPr>
        <sz val="10"/>
        <rFont val="Noto Sans CJK SC"/>
        <family val="2"/>
      </rPr>
      <t xml:space="preserve">）</t>
    </r>
  </si>
  <si>
    <t xml:space="preserve">https://www.tilleke.com/insights/vietnams-new-personal-data-protection-law-a-closer-look/</t>
  </si>
  <si>
    <r>
      <rPr>
        <sz val="10"/>
        <rFont val="Noto Sans CJK SC"/>
        <family val="2"/>
      </rPr>
      <t xml:space="preserve">資料法</t>
    </r>
    <r>
      <rPr>
        <sz val="10"/>
        <rFont val="Microsoft JhengHei"/>
        <family val="0"/>
        <charset val="1"/>
      </rPr>
      <t xml:space="preserve">60/2024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KPMG 2024-12</t>
    </r>
    <r>
      <rPr>
        <sz val="10"/>
        <rFont val="Noto Sans CJK SC"/>
        <family val="2"/>
      </rPr>
      <t xml:space="preserve">）</t>
    </r>
  </si>
  <si>
    <t xml:space="preserve">https://kpmg.com/vn/en/insights/2024/12/vietnam-enacts-its-first-ever-data-law.html</t>
  </si>
  <si>
    <r>
      <rPr>
        <sz val="10"/>
        <rFont val="Noto Sans CJK SC"/>
        <family val="2"/>
      </rPr>
      <t xml:space="preserve">越南資料中心市場（</t>
    </r>
    <r>
      <rPr>
        <sz val="10"/>
        <rFont val="Microsoft JhengHei"/>
        <family val="0"/>
        <charset val="1"/>
      </rPr>
      <t xml:space="preserve">trade.gov</t>
    </r>
    <r>
      <rPr>
        <sz val="10"/>
        <rFont val="Noto Sans CJK SC"/>
        <family val="2"/>
      </rPr>
      <t xml:space="preserve">）</t>
    </r>
  </si>
  <si>
    <t xml:space="preserve">https://www.trade.gov/market-intelligence/vietnam-data-centers</t>
  </si>
  <si>
    <r>
      <rPr>
        <sz val="10"/>
        <rFont val="Microsoft JhengHei"/>
        <family val="0"/>
        <charset val="1"/>
      </rPr>
      <t xml:space="preserve">VNeID</t>
    </r>
    <r>
      <rPr>
        <sz val="10"/>
        <rFont val="Noto Sans CJK SC"/>
        <family val="2"/>
      </rPr>
      <t xml:space="preserve">健康簿（</t>
    </r>
    <r>
      <rPr>
        <sz val="10"/>
        <rFont val="Microsoft JhengHei"/>
        <family val="0"/>
        <charset val="1"/>
      </rPr>
      <t xml:space="preserve">baochinhphu 2025-07</t>
    </r>
    <r>
      <rPr>
        <sz val="10"/>
        <rFont val="Noto Sans CJK SC"/>
        <family val="2"/>
      </rPr>
      <t xml:space="preserve">）｜</t>
    </r>
    <r>
      <rPr>
        <sz val="10"/>
        <rFont val="Microsoft JhengHei"/>
        <family val="0"/>
        <charset val="1"/>
      </rPr>
      <t xml:space="preserve">2026-07 </t>
    </r>
    <r>
      <rPr>
        <sz val="10"/>
        <rFont val="Noto Sans CJK SC"/>
        <family val="2"/>
      </rPr>
      <t xml:space="preserve">已更新為約 </t>
    </r>
    <r>
      <rPr>
        <sz val="10"/>
        <rFont val="Microsoft JhengHei"/>
        <family val="0"/>
        <charset val="1"/>
      </rPr>
      <t xml:space="preserve">3,280 </t>
    </r>
    <r>
      <rPr>
        <sz val="10"/>
        <rFont val="Noto Sans CJK SC"/>
        <family val="2"/>
      </rPr>
      <t xml:space="preserve">萬人</t>
    </r>
  </si>
  <si>
    <t xml:space="preserve">https://baochinhphu.vn/lien-thong-so-suc-khoe-dien-tu-toi-tat-ca-co-so-kham-chua-benh-trong-nam-2025-102250720150929958.htm</t>
  </si>
  <si>
    <r>
      <rPr>
        <sz val="10"/>
        <rFont val="Microsoft JhengHei"/>
        <family val="0"/>
        <charset val="1"/>
      </rPr>
      <t xml:space="preserve">VNeID</t>
    </r>
    <r>
      <rPr>
        <sz val="10"/>
        <rFont val="Noto Sans CJK SC"/>
        <family val="2"/>
      </rPr>
      <t xml:space="preserve">紙本同等效力</t>
    </r>
    <r>
      <rPr>
        <sz val="10"/>
        <rFont val="Microsoft JhengHei"/>
        <family val="0"/>
        <charset val="1"/>
      </rPr>
      <t xml:space="preserve">2026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HealthTech Asia</t>
    </r>
    <r>
      <rPr>
        <sz val="10"/>
        <rFont val="Noto Sans CJK SC"/>
        <family val="2"/>
      </rPr>
      <t xml:space="preserve">）</t>
    </r>
  </si>
  <si>
    <t xml:space="preserve">https://healthtechasia.co/vietnam-allows-vneid-electronic-health-records-to-replace-paper-medical-files/</t>
  </si>
  <si>
    <r>
      <rPr>
        <sz val="10"/>
        <rFont val="Noto Sans CJK SC"/>
        <family val="2"/>
      </rPr>
      <t xml:space="preserve">結核</t>
    </r>
    <r>
      <rPr>
        <sz val="10"/>
        <rFont val="Microsoft JhengHei"/>
        <family val="0"/>
        <charset val="1"/>
      </rPr>
      <t xml:space="preserve">AI</t>
    </r>
    <r>
      <rPr>
        <sz val="10"/>
        <rFont val="Noto Sans CJK SC"/>
        <family val="2"/>
      </rPr>
      <t xml:space="preserve">規模化（</t>
    </r>
    <r>
      <rPr>
        <sz val="10"/>
        <rFont val="Microsoft JhengHei"/>
        <family val="0"/>
        <charset val="1"/>
      </rPr>
      <t xml:space="preserve">GHSP 2024</t>
    </r>
    <r>
      <rPr>
        <sz val="10"/>
        <rFont val="Noto Sans CJK SC"/>
        <family val="2"/>
      </rPr>
      <t xml:space="preserve">）</t>
    </r>
  </si>
  <si>
    <t xml:space="preserve">https://www.ghspjournal.org/content/12/3/e2400024</t>
  </si>
  <si>
    <r>
      <rPr>
        <sz val="10"/>
        <rFont val="Microsoft JhengHei"/>
        <family val="0"/>
        <charset val="1"/>
      </rPr>
      <t xml:space="preserve">VinBrain×</t>
    </r>
    <r>
      <rPr>
        <sz val="10"/>
        <rFont val="Noto Sans CJK SC"/>
        <family val="2"/>
      </rPr>
      <t xml:space="preserve">全球基金（</t>
    </r>
    <r>
      <rPr>
        <sz val="10"/>
        <rFont val="Microsoft JhengHei"/>
        <family val="0"/>
        <charset val="1"/>
      </rPr>
      <t xml:space="preserve">Media OutReach 2024-02</t>
    </r>
    <r>
      <rPr>
        <sz val="10"/>
        <rFont val="Noto Sans CJK SC"/>
        <family val="2"/>
      </rPr>
      <t xml:space="preserve">）</t>
    </r>
  </si>
  <si>
    <t xml:space="preserve">https://www.malaymail.com/news/money/mediaoutreach/2024/02/29/vinbrain-and-global-fund-continue-joining-forces-to-tackle-vietnams-tuberculosis-challenge-through-ai-in-2024/280779</t>
  </si>
  <si>
    <r>
      <rPr>
        <sz val="10"/>
        <rFont val="Noto Sans CJK SC"/>
        <family val="2"/>
      </rPr>
      <t xml:space="preserve">數位科技產業法含</t>
    </r>
    <r>
      <rPr>
        <sz val="10"/>
        <rFont val="Microsoft JhengHei"/>
        <family val="0"/>
        <charset val="1"/>
      </rPr>
      <t xml:space="preserve">AI</t>
    </r>
    <r>
      <rPr>
        <sz val="10"/>
        <rFont val="Noto Sans CJK SC"/>
        <family val="2"/>
      </rPr>
      <t xml:space="preserve">專章（</t>
    </r>
    <r>
      <rPr>
        <sz val="10"/>
        <rFont val="Microsoft JhengHei"/>
        <family val="0"/>
        <charset val="1"/>
      </rPr>
      <t xml:space="preserve">DFDL</t>
    </r>
    <r>
      <rPr>
        <sz val="10"/>
        <rFont val="Noto Sans CJK SC"/>
        <family val="2"/>
      </rPr>
      <t xml:space="preserve">）</t>
    </r>
  </si>
  <si>
    <t xml:space="preserve">https://www.dfdl.com/insights/legal-and-tax-updates/vietnam-landmark-law-on-digital-technology-industry-new-frameworks-for-ai-digital-assets/</t>
  </si>
  <si>
    <r>
      <rPr>
        <sz val="10"/>
        <rFont val="Microsoft JhengHei"/>
        <family val="0"/>
        <charset val="1"/>
      </rPr>
      <t xml:space="preserve">AI</t>
    </r>
    <r>
      <rPr>
        <sz val="10"/>
        <rFont val="Noto Sans CJK SC"/>
        <family val="2"/>
      </rPr>
      <t xml:space="preserve">專法草案（</t>
    </r>
    <r>
      <rPr>
        <sz val="10"/>
        <rFont val="Microsoft JhengHei"/>
        <family val="0"/>
        <charset val="1"/>
      </rPr>
      <t xml:space="preserve">IAPP 2025-10</t>
    </r>
    <r>
      <rPr>
        <sz val="10"/>
        <rFont val="Noto Sans CJK SC"/>
        <family val="2"/>
      </rPr>
      <t xml:space="preserve">）</t>
    </r>
  </si>
  <si>
    <t xml:space="preserve">https://iapp.org/news/a/vietnam-s-draft-ai-law-racing-toward-regulation-with-eu-inspirations</t>
  </si>
  <si>
    <r>
      <rPr>
        <sz val="10"/>
        <rFont val="Noto Sans CJK SC"/>
        <family val="2"/>
      </rPr>
      <t xml:space="preserve">遠距醫療法規（</t>
    </r>
    <r>
      <rPr>
        <sz val="10"/>
        <rFont val="Microsoft JhengHei"/>
        <family val="0"/>
        <charset val="1"/>
      </rPr>
      <t xml:space="preserve">Ecovis</t>
    </r>
    <r>
      <rPr>
        <sz val="10"/>
        <rFont val="Noto Sans CJK SC"/>
        <family val="2"/>
      </rPr>
      <t xml:space="preserve">）</t>
    </r>
  </si>
  <si>
    <t xml:space="preserve">https://global.ecovis.com/telemedicine-in-vietnam-regulations-and-their-impact-on-healthcare-service-providers/</t>
  </si>
  <si>
    <r>
      <rPr>
        <sz val="10"/>
        <rFont val="Noto Sans CJK SC"/>
        <family val="2"/>
      </rPr>
      <t xml:space="preserve">衛生部承認</t>
    </r>
    <r>
      <rPr>
        <sz val="10"/>
        <rFont val="Microsoft JhengHei"/>
        <family val="0"/>
        <charset val="1"/>
      </rPr>
      <t xml:space="preserve">JCI</t>
    </r>
    <r>
      <rPr>
        <sz val="10"/>
        <rFont val="Noto Sans CJK SC"/>
        <family val="2"/>
      </rPr>
      <t xml:space="preserve">＋</t>
    </r>
    <r>
      <rPr>
        <sz val="10"/>
        <rFont val="Microsoft JhengHei"/>
        <family val="0"/>
        <charset val="1"/>
      </rPr>
      <t xml:space="preserve">9</t>
    </r>
    <r>
      <rPr>
        <sz val="10"/>
        <rFont val="Noto Sans CJK SC"/>
        <family val="2"/>
      </rPr>
      <t xml:space="preserve">機構（</t>
    </r>
    <r>
      <rPr>
        <sz val="10"/>
        <rFont val="Microsoft JhengHei"/>
        <family val="0"/>
        <charset val="1"/>
      </rPr>
      <t xml:space="preserve">vietnam.vn 2026-01</t>
    </r>
    <r>
      <rPr>
        <sz val="10"/>
        <rFont val="Noto Sans CJK SC"/>
        <family val="2"/>
      </rPr>
      <t xml:space="preserve">）</t>
    </r>
  </si>
  <si>
    <t xml:space="preserve">https://www.vietnam.vn/en/bo-y-te-thua-nhan-bo-tieu-chuan-chat-luong-quoc-te-cua-jci</t>
  </si>
  <si>
    <r>
      <rPr>
        <sz val="10"/>
        <rFont val="Noto Sans CJK SC"/>
        <family val="2"/>
      </rPr>
      <t xml:space="preserve">首家公立</t>
    </r>
    <r>
      <rPr>
        <sz val="10"/>
        <rFont val="Microsoft JhengHei"/>
        <family val="0"/>
        <charset val="1"/>
      </rPr>
      <t xml:space="preserve">JCI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VnExpress 2025-01</t>
    </r>
    <r>
      <rPr>
        <sz val="10"/>
        <rFont val="Noto Sans CJK SC"/>
        <family val="2"/>
      </rPr>
      <t xml:space="preserve">）</t>
    </r>
  </si>
  <si>
    <t xml:space="preserve">https://vnexpress.net/benh-vien-cong-dau-tien-dat-chuan-quoc-te-jci-4842164.html</t>
  </si>
  <si>
    <r>
      <rPr>
        <sz val="10"/>
        <rFont val="Microsoft JhengHei"/>
        <family val="0"/>
        <charset val="1"/>
      </rPr>
      <t xml:space="preserve">VILAS Med 200+</t>
    </r>
    <r>
      <rPr>
        <sz val="10"/>
        <rFont val="Noto Sans CJK SC"/>
        <family val="2"/>
      </rPr>
      <t xml:space="preserve">實驗室（</t>
    </r>
    <r>
      <rPr>
        <sz val="10"/>
        <rFont val="Microsoft JhengHei"/>
        <family val="0"/>
        <charset val="1"/>
      </rPr>
      <t xml:space="preserve">BoA</t>
    </r>
    <r>
      <rPr>
        <sz val="10"/>
        <rFont val="Noto Sans CJK SC"/>
        <family val="2"/>
      </rPr>
      <t xml:space="preserve">官網）</t>
    </r>
  </si>
  <si>
    <t xml:space="preserve">https://www.boa.gov.vn/en/vilas-med</t>
  </si>
  <si>
    <r>
      <rPr>
        <sz val="10"/>
        <rFont val="Microsoft JhengHei"/>
        <family val="0"/>
        <charset val="1"/>
      </rPr>
      <t xml:space="preserve">2027</t>
    </r>
    <r>
      <rPr>
        <sz val="10"/>
        <rFont val="Noto Sans CJK SC"/>
        <family val="2"/>
      </rPr>
      <t xml:space="preserve">醫師國考（</t>
    </r>
    <r>
      <rPr>
        <sz val="10"/>
        <rFont val="Microsoft JhengHei"/>
        <family val="0"/>
        <charset val="1"/>
      </rPr>
      <t xml:space="preserve">CLEAR 2025-06</t>
    </r>
    <r>
      <rPr>
        <sz val="10"/>
        <rFont val="Noto Sans CJK SC"/>
        <family val="2"/>
      </rPr>
      <t xml:space="preserve">）</t>
    </r>
  </si>
  <si>
    <t xml:space="preserve">https://www.clearhq.org/news/vietname-to-establish-licensure-examination-for-health-professionals-6-25-25</t>
  </si>
  <si>
    <r>
      <rPr>
        <sz val="10"/>
        <rFont val="Microsoft JhengHei"/>
        <family val="0"/>
        <charset val="1"/>
      </rPr>
      <t xml:space="preserve">BHYT</t>
    </r>
    <r>
      <rPr>
        <sz val="10"/>
        <rFont val="Noto Sans CJK SC"/>
        <family val="2"/>
      </rPr>
      <t xml:space="preserve">覆蓋</t>
    </r>
    <r>
      <rPr>
        <sz val="10"/>
        <rFont val="Microsoft JhengHei"/>
        <family val="0"/>
        <charset val="1"/>
      </rPr>
      <t xml:space="preserve">95.2%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vietnam.vn 2026-02</t>
    </r>
    <r>
      <rPr>
        <sz val="10"/>
        <rFont val="Noto Sans CJK SC"/>
        <family val="2"/>
      </rPr>
      <t xml:space="preserve">）｜提前</t>
    </r>
    <r>
      <rPr>
        <sz val="10"/>
        <rFont val="Microsoft JhengHei"/>
        <family val="0"/>
        <charset val="1"/>
      </rPr>
      <t xml:space="preserve">5</t>
    </r>
    <r>
      <rPr>
        <sz val="10"/>
        <rFont val="Noto Sans CJK SC"/>
        <family val="2"/>
      </rPr>
      <t xml:space="preserve">年達標；</t>
    </r>
    <r>
      <rPr>
        <sz val="10"/>
        <rFont val="Microsoft JhengHei"/>
        <family val="0"/>
        <charset val="1"/>
      </rPr>
      <t xml:space="preserve">QĐ 1468/QĐ-TTg </t>
    </r>
    <r>
      <rPr>
        <sz val="10"/>
        <rFont val="Noto Sans CJK SC"/>
        <family val="2"/>
      </rPr>
      <t xml:space="preserve">訂</t>
    </r>
    <r>
      <rPr>
        <sz val="10"/>
        <rFont val="Microsoft JhengHei"/>
        <family val="0"/>
        <charset val="1"/>
      </rPr>
      <t xml:space="preserve">2030</t>
    </r>
    <r>
      <rPr>
        <sz val="10"/>
        <rFont val="Noto Sans CJK SC"/>
        <family val="2"/>
      </rPr>
      <t xml:space="preserve">年</t>
    </r>
    <r>
      <rPr>
        <sz val="10"/>
        <rFont val="Microsoft JhengHei"/>
        <family val="0"/>
        <charset val="1"/>
      </rPr>
      <t xml:space="preserve">100%</t>
    </r>
  </si>
  <si>
    <t xml:space="preserve">https://www.vietnam.vn/en/bao-phu-bao-hiem-y-te-diem-sang-noi-bat-trong-thuc-hien-nghi-quyet-dai-hoi-xiii-cua-dang</t>
  </si>
  <si>
    <r>
      <rPr>
        <sz val="10"/>
        <rFont val="Microsoft JhengHei"/>
        <family val="0"/>
        <charset val="1"/>
      </rPr>
      <t xml:space="preserve">DRG</t>
    </r>
    <r>
      <rPr>
        <sz val="10"/>
        <rFont val="Noto Sans CJK SC"/>
        <family val="2"/>
      </rPr>
      <t xml:space="preserve">支付改革現況（</t>
    </r>
    <r>
      <rPr>
        <sz val="10"/>
        <rFont val="Microsoft JhengHei"/>
        <family val="0"/>
        <charset val="1"/>
      </rPr>
      <t xml:space="preserve">PEAH 2026-05</t>
    </r>
    <r>
      <rPr>
        <sz val="10"/>
        <rFont val="Noto Sans CJK SC"/>
        <family val="2"/>
      </rPr>
      <t xml:space="preserve">）</t>
    </r>
  </si>
  <si>
    <t xml:space="preserve">https://www.peah.it/2026/05/healthcare-provider-payment-reform-in-vietnam-current-policy-directions-and-potential-solutions/</t>
  </si>
  <si>
    <r>
      <rPr>
        <sz val="10"/>
        <rFont val="Noto Sans CJK SC"/>
        <family val="2"/>
      </rPr>
      <t xml:space="preserve">醫院無現金現況（</t>
    </r>
    <r>
      <rPr>
        <sz val="10"/>
        <rFont val="Microsoft JhengHei"/>
        <family val="0"/>
        <charset val="1"/>
      </rPr>
      <t xml:space="preserve">VietnamNet 2026-04</t>
    </r>
    <r>
      <rPr>
        <sz val="10"/>
        <rFont val="Noto Sans CJK SC"/>
        <family val="2"/>
      </rPr>
      <t xml:space="preserve">）</t>
    </r>
  </si>
  <si>
    <t xml:space="preserve">https://vietnamnet.vn/en/cashless-payment-navigates-vietnam-s-hospitals-2505946.html</t>
  </si>
  <si>
    <r>
      <rPr>
        <sz val="10"/>
        <rFont val="Noto Sans CJK SC"/>
        <family val="2"/>
      </rPr>
      <t xml:space="preserve">醫療觀光</t>
    </r>
    <r>
      <rPr>
        <sz val="10"/>
        <rFont val="Microsoft JhengHei"/>
        <family val="0"/>
        <charset val="1"/>
      </rPr>
      <t xml:space="preserve">2030</t>
    </r>
    <r>
      <rPr>
        <sz val="10"/>
        <rFont val="Noto Sans CJK SC"/>
        <family val="2"/>
      </rPr>
      <t xml:space="preserve">目標（</t>
    </r>
    <r>
      <rPr>
        <sz val="10"/>
        <rFont val="Microsoft JhengHei"/>
        <family val="0"/>
        <charset val="1"/>
      </rPr>
      <t xml:space="preserve">DTiNews 2026-08-12</t>
    </r>
    <r>
      <rPr>
        <sz val="10"/>
        <rFont val="Noto Sans CJK SC"/>
        <family val="2"/>
      </rPr>
      <t xml:space="preserve">）</t>
    </r>
  </si>
  <si>
    <t xml:space="preserve">https://dtinews.dantri.com.vn/lifestyle/vietnam-targets-750000-medical-tourists-by-2030-20260812071810418.htm</t>
  </si>
  <si>
    <r>
      <rPr>
        <sz val="10"/>
        <rFont val="Noto Sans CJK SC"/>
        <family val="2"/>
      </rPr>
      <t xml:space="preserve">出境就醫估計（</t>
    </r>
    <r>
      <rPr>
        <sz val="10"/>
        <rFont val="Microsoft JhengHei"/>
        <family val="0"/>
        <charset val="1"/>
      </rPr>
      <t xml:space="preserve">vietnam.vn 2025-09</t>
    </r>
    <r>
      <rPr>
        <sz val="10"/>
        <rFont val="Noto Sans CJK SC"/>
        <family val="2"/>
      </rPr>
      <t xml:space="preserve">）</t>
    </r>
  </si>
  <si>
    <t xml:space="preserve">https://www.vietnam.vn/en/ly-do-moi-nam-40-000-nguoi-viet-co-thu-nhap-cao-ra-nuoc-ngoai-kham-chua-benh</t>
  </si>
  <si>
    <r>
      <rPr>
        <sz val="10"/>
        <rFont val="Noto Sans CJK SC"/>
        <family val="2"/>
      </rPr>
      <t xml:space="preserve">健康險市場（</t>
    </r>
    <r>
      <rPr>
        <sz val="10"/>
        <rFont val="Microsoft JhengHei"/>
        <family val="0"/>
        <charset val="1"/>
      </rPr>
      <t xml:space="preserve">IMARC</t>
    </r>
    <r>
      <rPr>
        <sz val="10"/>
        <rFont val="Noto Sans CJK SC"/>
        <family val="2"/>
      </rPr>
      <t xml:space="preserve">）</t>
    </r>
  </si>
  <si>
    <t xml:space="preserve">https://www.imarcgroup.com/vietnam-health-insurance-market</t>
  </si>
  <si>
    <r>
      <rPr>
        <sz val="10"/>
        <rFont val="Noto Sans CJK SC"/>
        <family val="2"/>
      </rPr>
      <t xml:space="preserve">人力目標</t>
    </r>
    <r>
      <rPr>
        <sz val="10"/>
        <rFont val="Microsoft JhengHei"/>
        <family val="0"/>
        <charset val="1"/>
      </rPr>
      <t xml:space="preserve">15</t>
    </r>
    <r>
      <rPr>
        <sz val="10"/>
        <rFont val="Noto Sans CJK SC"/>
        <family val="2"/>
      </rPr>
      <t xml:space="preserve">醫師</t>
    </r>
    <r>
      <rPr>
        <sz val="10"/>
        <rFont val="Microsoft JhengHei"/>
        <family val="0"/>
        <charset val="1"/>
      </rPr>
      <t xml:space="preserve">/</t>
    </r>
    <r>
      <rPr>
        <sz val="10"/>
        <rFont val="Noto Sans CJK SC"/>
        <family val="2"/>
      </rPr>
      <t xml:space="preserve">萬（</t>
    </r>
    <r>
      <rPr>
        <sz val="10"/>
        <rFont val="Microsoft JhengHei"/>
        <family val="0"/>
        <charset val="1"/>
      </rPr>
      <t xml:space="preserve">VnExpress 2024-03</t>
    </r>
    <r>
      <rPr>
        <sz val="10"/>
        <rFont val="Noto Sans CJK SC"/>
        <family val="2"/>
      </rPr>
      <t xml:space="preserve">）｜</t>
    </r>
    <r>
      <rPr>
        <sz val="10"/>
        <rFont val="Microsoft JhengHei"/>
        <family val="0"/>
        <charset val="1"/>
      </rPr>
      <t xml:space="preserve">2025</t>
    </r>
    <r>
      <rPr>
        <sz val="10"/>
        <rFont val="Noto Sans CJK SC"/>
        <family val="2"/>
      </rPr>
      <t xml:space="preserve">年底已達標，</t>
    </r>
    <r>
      <rPr>
        <sz val="10"/>
        <rFont val="Microsoft JhengHei"/>
        <family val="0"/>
        <charset val="1"/>
      </rPr>
      <t xml:space="preserve">2026</t>
    </r>
    <r>
      <rPr>
        <sz val="10"/>
        <rFont val="Noto Sans CJK SC"/>
        <family val="2"/>
      </rPr>
      <t xml:space="preserve">年新目標 </t>
    </r>
    <r>
      <rPr>
        <sz val="10"/>
        <rFont val="Microsoft JhengHei"/>
        <family val="0"/>
        <charset val="1"/>
      </rPr>
      <t xml:space="preserve">15.3</t>
    </r>
  </si>
  <si>
    <t xml:space="preserve">https://e.vnexpress.net/news/news/vietnam-aims-for-15-doctors-per-10-000-people-4716651.html</t>
  </si>
  <si>
    <r>
      <rPr>
        <sz val="10"/>
        <rFont val="Noto Sans CJK SC"/>
        <family val="2"/>
      </rPr>
      <t xml:space="preserve">冷鏈物流市場（</t>
    </r>
    <r>
      <rPr>
        <sz val="10"/>
        <rFont val="Microsoft JhengHei"/>
        <family val="0"/>
        <charset val="1"/>
      </rPr>
      <t xml:space="preserve">TechSci</t>
    </r>
    <r>
      <rPr>
        <sz val="10"/>
        <rFont val="Noto Sans CJK SC"/>
        <family val="2"/>
      </rPr>
      <t xml:space="preserve">）</t>
    </r>
  </si>
  <si>
    <t xml:space="preserve">https://www.techsciresearch.com/news/8597-vietnam-cold-chain-logistics-market.html</t>
  </si>
  <si>
    <r>
      <rPr>
        <sz val="10"/>
        <rFont val="Microsoft JhengHei"/>
        <family val="0"/>
        <charset val="1"/>
      </rPr>
      <t xml:space="preserve">FM</t>
    </r>
    <r>
      <rPr>
        <sz val="10"/>
        <rFont val="Noto Sans CJK SC"/>
        <family val="2"/>
      </rPr>
      <t xml:space="preserve">市場（</t>
    </r>
    <r>
      <rPr>
        <sz val="10"/>
        <rFont val="Microsoft JhengHei"/>
        <family val="0"/>
        <charset val="1"/>
      </rPr>
      <t xml:space="preserve">Ken Research</t>
    </r>
    <r>
      <rPr>
        <sz val="10"/>
        <rFont val="Noto Sans CJK SC"/>
        <family val="2"/>
      </rPr>
      <t xml:space="preserve">）</t>
    </r>
  </si>
  <si>
    <t xml:space="preserve">https://www.kenresearch.com/vietnam-facility-management-outsourcing-market</t>
  </si>
  <si>
    <r>
      <rPr>
        <sz val="10"/>
        <rFont val="Noto Sans CJK SC"/>
        <family val="2"/>
      </rPr>
      <t xml:space="preserve">醫廢量能錯配研究（</t>
    </r>
    <r>
      <rPr>
        <sz val="10"/>
        <rFont val="Microsoft JhengHei"/>
        <family val="0"/>
        <charset val="1"/>
      </rPr>
      <t xml:space="preserve">PMC 2022</t>
    </r>
    <r>
      <rPr>
        <sz val="10"/>
        <rFont val="Noto Sans CJK SC"/>
        <family val="2"/>
      </rPr>
      <t xml:space="preserve">）</t>
    </r>
  </si>
  <si>
    <t xml:space="preserve">https://pmc.ncbi.nlm.nih.gov/articles/PMC9589545/</t>
  </si>
  <si>
    <r>
      <rPr>
        <sz val="10"/>
        <rFont val="Noto Sans CJK SC"/>
        <family val="2"/>
      </rPr>
      <t xml:space="preserve">高齡化與長照（</t>
    </r>
    <r>
      <rPr>
        <sz val="10"/>
        <rFont val="Microsoft JhengHei"/>
        <family val="0"/>
        <charset val="1"/>
      </rPr>
      <t xml:space="preserve">UNFPA 2026-02</t>
    </r>
    <r>
      <rPr>
        <sz val="10"/>
        <rFont val="Noto Sans CJK SC"/>
        <family val="2"/>
      </rPr>
      <t xml:space="preserve">）</t>
    </r>
  </si>
  <si>
    <t xml:space="preserve">https://vietnam.unfpa.org/en/news/population-ageing-viet-nam-demographic-transition-development-opportunity</t>
  </si>
  <si>
    <r>
      <rPr>
        <sz val="10"/>
        <rFont val="Noto Sans CJK SC"/>
        <family val="2"/>
      </rPr>
      <t xml:space="preserve">介入心臟市場（</t>
    </r>
    <r>
      <rPr>
        <sz val="10"/>
        <rFont val="Microsoft JhengHei"/>
        <family val="0"/>
        <charset val="1"/>
      </rPr>
      <t xml:space="preserve">Data Bridge</t>
    </r>
    <r>
      <rPr>
        <sz val="10"/>
        <rFont val="Noto Sans CJK SC"/>
        <family val="2"/>
      </rPr>
      <t xml:space="preserve">）</t>
    </r>
  </si>
  <si>
    <t xml:space="preserve">https://www.databridgemarketresearch.com/reports/vietnam-interventional-cardiology-market</t>
  </si>
  <si>
    <r>
      <rPr>
        <sz val="10"/>
        <rFont val="Noto Sans CJK SC"/>
        <family val="2"/>
      </rPr>
      <t xml:space="preserve">數位健康市場（</t>
    </r>
    <r>
      <rPr>
        <sz val="10"/>
        <rFont val="Microsoft JhengHei"/>
        <family val="0"/>
        <charset val="1"/>
      </rPr>
      <t xml:space="preserve">IMARC</t>
    </r>
    <r>
      <rPr>
        <sz val="10"/>
        <rFont val="Noto Sans CJK SC"/>
        <family val="2"/>
      </rPr>
      <t xml:space="preserve">）</t>
    </r>
  </si>
  <si>
    <t xml:space="preserve">https://www.imarcgroup.com/vietnam-digital-health-market</t>
  </si>
  <si>
    <t xml:space="preserve">研究方法與限制</t>
  </si>
  <si>
    <r>
      <rPr>
        <sz val="10"/>
        <rFont val="Noto Sans CJK SC"/>
        <family val="2"/>
      </rPr>
      <t xml:space="preserve">・五組平行研究（投資建築／醫材供應鏈／數位資訊／</t>
    </r>
    <r>
      <rPr>
        <sz val="10"/>
        <rFont val="Microsoft JhengHei"/>
        <family val="0"/>
        <charset val="1"/>
      </rPr>
      <t xml:space="preserve">AI</t>
    </r>
    <r>
      <rPr>
        <sz val="10"/>
        <rFont val="Noto Sans CJK SC"/>
        <family val="2"/>
      </rPr>
      <t xml:space="preserve">照護／品質金流）＋一組 </t>
    </r>
    <r>
      <rPr>
        <sz val="10"/>
        <rFont val="Microsoft JhengHei"/>
        <family val="0"/>
        <charset val="1"/>
      </rPr>
      <t xml:space="preserve">AIoT </t>
    </r>
    <r>
      <rPr>
        <sz val="10"/>
        <rFont val="Noto Sans CJK SC"/>
        <family val="2"/>
      </rPr>
      <t xml:space="preserve">補查，全部即時網路查證。</t>
    </r>
  </si>
  <si>
    <t xml:space="preserve">・優先採官方來源：越南政府公報、衛生部、世界銀行、美國商務部、大型律所與研究機構。</t>
  </si>
  <si>
    <t xml:space="preserve">・查不到的一律標「未查得」不編造。「未查得」本身也是情報——代表沒有公開統計、進入者要自建市場情報。</t>
  </si>
  <si>
    <r>
      <rPr>
        <sz val="10"/>
        <rFont val="Noto Sans CJK SC"/>
        <family val="2"/>
      </rPr>
      <t xml:space="preserve">・已知矛盾都標示在對照表：醫材市場規模兩家口徑不同、出境就醫金額</t>
    </r>
    <r>
      <rPr>
        <sz val="10"/>
        <rFont val="Microsoft JhengHei"/>
        <family val="0"/>
        <charset val="1"/>
      </rPr>
      <t xml:space="preserve">2026-08</t>
    </r>
    <r>
      <rPr>
        <sz val="10"/>
        <rFont val="Noto Sans CJK SC"/>
        <family val="2"/>
      </rPr>
      <t xml:space="preserve">已上修為 </t>
    </r>
    <r>
      <rPr>
        <sz val="10"/>
        <rFont val="Microsoft JhengHei"/>
        <family val="0"/>
        <charset val="1"/>
      </rPr>
      <t xml:space="preserve">20-30 </t>
    </r>
    <r>
      <rPr>
        <sz val="10"/>
        <rFont val="Noto Sans CJK SC"/>
        <family val="2"/>
      </rPr>
      <t xml:space="preserve">億美元（估計值非統計，人次數字待覆核）。</t>
    </r>
  </si>
  <si>
    <r>
      <rPr>
        <sz val="10"/>
        <rFont val="Noto Sans CJK SC"/>
        <family val="2"/>
      </rPr>
      <t xml:space="preserve">・</t>
    </r>
    <r>
      <rPr>
        <sz val="10"/>
        <rFont val="Microsoft JhengHei"/>
        <family val="0"/>
        <charset val="1"/>
      </rPr>
      <t xml:space="preserve">RTLS </t>
    </r>
    <r>
      <rPr>
        <sz val="10"/>
        <rFont val="Noto Sans CJK SC"/>
        <family val="2"/>
      </rPr>
      <t xml:space="preserve">效益數字來自方案商彙整（非同儕審查文獻），引用時請標明出處性質。</t>
    </r>
  </si>
  <si>
    <r>
      <rPr>
        <b val="true"/>
        <sz val="10"/>
        <rFont val="Microsoft JhengHei"/>
        <family val="0"/>
        <charset val="1"/>
      </rPr>
      <t xml:space="preserve">── 2026-08-18 </t>
    </r>
    <r>
      <rPr>
        <b val="true"/>
        <sz val="10"/>
        <rFont val="Noto Sans CJK SC"/>
        <family val="2"/>
      </rPr>
      <t xml:space="preserve">重新實查：新增／更正來源（⚠＝原記載已失效或誤植）──</t>
    </r>
  </si>
  <si>
    <t xml:space="preserve">46</t>
  </si>
  <si>
    <r>
      <rPr>
        <sz val="10"/>
        <rFont val="Microsoft JhengHei"/>
        <family val="0"/>
        <charset val="1"/>
      </rPr>
      <t xml:space="preserve">⚠PPP</t>
    </r>
    <r>
      <rPr>
        <sz val="10"/>
        <rFont val="Noto Sans CJK SC"/>
        <family val="2"/>
      </rPr>
      <t xml:space="preserve">：</t>
    </r>
    <r>
      <rPr>
        <sz val="10"/>
        <rFont val="Microsoft JhengHei"/>
        <family val="0"/>
        <charset val="1"/>
      </rPr>
      <t xml:space="preserve">Nghị định 243/2025 </t>
    </r>
    <r>
      <rPr>
        <sz val="10"/>
        <rFont val="Noto Sans CJK SC"/>
        <family val="2"/>
      </rPr>
      <t xml:space="preserve">廢止 </t>
    </r>
    <r>
      <rPr>
        <sz val="10"/>
        <rFont val="Microsoft JhengHei"/>
        <family val="0"/>
        <charset val="1"/>
      </rPr>
      <t xml:space="preserve">Decree 71/2025</t>
    </r>
  </si>
  <si>
    <t xml:space="preserve">https://thuviennhadat.vn/phap-luat/nghi-dinh-243-2025-bai-bo-nhung-nghi-dinh-nao-hieu-luc-thi-hanh-cua-nghi-dinh-243-2025-707845.html</t>
  </si>
  <si>
    <t xml:space="preserve">47</t>
  </si>
  <si>
    <r>
      <rPr>
        <sz val="10"/>
        <rFont val="Microsoft JhengHei"/>
        <family val="0"/>
        <charset val="1"/>
      </rPr>
      <t xml:space="preserve">PPP</t>
    </r>
    <r>
      <rPr>
        <sz val="10"/>
        <rFont val="Noto Sans CJK SC"/>
        <family val="2"/>
      </rPr>
      <t xml:space="preserve">法現行細則彙整（</t>
    </r>
    <r>
      <rPr>
        <sz val="10"/>
        <rFont val="Microsoft JhengHei"/>
        <family val="0"/>
        <charset val="1"/>
      </rPr>
      <t xml:space="preserve">thuvienphapluat 2026</t>
    </r>
    <r>
      <rPr>
        <sz val="10"/>
        <rFont val="Noto Sans CJK SC"/>
        <family val="2"/>
      </rPr>
      <t xml:space="preserve">）</t>
    </r>
  </si>
  <si>
    <t xml:space="preserve">https://thuvienphapluat.vn/chinh-sach-phap-luat-moi/vn/ho-tro-phap-luat/chinh-sach-moi/106581/luat-ppp-moi-nhat-2026-va-tong-hop-van-ban-huong-dan-luat-ppp</t>
  </si>
  <si>
    <t xml:space="preserve">48</t>
  </si>
  <si>
    <r>
      <rPr>
        <sz val="10"/>
        <rFont val="Noto Sans CJK SC"/>
        <family val="2"/>
      </rPr>
      <t xml:space="preserve">⚠屋頂光電餘電可售提高至</t>
    </r>
    <r>
      <rPr>
        <sz val="10"/>
        <rFont val="Microsoft JhengHei"/>
        <family val="0"/>
        <charset val="1"/>
      </rPr>
      <t xml:space="preserve">50%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Báo Chính phủ 2026-06-27</t>
    </r>
    <r>
      <rPr>
        <sz val="10"/>
        <rFont val="Noto Sans CJK SC"/>
        <family val="2"/>
      </rPr>
      <t xml:space="preserve">）</t>
    </r>
  </si>
  <si>
    <t xml:space="preserve">https://baochinhphu.vn/dien-mat-troi-mai-nha-nang-ty-le-san-luong-dien-du-duoc-phep-ban-len-toi-50-102260627163140525.htm</t>
  </si>
  <si>
    <t xml:space="preserve">49</t>
  </si>
  <si>
    <r>
      <rPr>
        <sz val="10"/>
        <rFont val="Noto Sans CJK SC"/>
        <family val="2"/>
      </rPr>
      <t xml:space="preserve">⚠選商方式</t>
    </r>
    <r>
      <rPr>
        <sz val="10"/>
        <rFont val="Microsoft JhengHei"/>
        <family val="0"/>
        <charset val="1"/>
      </rPr>
      <t xml:space="preserve">2025-07-01</t>
    </r>
    <r>
      <rPr>
        <sz val="10"/>
        <rFont val="Noto Sans CJK SC"/>
        <family val="2"/>
      </rPr>
      <t xml:space="preserve">起</t>
    </r>
    <r>
      <rPr>
        <sz val="10"/>
        <rFont val="Microsoft JhengHei"/>
        <family val="0"/>
        <charset val="1"/>
      </rPr>
      <t xml:space="preserve">10</t>
    </r>
    <r>
      <rPr>
        <sz val="10"/>
        <rFont val="Noto Sans CJK SC"/>
        <family val="2"/>
      </rPr>
      <t xml:space="preserve">種（</t>
    </r>
    <r>
      <rPr>
        <sz val="10"/>
        <rFont val="Microsoft JhengHei"/>
        <family val="0"/>
        <charset val="1"/>
      </rPr>
      <t xml:space="preserve">VACC</t>
    </r>
    <r>
      <rPr>
        <sz val="10"/>
        <rFont val="Noto Sans CJK SC"/>
        <family val="2"/>
      </rPr>
      <t xml:space="preserve">）</t>
    </r>
  </si>
  <si>
    <t xml:space="preserve">https://vacc.vn/10-hinh-thuc-lua-chon-nha-thau-tai-luat-dau-thau-tu-01-7-2025/</t>
  </si>
  <si>
    <t xml:space="preserve">50</t>
  </si>
  <si>
    <r>
      <rPr>
        <sz val="10"/>
        <rFont val="Microsoft JhengHei"/>
        <family val="0"/>
        <charset val="1"/>
      </rPr>
      <t xml:space="preserve">Quyết định 965/QĐ-BYT EMR 2026-2030</t>
    </r>
    <r>
      <rPr>
        <sz val="10"/>
        <rFont val="Noto Sans CJK SC"/>
        <family val="2"/>
      </rPr>
      <t xml:space="preserve">計畫</t>
    </r>
  </si>
  <si>
    <t xml:space="preserve">https://thuvienphapluat.vn/chinh-sach-phap-luat-moi/vn/ho-tro-phap-luat/chinh-sach-moi/109943/ke-hoach-trien-khai-ho-so-benh-an-dien-tu-tren-toan-quoc-giai-doan-2026-2030-quyet-dinh-965-qd-byt</t>
  </si>
  <si>
    <t xml:space="preserve">51</t>
  </si>
  <si>
    <r>
      <rPr>
        <sz val="10"/>
        <rFont val="Noto Sans CJK SC"/>
        <family val="2"/>
      </rPr>
      <t xml:space="preserve">衛生部</t>
    </r>
    <r>
      <rPr>
        <sz val="10"/>
        <rFont val="Microsoft JhengHei"/>
        <family val="0"/>
        <charset val="1"/>
      </rPr>
      <t xml:space="preserve">EMR</t>
    </r>
    <r>
      <rPr>
        <sz val="10"/>
        <rFont val="Noto Sans CJK SC"/>
        <family val="2"/>
      </rPr>
      <t xml:space="preserve">登錄平台（即時家數）</t>
    </r>
  </si>
  <si>
    <t xml:space="preserve">https://benhandientu.moh.gov.vn/</t>
  </si>
  <si>
    <t xml:space="preserve">52</t>
  </si>
  <si>
    <r>
      <rPr>
        <sz val="10"/>
        <rFont val="Noto Sans CJK SC"/>
        <family val="2"/>
      </rPr>
      <t xml:space="preserve">河內</t>
    </r>
    <r>
      <rPr>
        <sz val="10"/>
        <rFont val="Microsoft JhengHei"/>
        <family val="0"/>
        <charset val="1"/>
      </rPr>
      <t xml:space="preserve">42</t>
    </r>
    <r>
      <rPr>
        <sz val="10"/>
        <rFont val="Noto Sans CJK SC"/>
        <family val="2"/>
      </rPr>
      <t xml:space="preserve">家公立醫院</t>
    </r>
    <r>
      <rPr>
        <sz val="10"/>
        <rFont val="Microsoft JhengHei"/>
        <family val="0"/>
        <charset val="1"/>
      </rPr>
      <t xml:space="preserve">EMR 100%</t>
    </r>
    <r>
      <rPr>
        <sz val="10"/>
        <rFont val="Noto Sans CJK SC"/>
        <family val="2"/>
      </rPr>
      <t xml:space="preserve">完成（</t>
    </r>
    <r>
      <rPr>
        <sz val="10"/>
        <rFont val="Microsoft JhengHei"/>
        <family val="0"/>
        <charset val="1"/>
      </rPr>
      <t xml:space="preserve">VietnamPlus 2025-10-01</t>
    </r>
    <r>
      <rPr>
        <sz val="10"/>
        <rFont val="Noto Sans CJK SC"/>
        <family val="2"/>
      </rPr>
      <t xml:space="preserve">）</t>
    </r>
  </si>
  <si>
    <t xml:space="preserve">https://www.vietnamplus.vn/ha-noi-100-benh-vien-cong-lap-hoan-thanh-trien-khai-benh-an-dien-tu-post1066281.vnp</t>
  </si>
  <si>
    <t xml:space="preserve">53</t>
  </si>
  <si>
    <r>
      <rPr>
        <sz val="10"/>
        <rFont val="Microsoft JhengHei"/>
        <family val="0"/>
        <charset val="1"/>
      </rPr>
      <t xml:space="preserve">VNeID</t>
    </r>
    <r>
      <rPr>
        <sz val="10"/>
        <rFont val="Noto Sans CJK SC"/>
        <family val="2"/>
      </rPr>
      <t xml:space="preserve">健康簿約</t>
    </r>
    <r>
      <rPr>
        <sz val="10"/>
        <rFont val="Microsoft JhengHei"/>
        <family val="0"/>
        <charset val="1"/>
      </rPr>
      <t xml:space="preserve">3,280</t>
    </r>
    <r>
      <rPr>
        <sz val="10"/>
        <rFont val="Noto Sans CJK SC"/>
        <family val="2"/>
      </rPr>
      <t xml:space="preserve">萬人（</t>
    </r>
    <r>
      <rPr>
        <sz val="10"/>
        <rFont val="Microsoft JhengHei"/>
        <family val="0"/>
        <charset val="1"/>
      </rPr>
      <t xml:space="preserve">Dân trí 2026-07-15</t>
    </r>
    <r>
      <rPr>
        <sz val="10"/>
        <rFont val="Noto Sans CJK SC"/>
        <family val="2"/>
      </rPr>
      <t xml:space="preserve">）</t>
    </r>
  </si>
  <si>
    <t xml:space="preserve">https://dantri.com.vn/suc-khoe/moi-nguoi-dan-se-co-so-suc-khoe-dien-tu-tren-vneid-20260715124401002.htm</t>
  </si>
  <si>
    <t xml:space="preserve">54</t>
  </si>
  <si>
    <r>
      <rPr>
        <sz val="10"/>
        <rFont val="Microsoft JhengHei"/>
        <family val="0"/>
        <charset val="1"/>
      </rPr>
      <t xml:space="preserve">Quyết định 31/QĐ-BYT VNeID</t>
    </r>
    <r>
      <rPr>
        <sz val="10"/>
        <rFont val="Noto Sans CJK SC"/>
        <family val="2"/>
      </rPr>
      <t xml:space="preserve">與紙本同等效力</t>
    </r>
  </si>
  <si>
    <t xml:space="preserve">https://thuvienphapluat.vn/phap-luat/ho-tro-phap-luat/chinh-thuc-su-dung-so-suc-khoe-dien-tu-tren-vneid-thay-the-so-giay-tu-2026-theo-quyet-dinh-31qdbyt--250277.html</t>
  </si>
  <si>
    <t xml:space="preserve">55</t>
  </si>
  <si>
    <r>
      <rPr>
        <sz val="10"/>
        <rFont val="Noto Sans CJK SC"/>
        <family val="2"/>
      </rPr>
      <t xml:space="preserve">⚠白梅二院</t>
    </r>
    <r>
      <rPr>
        <sz val="10"/>
        <rFont val="Microsoft JhengHei"/>
        <family val="0"/>
        <charset val="1"/>
      </rPr>
      <t xml:space="preserve">2026-06-26</t>
    </r>
    <r>
      <rPr>
        <sz val="10"/>
        <rFont val="Noto Sans CJK SC"/>
        <family val="2"/>
      </rPr>
      <t xml:space="preserve">收治（</t>
    </r>
    <r>
      <rPr>
        <sz val="10"/>
        <rFont val="Microsoft JhengHei"/>
        <family val="0"/>
        <charset val="1"/>
      </rPr>
      <t xml:space="preserve">Báo Ninh Bình</t>
    </r>
    <r>
      <rPr>
        <sz val="10"/>
        <rFont val="Noto Sans CJK SC"/>
        <family val="2"/>
      </rPr>
      <t xml:space="preserve">）</t>
    </r>
  </si>
  <si>
    <t xml:space="preserve">https://baoninhbinh.org.vn/benh-vien-bach-mai-co-so-2-san-sang-phuc-vu-nguoi-dan-ninh-binh-va-cac-tinh-lan-260624210503120.html</t>
  </si>
  <si>
    <t xml:space="preserve">56</t>
  </si>
  <si>
    <r>
      <rPr>
        <sz val="10"/>
        <rFont val="Noto Sans CJK SC"/>
        <family val="2"/>
      </rPr>
      <t xml:space="preserve">⚠越德二院</t>
    </r>
    <r>
      <rPr>
        <sz val="10"/>
        <rFont val="Microsoft JhengHei"/>
        <family val="0"/>
        <charset val="1"/>
      </rPr>
      <t xml:space="preserve">2026-07-09</t>
    </r>
    <r>
      <rPr>
        <sz val="10"/>
        <rFont val="Noto Sans CJK SC"/>
        <family val="2"/>
      </rPr>
      <t xml:space="preserve">開幕（</t>
    </r>
    <r>
      <rPr>
        <sz val="10"/>
        <rFont val="Microsoft JhengHei"/>
        <family val="0"/>
        <charset val="1"/>
      </rPr>
      <t xml:space="preserve">Nhân Dân</t>
    </r>
    <r>
      <rPr>
        <sz val="10"/>
        <rFont val="Noto Sans CJK SC"/>
        <family val="2"/>
      </rPr>
      <t xml:space="preserve">）</t>
    </r>
  </si>
  <si>
    <t xml:space="preserve">https://nhandan.vn/benh-vien-huu-nghi-viet-duc-co-so-2-san-sang-tiep-nhan-benh-nhan-trien-khai-giai-doan-dau-voi-300-giuong-benh-post969674.html</t>
  </si>
  <si>
    <t xml:space="preserve">57</t>
  </si>
  <si>
    <r>
      <rPr>
        <sz val="10"/>
        <rFont val="Noto Sans CJK SC"/>
        <family val="2"/>
      </rPr>
      <t xml:space="preserve">兩院</t>
    </r>
    <r>
      <rPr>
        <sz val="10"/>
        <rFont val="Microsoft JhengHei"/>
        <family val="0"/>
        <charset val="1"/>
      </rPr>
      <t xml:space="preserve">2025-12-19</t>
    </r>
    <r>
      <rPr>
        <sz val="10"/>
        <rFont val="Noto Sans CJK SC"/>
        <family val="2"/>
      </rPr>
      <t xml:space="preserve">聯合落成（</t>
    </r>
    <r>
      <rPr>
        <sz val="10"/>
        <rFont val="Microsoft JhengHei"/>
        <family val="0"/>
        <charset val="1"/>
      </rPr>
      <t xml:space="preserve">Nhân Dân</t>
    </r>
    <r>
      <rPr>
        <sz val="10"/>
        <rFont val="Noto Sans CJK SC"/>
        <family val="2"/>
      </rPr>
      <t xml:space="preserve">）</t>
    </r>
  </si>
  <si>
    <t xml:space="preserve">https://nhandan.vn/chinh-thuc-khanh-thanh-co-so-2-cua-hai-benh-vien-bach-mai-va-huu-nghi-viet-duc-post931397.html</t>
  </si>
  <si>
    <t xml:space="preserve">58</t>
  </si>
  <si>
    <r>
      <rPr>
        <sz val="10"/>
        <rFont val="Noto Sans CJK SC"/>
        <family val="2"/>
      </rPr>
      <t xml:space="preserve">政府監察：兩大標案全環節違規（</t>
    </r>
    <r>
      <rPr>
        <sz val="10"/>
        <rFont val="Microsoft JhengHei"/>
        <family val="0"/>
        <charset val="1"/>
      </rPr>
      <t xml:space="preserve">Thanh tra</t>
    </r>
    <r>
      <rPr>
        <sz val="10"/>
        <rFont val="Noto Sans CJK SC"/>
        <family val="2"/>
      </rPr>
      <t xml:space="preserve">）</t>
    </r>
  </si>
  <si>
    <t xml:space="preserve">https://thanhtra.com.vn/ket-luan-thanh-tra-E17BD7A25/2-goi-thau-hon-4300-ty-cua-benh-vien-bach-mai-viet-duc-co-so-2-nhieu-vi-pham-o-tat-ca-cac-khau-142555e66.html</t>
  </si>
  <si>
    <t xml:space="preserve">59</t>
  </si>
  <si>
    <r>
      <rPr>
        <sz val="10"/>
        <rFont val="Noto Sans CJK SC"/>
        <family val="2"/>
      </rPr>
      <t xml:space="preserve">河內醫療綜合體</t>
    </r>
    <r>
      <rPr>
        <sz val="10"/>
        <rFont val="Microsoft JhengHei"/>
        <family val="0"/>
        <charset val="1"/>
      </rPr>
      <t xml:space="preserve">PPP-BT</t>
    </r>
    <r>
      <rPr>
        <sz val="10"/>
        <rFont val="Noto Sans CJK SC"/>
        <family val="2"/>
      </rPr>
      <t xml:space="preserve">逾</t>
    </r>
    <r>
      <rPr>
        <sz val="10"/>
        <rFont val="Microsoft JhengHei"/>
        <family val="0"/>
        <charset val="1"/>
      </rPr>
      <t xml:space="preserve">14.2</t>
    </r>
    <r>
      <rPr>
        <sz val="10"/>
        <rFont val="Noto Sans CJK SC"/>
        <family val="2"/>
      </rPr>
      <t xml:space="preserve">兆越盾（</t>
    </r>
    <r>
      <rPr>
        <sz val="10"/>
        <rFont val="Microsoft JhengHei"/>
        <family val="0"/>
        <charset val="1"/>
      </rPr>
      <t xml:space="preserve">Báo Đầu tư 2026-08-10</t>
    </r>
    <r>
      <rPr>
        <sz val="10"/>
        <rFont val="Noto Sans CJK SC"/>
        <family val="2"/>
      </rPr>
      <t xml:space="preserve">）</t>
    </r>
  </si>
  <si>
    <t xml:space="preserve">https://baodautu.vn/ha-noi-duyet-du-an-khu-phuc-hop-y-te-hon-14200-ty-dong-d669223.html</t>
  </si>
  <si>
    <t xml:space="preserve">60</t>
  </si>
  <si>
    <r>
      <rPr>
        <sz val="10"/>
        <rFont val="Microsoft JhengHei"/>
        <family val="0"/>
        <charset val="1"/>
      </rPr>
      <t xml:space="preserve">Quyết định 1468/QĐ-TTg </t>
    </r>
    <r>
      <rPr>
        <sz val="10"/>
        <rFont val="Noto Sans CJK SC"/>
        <family val="2"/>
      </rPr>
      <t xml:space="preserve">健保覆蓋逐年指標</t>
    </r>
  </si>
  <si>
    <t xml:space="preserve">https://baochinhphu.vn/giao-chi-tieu-bao-phu-bao-hiem-y-te-toan-quoc-dat-100-vao-nam-2030-102260731195638866.htm</t>
  </si>
  <si>
    <t xml:space="preserve">61</t>
  </si>
  <si>
    <r>
      <rPr>
        <sz val="10"/>
        <rFont val="Noto Sans CJK SC"/>
        <family val="2"/>
      </rPr>
      <t xml:space="preserve">⚠健保給付擴大正確依據：</t>
    </r>
    <r>
      <rPr>
        <sz val="10"/>
        <rFont val="Microsoft JhengHei"/>
        <family val="0"/>
        <charset val="1"/>
      </rPr>
      <t xml:space="preserve">Luật Phòng bệnh 114/2025</t>
    </r>
  </si>
  <si>
    <t xml:space="preserve">https://luatvietnam.vn/y-te/luat-phong-benh-2025-so-114-2025-qh15-422004-d1.html</t>
  </si>
  <si>
    <t xml:space="preserve">62</t>
  </si>
  <si>
    <r>
      <rPr>
        <sz val="10"/>
        <rFont val="Microsoft JhengHei"/>
        <family val="0"/>
        <charset val="1"/>
      </rPr>
      <t xml:space="preserve">Nghị định 165/2026 </t>
    </r>
    <r>
      <rPr>
        <sz val="10"/>
        <rFont val="Noto Sans CJK SC"/>
        <family val="2"/>
      </rPr>
      <t xml:space="preserve">預防疾病法施行細則</t>
    </r>
  </si>
  <si>
    <t xml:space="preserve">https://luatvietnam.vn/y-te/nghi-dinh-165-2026-nd-cp-huong-dan-thi-hanh-luat-phong-benh-hieu-luc-tu-01-07-2026-435043-d1.html</t>
  </si>
  <si>
    <t xml:space="preserve">63</t>
  </si>
  <si>
    <r>
      <rPr>
        <sz val="10"/>
        <rFont val="Microsoft JhengHei"/>
        <family val="0"/>
        <charset val="1"/>
      </rPr>
      <t xml:space="preserve">Nghị định 102/2025 </t>
    </r>
    <r>
      <rPr>
        <sz val="10"/>
        <rFont val="Noto Sans CJK SC"/>
        <family val="2"/>
      </rPr>
      <t xml:space="preserve">醫療資料管理（首部專法令）</t>
    </r>
  </si>
  <si>
    <t xml:space="preserve">https://thuvienphapluat.vn/van-ban/Cong-nghe-thong-tin/Nghi-diinh-102-2025-ND-CP-quy-dinh-quan-ly-du-lieu-y-te-656633.aspx</t>
  </si>
  <si>
    <t xml:space="preserve">64</t>
  </si>
  <si>
    <r>
      <rPr>
        <sz val="10"/>
        <rFont val="Microsoft JhengHei"/>
        <family val="0"/>
        <charset val="1"/>
      </rPr>
      <t xml:space="preserve">AI</t>
    </r>
    <r>
      <rPr>
        <sz val="10"/>
        <rFont val="Noto Sans CJK SC"/>
        <family val="2"/>
      </rPr>
      <t xml:space="preserve">法</t>
    </r>
    <r>
      <rPr>
        <sz val="10"/>
        <rFont val="Microsoft JhengHei"/>
        <family val="0"/>
        <charset val="1"/>
      </rPr>
      <t xml:space="preserve">134/2025</t>
    </r>
    <r>
      <rPr>
        <sz val="10"/>
        <rFont val="Noto Sans CJK SC"/>
        <family val="2"/>
      </rPr>
      <t xml:space="preserve">已生效；施行細則仍為草案</t>
    </r>
  </si>
  <si>
    <t xml:space="preserve">https://luatvietnam.vn/khoa-hoc/du-thao-nghi-dinh-chi-tiet-va-bien-phap-thi-hanh-luat-tri-tue-nhan-tao-2026-427629-d10.html</t>
  </si>
  <si>
    <t xml:space="preserve">65</t>
  </si>
  <si>
    <r>
      <rPr>
        <sz val="10"/>
        <rFont val="Noto Sans CJK SC"/>
        <family val="2"/>
      </rPr>
      <t xml:space="preserve">遠距醫療健保給付通報草案（</t>
    </r>
    <r>
      <rPr>
        <sz val="10"/>
        <rFont val="Microsoft JhengHei"/>
        <family val="0"/>
        <charset val="1"/>
      </rPr>
      <t xml:space="preserve">2026-08-04</t>
    </r>
    <r>
      <rPr>
        <sz val="10"/>
        <rFont val="Noto Sans CJK SC"/>
        <family val="2"/>
      </rPr>
      <t xml:space="preserve">）</t>
    </r>
  </si>
  <si>
    <t xml:space="preserve">https://xaydungchinhsach.chinhphu.vn/toan-van-du-thao-thong-tu-quy-dinh-thanh-toan-bao-hiem-y-te-doi-voi-kham-chua-benh-y-hoc-gia-dinh-tai-nha-tu-xa-119260804164624105.htm</t>
  </si>
  <si>
    <t xml:space="preserve">66</t>
  </si>
  <si>
    <r>
      <rPr>
        <sz val="10"/>
        <rFont val="Noto Sans CJK SC"/>
        <family val="2"/>
      </rPr>
      <t xml:space="preserve">⚠衛生部承認</t>
    </r>
    <r>
      <rPr>
        <sz val="10"/>
        <rFont val="Microsoft JhengHei"/>
        <family val="0"/>
        <charset val="1"/>
      </rPr>
      <t xml:space="preserve">JCI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4024/QĐ-BYT</t>
    </r>
    <r>
      <rPr>
        <sz val="10"/>
        <rFont val="Noto Sans CJK SC"/>
        <family val="2"/>
      </rPr>
      <t xml:space="preserve">）；越南</t>
    </r>
    <r>
      <rPr>
        <sz val="10"/>
        <rFont val="Microsoft JhengHei"/>
        <family val="0"/>
        <charset val="1"/>
      </rPr>
      <t xml:space="preserve">9</t>
    </r>
    <r>
      <rPr>
        <sz val="10"/>
        <rFont val="Noto Sans CJK SC"/>
        <family val="2"/>
      </rPr>
      <t xml:space="preserve">家機構通過</t>
    </r>
    <r>
      <rPr>
        <sz val="10"/>
        <rFont val="Microsoft JhengHei"/>
        <family val="0"/>
        <charset val="1"/>
      </rPr>
      <t xml:space="preserve">JCI</t>
    </r>
  </si>
  <si>
    <t xml:space="preserve">https://kcb.vn/tin-tuc/bo-y-te-thua-nhan-bo-tieu-chuan-chat-luong-quoc-te-cua-uy-ban-chung-tieu-chuan-y-te-my-jci-.html</t>
  </si>
  <si>
    <t xml:space="preserve">67</t>
  </si>
  <si>
    <r>
      <rPr>
        <sz val="10"/>
        <rFont val="Noto Sans CJK SC"/>
        <family val="2"/>
      </rPr>
      <t xml:space="preserve">醫院品質評鑑新版標準制訂中（</t>
    </r>
    <r>
      <rPr>
        <sz val="10"/>
        <rFont val="Microsoft JhengHei"/>
        <family val="0"/>
        <charset val="1"/>
      </rPr>
      <t xml:space="preserve">8</t>
    </r>
    <r>
      <rPr>
        <sz val="10"/>
        <rFont val="Noto Sans CJK SC"/>
        <family val="2"/>
      </rPr>
      <t xml:space="preserve">章</t>
    </r>
    <r>
      <rPr>
        <sz val="10"/>
        <rFont val="Microsoft JhengHei"/>
        <family val="0"/>
        <charset val="1"/>
      </rPr>
      <t xml:space="preserve">113</t>
    </r>
    <r>
      <rPr>
        <sz val="10"/>
        <rFont val="Noto Sans CJK SC"/>
        <family val="2"/>
      </rPr>
      <t xml:space="preserve">項）</t>
    </r>
  </si>
  <si>
    <t xml:space="preserve">https://suckhoedoisong.vn/tieu-chuan-chat-luong-benh-vien-moi-se-bam-sat-chuyen-doi-so-va-hoi-nhap-quoc-te-169260528222308095.htm</t>
  </si>
  <si>
    <t xml:space="preserve">68</t>
  </si>
  <si>
    <r>
      <rPr>
        <sz val="10"/>
        <rFont val="Noto Sans CJK SC"/>
        <family val="2"/>
      </rPr>
      <t xml:space="preserve">⚠每萬人</t>
    </r>
    <r>
      <rPr>
        <sz val="10"/>
        <rFont val="Microsoft JhengHei"/>
        <family val="0"/>
        <charset val="1"/>
      </rPr>
      <t xml:space="preserve">15</t>
    </r>
    <r>
      <rPr>
        <sz val="10"/>
        <rFont val="Noto Sans CJK SC"/>
        <family val="2"/>
      </rPr>
      <t xml:space="preserve">名醫師</t>
    </r>
    <r>
      <rPr>
        <sz val="10"/>
        <rFont val="Microsoft JhengHei"/>
        <family val="0"/>
        <charset val="1"/>
      </rPr>
      <t xml:space="preserve">2025</t>
    </r>
    <r>
      <rPr>
        <sz val="10"/>
        <rFont val="Noto Sans CJK SC"/>
        <family val="2"/>
      </rPr>
      <t xml:space="preserve">年已達標，</t>
    </r>
    <r>
      <rPr>
        <sz val="10"/>
        <rFont val="Microsoft JhengHei"/>
        <family val="0"/>
        <charset val="1"/>
      </rPr>
      <t xml:space="preserve">2026</t>
    </r>
    <r>
      <rPr>
        <sz val="10"/>
        <rFont val="Noto Sans CJK SC"/>
        <family val="2"/>
      </rPr>
      <t xml:space="preserve">目標</t>
    </r>
    <r>
      <rPr>
        <sz val="10"/>
        <rFont val="Microsoft JhengHei"/>
        <family val="0"/>
        <charset val="1"/>
      </rPr>
      <t xml:space="preserve">15.3</t>
    </r>
  </si>
  <si>
    <t xml:space="preserve">https://benhvienquynhon.gov.vn/tin-tuc/tin-tuc-chuyen-nganh-chuyen-mon/mot-so-ket-qua-noi-bat-cua-nganh-y-te-nam-2025-va-giai-doan-2021-2025/</t>
  </si>
  <si>
    <t xml:space="preserve">69</t>
  </si>
  <si>
    <r>
      <rPr>
        <sz val="10"/>
        <rFont val="Noto Sans CJK SC"/>
        <family val="2"/>
      </rPr>
      <t xml:space="preserve">首次醫師國家考試</t>
    </r>
    <r>
      <rPr>
        <sz val="10"/>
        <rFont val="Microsoft JhengHei"/>
        <family val="0"/>
        <charset val="1"/>
      </rPr>
      <t xml:space="preserve">2027</t>
    </r>
    <r>
      <rPr>
        <sz val="10"/>
        <rFont val="Noto Sans CJK SC"/>
        <family val="2"/>
      </rPr>
      <t xml:space="preserve">年</t>
    </r>
    <r>
      <rPr>
        <sz val="10"/>
        <rFont val="Microsoft JhengHei"/>
        <family val="0"/>
        <charset val="1"/>
      </rPr>
      <t xml:space="preserve">12</t>
    </r>
    <r>
      <rPr>
        <sz val="10"/>
        <rFont val="Noto Sans CJK SC"/>
        <family val="2"/>
      </rPr>
      <t xml:space="preserve">月</t>
    </r>
  </si>
  <si>
    <t xml:space="preserve">https://baochinhphu.vn/ky-kiem-tra-nang-luc-hanh-nghe-bac-si-dau-tien-nam-2027-dieu-kien-du-thi-va-lo-trinh-trien-khai-102260307122823294.htm</t>
  </si>
  <si>
    <t xml:space="preserve">70</t>
  </si>
  <si>
    <r>
      <rPr>
        <sz val="10"/>
        <rFont val="Microsoft JhengHei"/>
        <family val="0"/>
        <charset val="1"/>
      </rPr>
      <t xml:space="preserve">DRG</t>
    </r>
    <r>
      <rPr>
        <sz val="10"/>
        <rFont val="Noto Sans CJK SC"/>
        <family val="2"/>
      </rPr>
      <t xml:space="preserve">仍在建置、尚無正式時程（衛生部 </t>
    </r>
    <r>
      <rPr>
        <sz val="10"/>
        <rFont val="Microsoft JhengHei"/>
        <family val="0"/>
        <charset val="1"/>
      </rPr>
      <t xml:space="preserve">2026-03</t>
    </r>
    <r>
      <rPr>
        <sz val="10"/>
        <rFont val="Noto Sans CJK SC"/>
        <family val="2"/>
      </rPr>
      <t xml:space="preserve">）</t>
    </r>
  </si>
  <si>
    <t xml:space="preserve">https://suckhoedoisong.vn/doi-moi-thanh-toan-y-te-theo-nhom-chan-doan-huong-toi-minh-bach-hieu-qua-va-cong-bang-169260321080808754.htm</t>
  </si>
  <si>
    <t xml:space="preserve">71</t>
  </si>
  <si>
    <r>
      <rPr>
        <sz val="10"/>
        <rFont val="Noto Sans CJK SC"/>
        <family val="2"/>
      </rPr>
      <t xml:space="preserve">醫療觀光</t>
    </r>
    <r>
      <rPr>
        <sz val="10"/>
        <rFont val="Microsoft JhengHei"/>
        <family val="0"/>
        <charset val="1"/>
      </rPr>
      <t xml:space="preserve">2030</t>
    </r>
    <r>
      <rPr>
        <sz val="10"/>
        <rFont val="Noto Sans CJK SC"/>
        <family val="2"/>
      </rPr>
      <t xml:space="preserve">目標</t>
    </r>
    <r>
      <rPr>
        <sz val="10"/>
        <rFont val="Microsoft JhengHei"/>
        <family val="0"/>
        <charset val="1"/>
      </rPr>
      <t xml:space="preserve">75</t>
    </r>
    <r>
      <rPr>
        <sz val="10"/>
        <rFont val="Noto Sans CJK SC"/>
        <family val="2"/>
      </rPr>
      <t xml:space="preserve">萬人次（</t>
    </r>
    <r>
      <rPr>
        <sz val="10"/>
        <rFont val="Microsoft JhengHei"/>
        <family val="0"/>
        <charset val="1"/>
      </rPr>
      <t xml:space="preserve">DTiNews 2026-08-12</t>
    </r>
    <r>
      <rPr>
        <sz val="10"/>
        <rFont val="Noto Sans CJK SC"/>
        <family val="2"/>
      </rPr>
      <t xml:space="preserve">）</t>
    </r>
  </si>
  <si>
    <t xml:space="preserve">72</t>
  </si>
  <si>
    <r>
      <rPr>
        <sz val="10"/>
        <rFont val="Noto Sans CJK SC"/>
        <family val="2"/>
      </rPr>
      <t xml:space="preserve">出境就醫</t>
    </r>
    <r>
      <rPr>
        <sz val="10"/>
        <rFont val="Microsoft JhengHei"/>
        <family val="0"/>
        <charset val="1"/>
      </rPr>
      <t xml:space="preserve">20-30</t>
    </r>
    <r>
      <rPr>
        <sz val="10"/>
        <rFont val="Noto Sans CJK SC"/>
        <family val="2"/>
      </rPr>
      <t xml:space="preserve">億美元（</t>
    </r>
    <r>
      <rPr>
        <sz val="10"/>
        <rFont val="Microsoft JhengHei"/>
        <family val="0"/>
        <charset val="1"/>
      </rPr>
      <t xml:space="preserve">Sức khỏe &amp; Đời sống 2026-08-12</t>
    </r>
    <r>
      <rPr>
        <sz val="10"/>
        <rFont val="Noto Sans CJK SC"/>
        <family val="2"/>
      </rPr>
      <t xml:space="preserve">）</t>
    </r>
  </si>
  <si>
    <t xml:space="preserve">https://suckhoedoisong.vn/nguoi-viet-chi-2-3-ty-usd-ra-nuoc-ngoai-chua-benh-169260812081224735.htm</t>
  </si>
  <si>
    <t xml:space="preserve">73</t>
  </si>
  <si>
    <r>
      <rPr>
        <sz val="10"/>
        <rFont val="Microsoft JhengHei"/>
        <family val="0"/>
        <charset val="1"/>
      </rPr>
      <t xml:space="preserve">⚠VinBrain</t>
    </r>
    <r>
      <rPr>
        <sz val="10"/>
        <rFont val="Noto Sans CJK SC"/>
        <family val="2"/>
      </rPr>
      <t xml:space="preserve">已由</t>
    </r>
    <r>
      <rPr>
        <sz val="10"/>
        <rFont val="Microsoft JhengHei"/>
        <family val="0"/>
        <charset val="1"/>
      </rPr>
      <t xml:space="preserve">NVIDIA</t>
    </r>
    <r>
      <rPr>
        <sz val="10"/>
        <rFont val="Noto Sans CJK SC"/>
        <family val="2"/>
      </rPr>
      <t xml:space="preserve">全資持有；</t>
    </r>
    <r>
      <rPr>
        <sz val="10"/>
        <rFont val="Microsoft JhengHei"/>
        <family val="0"/>
        <charset val="1"/>
      </rPr>
      <t xml:space="preserve">DrAid</t>
    </r>
    <r>
      <rPr>
        <sz val="10"/>
        <rFont val="Noto Sans CJK SC"/>
        <family val="2"/>
      </rPr>
      <t xml:space="preserve">產品線續存</t>
    </r>
  </si>
  <si>
    <t xml:space="preserve">https://theinvestor.vn/nvidia-acquires-ai-unit-of-vietnamese-private-giant-vingroup-d13667.html</t>
  </si>
  <si>
    <t xml:space="preserve">74</t>
  </si>
  <si>
    <r>
      <rPr>
        <sz val="10"/>
        <rFont val="Microsoft JhengHei"/>
        <family val="0"/>
        <charset val="1"/>
      </rPr>
      <t xml:space="preserve">FPT×</t>
    </r>
    <r>
      <rPr>
        <sz val="10"/>
        <rFont val="Noto Sans CJK SC"/>
        <family val="2"/>
      </rPr>
      <t xml:space="preserve">白梅醫院戰略合作（</t>
    </r>
    <r>
      <rPr>
        <sz val="10"/>
        <rFont val="Microsoft JhengHei"/>
        <family val="0"/>
        <charset val="1"/>
      </rPr>
      <t xml:space="preserve">2025-11-05</t>
    </r>
    <r>
      <rPr>
        <sz val="10"/>
        <rFont val="Noto Sans CJK SC"/>
        <family val="2"/>
      </rPr>
      <t xml:space="preserve">）</t>
    </r>
  </si>
  <si>
    <t xml:space="preserve">https://baochinhphu.vn/bv-bach-mai-va-fpt-hop-luc-xay-mo-hinh-benh-vien-thong-minh-huong-toi-lam-chu-cong-nghe-y-te-102251105081215599.htm</t>
  </si>
  <si>
    <t xml:space="preserve">75</t>
  </si>
  <si>
    <r>
      <rPr>
        <sz val="10"/>
        <rFont val="Microsoft JhengHei"/>
        <family val="0"/>
        <charset val="1"/>
      </rPr>
      <t xml:space="preserve">FPT</t>
    </r>
    <r>
      <rPr>
        <sz val="10"/>
        <rFont val="Noto Sans CJK SC"/>
        <family val="2"/>
      </rPr>
      <t xml:space="preserve">發布醫療</t>
    </r>
    <r>
      <rPr>
        <sz val="10"/>
        <rFont val="Microsoft JhengHei"/>
        <family val="0"/>
        <charset val="1"/>
      </rPr>
      <t xml:space="preserve">AI</t>
    </r>
    <r>
      <rPr>
        <sz val="10"/>
        <rFont val="Noto Sans CJK SC"/>
        <family val="2"/>
      </rPr>
      <t xml:space="preserve">框架</t>
    </r>
    <r>
      <rPr>
        <sz val="10"/>
        <rFont val="Microsoft JhengHei"/>
        <family val="0"/>
        <charset val="1"/>
      </rPr>
      <t xml:space="preserve">MediSight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2026-08-06</t>
    </r>
    <r>
      <rPr>
        <sz val="10"/>
        <rFont val="Noto Sans CJK SC"/>
        <family val="2"/>
      </rPr>
      <t xml:space="preserve">）</t>
    </r>
  </si>
  <si>
    <t xml:space="preserve">https://vietnamnet.vn/fpt-ra-mat-khung-chuyen-doi-ai-chuyen-biet-cho-nganh-y-te-2542560.html</t>
  </si>
  <si>
    <t xml:space="preserve">76</t>
  </si>
  <si>
    <r>
      <rPr>
        <sz val="10"/>
        <rFont val="Microsoft JhengHei"/>
        <family val="0"/>
        <charset val="1"/>
      </rPr>
      <t xml:space="preserve">Viettel Solutions EMR</t>
    </r>
    <r>
      <rPr>
        <sz val="10"/>
        <rFont val="Noto Sans CJK SC"/>
        <family val="2"/>
      </rPr>
      <t xml:space="preserve">逾</t>
    </r>
    <r>
      <rPr>
        <sz val="10"/>
        <rFont val="Microsoft JhengHei"/>
        <family val="0"/>
        <charset val="1"/>
      </rPr>
      <t xml:space="preserve">200</t>
    </r>
    <r>
      <rPr>
        <sz val="10"/>
        <rFont val="Noto Sans CJK SC"/>
        <family val="2"/>
      </rPr>
      <t xml:space="preserve">家機構</t>
    </r>
  </si>
  <si>
    <t xml:space="preserve">https://thanhnien.vn/viettel-solutions-tang-toc-trien-khai-benh-an-dien-tu-thuc-day-y-te-thong-minh-185251119142345886.htm</t>
  </si>
  <si>
    <t xml:space="preserve">77</t>
  </si>
  <si>
    <r>
      <rPr>
        <sz val="10"/>
        <rFont val="Noto Sans CJK SC"/>
        <family val="2"/>
      </rPr>
      <t xml:space="preserve">放療</t>
    </r>
    <r>
      <rPr>
        <sz val="10"/>
        <rFont val="Microsoft JhengHei"/>
        <family val="0"/>
        <charset val="1"/>
      </rPr>
      <t xml:space="preserve">85</t>
    </r>
    <r>
      <rPr>
        <sz val="10"/>
        <rFont val="Noto Sans CJK SC"/>
        <family val="2"/>
      </rPr>
      <t xml:space="preserve">台加速器、僅滿足約</t>
    </r>
    <r>
      <rPr>
        <sz val="10"/>
        <rFont val="Microsoft JhengHei"/>
        <family val="0"/>
        <charset val="1"/>
      </rPr>
      <t xml:space="preserve">60%</t>
    </r>
    <r>
      <rPr>
        <sz val="10"/>
        <rFont val="Noto Sans CJK SC"/>
        <family val="2"/>
      </rPr>
      <t xml:space="preserve">需求（</t>
    </r>
    <r>
      <rPr>
        <sz val="10"/>
        <rFont val="Microsoft JhengHei"/>
        <family val="0"/>
        <charset val="1"/>
      </rPr>
      <t xml:space="preserve">VietnamPlus 2025-08-29</t>
    </r>
    <r>
      <rPr>
        <sz val="10"/>
        <rFont val="Noto Sans CJK SC"/>
        <family val="2"/>
      </rPr>
      <t xml:space="preserve">）</t>
    </r>
  </si>
  <si>
    <t xml:space="preserve">https://en.vietnamplus.vn/vietnam-leverages-nuclear-science-for-socio-economic-development-post325590.vnp</t>
  </si>
  <si>
    <t xml:space="preserve">78</t>
  </si>
  <si>
    <r>
      <rPr>
        <sz val="10"/>
        <rFont val="Noto Sans CJK SC"/>
        <family val="2"/>
      </rPr>
      <t xml:space="preserve">全國首套質子治療系統採購（</t>
    </r>
    <r>
      <rPr>
        <sz val="10"/>
        <rFont val="Microsoft JhengHei"/>
        <family val="0"/>
        <charset val="1"/>
      </rPr>
      <t xml:space="preserve">Báo Chính phủ 2026-02-19</t>
    </r>
    <r>
      <rPr>
        <sz val="10"/>
        <rFont val="Noto Sans CJK SC"/>
        <family val="2"/>
      </rPr>
      <t xml:space="preserve">）</t>
    </r>
  </si>
  <si>
    <t xml:space="preserve">https://baochinhphu.vn/viet-nam-mua-sieu-may-dieu-tri-ung-thu-the-he-moi-nhat-cua-my-102260219141304158.htm</t>
  </si>
  <si>
    <t xml:space="preserve">79</t>
  </si>
  <si>
    <r>
      <rPr>
        <sz val="10"/>
        <rFont val="Noto Sans CJK SC"/>
        <family val="2"/>
      </rPr>
      <t xml:space="preserve">透析量能吃緊、實際透析</t>
    </r>
    <r>
      <rPr>
        <sz val="10"/>
        <rFont val="Microsoft JhengHei"/>
        <family val="0"/>
        <charset val="1"/>
      </rPr>
      <t xml:space="preserve">4.5-5</t>
    </r>
    <r>
      <rPr>
        <sz val="10"/>
        <rFont val="Noto Sans CJK SC"/>
        <family val="2"/>
      </rPr>
      <t xml:space="preserve">萬人（</t>
    </r>
    <r>
      <rPr>
        <sz val="10"/>
        <rFont val="Microsoft JhengHei"/>
        <family val="0"/>
        <charset val="1"/>
      </rPr>
      <t xml:space="preserve">Tuổi Trẻ 2026-06-25</t>
    </r>
    <r>
      <rPr>
        <sz val="10"/>
        <rFont val="Noto Sans CJK SC"/>
        <family val="2"/>
      </rPr>
      <t xml:space="preserve">）</t>
    </r>
  </si>
  <si>
    <t xml:space="preserve">https://tuoitre.vn/nhieu-co-so-loc-than-qua-tai-benh-nhan-phai-chay-cap-cuu-100260625221410451.htm</t>
  </si>
  <si>
    <t xml:space="preserve">80</t>
  </si>
  <si>
    <r>
      <rPr>
        <sz val="10"/>
        <rFont val="Noto Sans CJK SC"/>
        <family val="2"/>
      </rPr>
      <t xml:space="preserve">⚠介入心臟另一口徑相差</t>
    </r>
    <r>
      <rPr>
        <sz val="10"/>
        <rFont val="Microsoft JhengHei"/>
        <family val="0"/>
        <charset val="1"/>
      </rPr>
      <t xml:space="preserve">15</t>
    </r>
    <r>
      <rPr>
        <sz val="10"/>
        <rFont val="Noto Sans CJK SC"/>
        <family val="2"/>
      </rPr>
      <t xml:space="preserve">倍（</t>
    </r>
    <r>
      <rPr>
        <sz val="10"/>
        <rFont val="Microsoft JhengHei"/>
        <family val="0"/>
        <charset val="1"/>
      </rPr>
      <t xml:space="preserve">Expert Market Research</t>
    </r>
    <r>
      <rPr>
        <sz val="10"/>
        <rFont val="Noto Sans CJK SC"/>
        <family val="2"/>
      </rPr>
      <t xml:space="preserve">）</t>
    </r>
  </si>
  <si>
    <t xml:space="preserve">https://www.expertmarketresearch.com/reports/vietnam-interventional-cardiology-market</t>
  </si>
  <si>
    <t xml:space="preserve">81</t>
  </si>
  <si>
    <r>
      <rPr>
        <sz val="10"/>
        <rFont val="Noto Sans CJK SC"/>
        <family val="2"/>
      </rPr>
      <t xml:space="preserve">醫材市場口徑比較（</t>
    </r>
    <r>
      <rPr>
        <sz val="10"/>
        <rFont val="Microsoft JhengHei"/>
        <family val="0"/>
        <charset val="1"/>
      </rPr>
      <t xml:space="preserve">Vietnam Briefing 2025-02-24</t>
    </r>
    <r>
      <rPr>
        <sz val="10"/>
        <rFont val="Noto Sans CJK SC"/>
        <family val="2"/>
      </rPr>
      <t xml:space="preserve">）</t>
    </r>
  </si>
  <si>
    <t xml:space="preserve">https://www.vietnam-briefing.com/news/vietnam-medical-devices-market-outlook-projections-insights.html/</t>
  </si>
  <si>
    <t xml:space="preserve">82</t>
  </si>
  <si>
    <r>
      <rPr>
        <sz val="10"/>
        <rFont val="Noto Sans CJK SC"/>
        <family val="2"/>
      </rPr>
      <t xml:space="preserve">醫材管理合併本 </t>
    </r>
    <r>
      <rPr>
        <sz val="10"/>
        <rFont val="Microsoft JhengHei"/>
        <family val="0"/>
        <charset val="1"/>
      </rPr>
      <t xml:space="preserve">08/VBHN-BYT</t>
    </r>
    <r>
      <rPr>
        <sz val="10"/>
        <rFont val="Noto Sans CJK SC"/>
        <family val="2"/>
      </rPr>
      <t xml:space="preserve">（</t>
    </r>
    <r>
      <rPr>
        <sz val="10"/>
        <rFont val="Microsoft JhengHei"/>
        <family val="0"/>
        <charset val="1"/>
      </rPr>
      <t xml:space="preserve">2026-03-06</t>
    </r>
    <r>
      <rPr>
        <sz val="10"/>
        <rFont val="Noto Sans CJK SC"/>
        <family val="2"/>
      </rPr>
      <t xml:space="preserve">）</t>
    </r>
  </si>
  <si>
    <t xml:space="preserve">https://luatvietnam.vn/y-te/van-ban-hop-nhat-08-vbhn-byt-2026-quan-ly-thiet-bi-y-te-427889-d5.html</t>
  </si>
  <si>
    <t xml:space="preserve">83</t>
  </si>
  <si>
    <r>
      <rPr>
        <sz val="10"/>
        <rFont val="Noto Sans CJK SC"/>
        <family val="2"/>
      </rPr>
      <t xml:space="preserve">醫院財務自主修訂 </t>
    </r>
    <r>
      <rPr>
        <sz val="10"/>
        <rFont val="Microsoft JhengHei"/>
        <family val="0"/>
        <charset val="1"/>
      </rPr>
      <t xml:space="preserve">Nghị định 111/2025</t>
    </r>
  </si>
  <si>
    <t xml:space="preserve">https://baochinhphu.vn/sua-doi-co-che-tu-chu-tai-chinh-cua-don-vi-su-nghiep-cong-lap-102250523180834415.htm</t>
  </si>
  <si>
    <t xml:space="preserve">84</t>
  </si>
  <si>
    <r>
      <rPr>
        <sz val="10"/>
        <rFont val="Noto Sans CJK SC"/>
        <family val="2"/>
      </rPr>
      <t xml:space="preserve">醫療網總體規劃修訂中（</t>
    </r>
    <r>
      <rPr>
        <sz val="10"/>
        <rFont val="Microsoft JhengHei"/>
        <family val="0"/>
        <charset val="1"/>
      </rPr>
      <t xml:space="preserve">Nhân Dân 2026-08-16</t>
    </r>
    <r>
      <rPr>
        <sz val="10"/>
        <rFont val="Noto Sans CJK SC"/>
        <family val="2"/>
      </rPr>
      <t xml:space="preserve">）</t>
    </r>
  </si>
  <si>
    <t xml:space="preserve">https://nhandan.vn/xay-dung-mang-luoi-y-te-thich-ung-boi-canh-moi-post982196.html</t>
  </si>
  <si>
    <t xml:space="preserve">85</t>
  </si>
  <si>
    <r>
      <rPr>
        <sz val="10"/>
        <rFont val="Microsoft JhengHei"/>
        <family val="0"/>
        <charset val="1"/>
      </rPr>
      <t xml:space="preserve">QCVN 30:2025 </t>
    </r>
    <r>
      <rPr>
        <sz val="10"/>
        <rFont val="Noto Sans CJK SC"/>
        <family val="2"/>
      </rPr>
      <t xml:space="preserve">焚化爐國家技規（</t>
    </r>
    <r>
      <rPr>
        <sz val="10"/>
        <rFont val="Microsoft JhengHei"/>
        <family val="0"/>
        <charset val="1"/>
      </rPr>
      <t xml:space="preserve">2026-02-09</t>
    </r>
    <r>
      <rPr>
        <sz val="10"/>
        <rFont val="Noto Sans CJK SC"/>
        <family val="2"/>
      </rPr>
      <t xml:space="preserve">生效）</t>
    </r>
  </si>
  <si>
    <t xml:space="preserve">https://enviliance.com/regions/southeast-asia/vn/report_14496</t>
  </si>
  <si>
    <r>
      <rPr>
        <b val="true"/>
        <sz val="15"/>
        <color rgb="FFFFFFFF"/>
        <rFont val="微軟正黑體"/>
        <family val="0"/>
        <charset val="1"/>
      </rPr>
      <t xml:space="preserve">98 </t>
    </r>
    <r>
      <rPr>
        <b val="true"/>
        <sz val="15"/>
        <color rgb="FFFFFFFF"/>
        <rFont val="Noto Sans CJK SC"/>
        <family val="2"/>
      </rPr>
      <t xml:space="preserve">選單維護｜</t>
    </r>
    <r>
      <rPr>
        <b val="true"/>
        <sz val="15"/>
        <color rgb="FFFFFFFF"/>
        <rFont val="微軟正黑體"/>
        <family val="0"/>
        <charset val="1"/>
      </rPr>
      <t xml:space="preserve">Dropdown Lists</t>
    </r>
    <r>
      <rPr>
        <b val="true"/>
        <sz val="15"/>
        <color rgb="FFFFFFFF"/>
        <rFont val="Noto Sans CJK SC"/>
        <family val="2"/>
      </rPr>
      <t xml:space="preserve">（所有下拉選單的唯一維護處）</t>
    </r>
  </si>
  <si>
    <r>
      <rPr>
        <i val="true"/>
        <sz val="9.5"/>
        <color rgb="FF404040"/>
        <rFont val="Noto Sans CJK SC"/>
        <family val="2"/>
      </rPr>
      <t xml:space="preserve">❓ 這頁在回答：所有下拉選單在哪裡加？（維護用）　　▸ 要新增／修改任何下拉選項，只在本頁該欄最下方接著往下填即可，全工具的下拉會自動增加（每欄上限 </t>
    </r>
    <r>
      <rPr>
        <i val="true"/>
        <sz val="9.5"/>
        <color rgb="FF404040"/>
        <rFont val="微軟正黑體"/>
        <family val="0"/>
        <charset val="1"/>
      </rPr>
      <t xml:space="preserve">60 </t>
    </r>
    <r>
      <rPr>
        <i val="true"/>
        <sz val="9.5"/>
        <color rgb="FF404040"/>
        <rFont val="Noto Sans CJK SC"/>
        <family val="2"/>
      </rPr>
      <t xml:space="preserve">列）。★ 請勿刪除欄位標題列，也不要在清單中間留空白列。名詞的定義說明請看 </t>
    </r>
    <r>
      <rPr>
        <i val="true"/>
        <sz val="9.5"/>
        <color rgb="FF404040"/>
        <rFont val="微軟正黑體"/>
        <family val="0"/>
        <charset val="1"/>
      </rPr>
      <t xml:space="preserve">99_</t>
    </r>
    <r>
      <rPr>
        <i val="true"/>
        <sz val="9.5"/>
        <color rgb="FF404040"/>
        <rFont val="Noto Sans CJK SC"/>
        <family val="2"/>
      </rPr>
      <t xml:space="preserve">代碼表。</t>
    </r>
  </si>
  <si>
    <r>
      <rPr>
        <b val="true"/>
        <sz val="9.5"/>
        <color rgb="FFFFFFFF"/>
        <rFont val="Noto Sans CJK SC"/>
        <family val="2"/>
      </rPr>
      <t xml:space="preserve">領域 </t>
    </r>
    <r>
      <rPr>
        <b val="true"/>
        <sz val="9.5"/>
        <color rgb="FFFFFFFF"/>
        <rFont val="微軟正黑體"/>
        <family val="0"/>
        <charset val="1"/>
      </rPr>
      <t xml:space="preserve">Domain</t>
    </r>
  </si>
  <si>
    <r>
      <rPr>
        <b val="true"/>
        <sz val="9.5"/>
        <color rgb="FFFFFFFF"/>
        <rFont val="Noto Sans CJK SC"/>
        <family val="2"/>
      </rPr>
      <t xml:space="preserve">階段 </t>
    </r>
    <r>
      <rPr>
        <b val="true"/>
        <sz val="9.5"/>
        <color rgb="FFFFFFFF"/>
        <rFont val="微軟正黑體"/>
        <family val="0"/>
        <charset val="1"/>
      </rPr>
      <t xml:space="preserve">Stage</t>
    </r>
  </si>
  <si>
    <r>
      <rPr>
        <b val="true"/>
        <sz val="9.5"/>
        <color rgb="FFFFFFFF"/>
        <rFont val="Noto Sans CJK SC"/>
        <family val="2"/>
      </rPr>
      <t xml:space="preserve">業務線 </t>
    </r>
    <r>
      <rPr>
        <b val="true"/>
        <sz val="9.5"/>
        <color rgb="FFFFFFFF"/>
        <rFont val="微軟正黑體"/>
        <family val="0"/>
        <charset val="1"/>
      </rPr>
      <t xml:space="preserve">Biz line</t>
    </r>
  </si>
  <si>
    <r>
      <rPr>
        <b val="true"/>
        <sz val="9.5"/>
        <color rgb="FFFFFFFF"/>
        <rFont val="Noto Sans CJK SC"/>
        <family val="2"/>
      </rPr>
      <t xml:space="preserve">拼圖狀態 </t>
    </r>
    <r>
      <rPr>
        <b val="true"/>
        <sz val="9.5"/>
        <color rgb="FFFFFFFF"/>
        <rFont val="微軟正黑體"/>
        <family val="0"/>
        <charset val="1"/>
      </rPr>
      <t xml:space="preserve">Puzzle</t>
    </r>
  </si>
  <si>
    <r>
      <rPr>
        <b val="true"/>
        <sz val="9.5"/>
        <color rgb="FFFFFFFF"/>
        <rFont val="Noto Sans CJK SC"/>
        <family val="2"/>
      </rPr>
      <t xml:space="preserve">主責角色 </t>
    </r>
    <r>
      <rPr>
        <b val="true"/>
        <sz val="9.5"/>
        <color rgb="FFFFFFFF"/>
        <rFont val="微軟正黑體"/>
        <family val="0"/>
        <charset val="1"/>
      </rPr>
      <t xml:space="preserve">Lead</t>
    </r>
  </si>
  <si>
    <r>
      <rPr>
        <b val="true"/>
        <sz val="9.5"/>
        <color rgb="FFFFFFFF"/>
        <rFont val="Noto Sans CJK SC"/>
        <family val="2"/>
      </rPr>
      <t xml:space="preserve">門檻狀態 </t>
    </r>
    <r>
      <rPr>
        <b val="true"/>
        <sz val="9.5"/>
        <color rgb="FFFFFFFF"/>
        <rFont val="微軟正黑體"/>
        <family val="0"/>
        <charset val="1"/>
      </rPr>
      <t xml:space="preserve">Gate</t>
    </r>
  </si>
  <si>
    <r>
      <rPr>
        <b val="true"/>
        <sz val="9.5"/>
        <color rgb="FFFFFFFF"/>
        <rFont val="Noto Sans CJK SC"/>
        <family val="2"/>
      </rPr>
      <t xml:space="preserve">風險等級 </t>
    </r>
    <r>
      <rPr>
        <b val="true"/>
        <sz val="9.5"/>
        <color rgb="FFFFFFFF"/>
        <rFont val="微軟正黑體"/>
        <family val="0"/>
        <charset val="1"/>
      </rPr>
      <t xml:space="preserve">Risk</t>
    </r>
  </si>
  <si>
    <r>
      <rPr>
        <b val="true"/>
        <sz val="9.5"/>
        <color rgb="FFFFFFFF"/>
        <rFont val="Noto Sans CJK SC"/>
        <family val="2"/>
      </rPr>
      <t xml:space="preserve">分數 </t>
    </r>
    <r>
      <rPr>
        <b val="true"/>
        <sz val="9.5"/>
        <color rgb="FFFFFFFF"/>
        <rFont val="微軟正黑體"/>
        <family val="0"/>
        <charset val="1"/>
      </rPr>
      <t xml:space="preserve">0-5</t>
    </r>
  </si>
  <si>
    <r>
      <rPr>
        <b val="true"/>
        <sz val="9.5"/>
        <color rgb="FFFFFFFF"/>
        <rFont val="Noto Sans CJK SC"/>
        <family val="2"/>
      </rPr>
      <t xml:space="preserve">分數 </t>
    </r>
    <r>
      <rPr>
        <b val="true"/>
        <sz val="9.5"/>
        <color rgb="FFFFFFFF"/>
        <rFont val="微軟正黑體"/>
        <family val="0"/>
        <charset val="1"/>
      </rPr>
      <t xml:space="preserve">1-5</t>
    </r>
  </si>
  <si>
    <r>
      <rPr>
        <b val="true"/>
        <sz val="9.5"/>
        <color rgb="FFFFFFFF"/>
        <rFont val="Noto Sans CJK SC"/>
        <family val="2"/>
      </rPr>
      <t xml:space="preserve">夥伴類型 </t>
    </r>
    <r>
      <rPr>
        <b val="true"/>
        <sz val="9.5"/>
        <color rgb="FFFFFFFF"/>
        <rFont val="微軟正黑體"/>
        <family val="0"/>
        <charset val="1"/>
      </rPr>
      <t xml:space="preserve">Partner type</t>
    </r>
  </si>
  <si>
    <r>
      <rPr>
        <b val="true"/>
        <sz val="9.5"/>
        <color rgb="FFFFFFFF"/>
        <rFont val="Noto Sans CJK SC"/>
        <family val="2"/>
      </rPr>
      <t xml:space="preserve">國別 </t>
    </r>
    <r>
      <rPr>
        <b val="true"/>
        <sz val="9.5"/>
        <color rgb="FFFFFFFF"/>
        <rFont val="微軟正黑體"/>
        <family val="0"/>
        <charset val="1"/>
      </rPr>
      <t xml:space="preserve">Country</t>
    </r>
  </si>
  <si>
    <r>
      <rPr>
        <b val="true"/>
        <sz val="9.5"/>
        <color rgb="FFFFFFFF"/>
        <rFont val="Noto Sans CJK SC"/>
        <family val="2"/>
      </rPr>
      <t xml:space="preserve">是否 </t>
    </r>
    <r>
      <rPr>
        <b val="true"/>
        <sz val="9.5"/>
        <color rgb="FFFFFFFF"/>
        <rFont val="微軟正黑體"/>
        <family val="0"/>
        <charset val="1"/>
      </rPr>
      <t xml:space="preserve">Yes/No</t>
    </r>
  </si>
  <si>
    <r>
      <rPr>
        <b val="true"/>
        <sz val="9.5"/>
        <color rgb="FFFFFFFF"/>
        <rFont val="Noto Sans CJK SC"/>
        <family val="2"/>
      </rPr>
      <t xml:space="preserve">來源風險 </t>
    </r>
    <r>
      <rPr>
        <b val="true"/>
        <sz val="9.5"/>
        <color rgb="FFFFFFFF"/>
        <rFont val="微軟正黑體"/>
        <family val="0"/>
        <charset val="1"/>
      </rPr>
      <t xml:space="preserve">Source risk</t>
    </r>
  </si>
  <si>
    <r>
      <rPr>
        <b val="true"/>
        <sz val="9.5"/>
        <color rgb="FFFFFFFF"/>
        <rFont val="Noto Sans CJK SC"/>
        <family val="2"/>
      </rPr>
      <t xml:space="preserve">夥伴狀態 </t>
    </r>
    <r>
      <rPr>
        <b val="true"/>
        <sz val="9.5"/>
        <color rgb="FFFFFFFF"/>
        <rFont val="微軟正黑體"/>
        <family val="0"/>
        <charset val="1"/>
      </rPr>
      <t xml:space="preserve">Partner status</t>
    </r>
  </si>
  <si>
    <r>
      <rPr>
        <b val="true"/>
        <sz val="9.5"/>
        <color rgb="FFFFFFFF"/>
        <rFont val="Noto Sans CJK SC"/>
        <family val="2"/>
      </rPr>
      <t xml:space="preserve">法規類別 </t>
    </r>
    <r>
      <rPr>
        <b val="true"/>
        <sz val="9.5"/>
        <color rgb="FFFFFFFF"/>
        <rFont val="微軟正黑體"/>
        <family val="0"/>
        <charset val="1"/>
      </rPr>
      <t xml:space="preserve">Reg category</t>
    </r>
  </si>
  <si>
    <r>
      <rPr>
        <b val="true"/>
        <sz val="9.5"/>
        <color rgb="FFFFFFFF"/>
        <rFont val="Noto Sans CJK SC"/>
        <family val="2"/>
      </rPr>
      <t xml:space="preserve">法規層級 </t>
    </r>
    <r>
      <rPr>
        <b val="true"/>
        <sz val="9.5"/>
        <color rgb="FFFFFFFF"/>
        <rFont val="微軟正黑體"/>
        <family val="0"/>
        <charset val="1"/>
      </rPr>
      <t xml:space="preserve">Reg level</t>
    </r>
  </si>
  <si>
    <r>
      <rPr>
        <b val="true"/>
        <sz val="9.5"/>
        <color rgb="FFFFFFFF"/>
        <rFont val="Noto Sans CJK SC"/>
        <family val="2"/>
      </rPr>
      <t xml:space="preserve">門檻標記 </t>
    </r>
    <r>
      <rPr>
        <b val="true"/>
        <sz val="9.5"/>
        <color rgb="FFFFFFFF"/>
        <rFont val="微軟正黑體"/>
        <family val="0"/>
        <charset val="1"/>
      </rPr>
      <t xml:space="preserve">Mark</t>
    </r>
  </si>
  <si>
    <r>
      <rPr>
        <b val="true"/>
        <sz val="9.5"/>
        <color rgb="FFFFFFFF"/>
        <rFont val="Noto Sans CJK SC"/>
        <family val="2"/>
      </rPr>
      <t xml:space="preserve">工作包狀態 </t>
    </r>
    <r>
      <rPr>
        <b val="true"/>
        <sz val="9.5"/>
        <color rgb="FFFFFFFF"/>
        <rFont val="微軟正黑體"/>
        <family val="0"/>
        <charset val="1"/>
      </rPr>
      <t xml:space="preserve">WP status</t>
    </r>
  </si>
  <si>
    <r>
      <rPr>
        <b val="true"/>
        <sz val="9.5"/>
        <color rgb="FFFFFFFF"/>
        <rFont val="Noto Sans CJK SC"/>
        <family val="2"/>
      </rPr>
      <t xml:space="preserve">風險類別 </t>
    </r>
    <r>
      <rPr>
        <b val="true"/>
        <sz val="9.5"/>
        <color rgb="FFFFFFFF"/>
        <rFont val="微軟正黑體"/>
        <family val="0"/>
        <charset val="1"/>
      </rPr>
      <t xml:space="preserve">Risk category</t>
    </r>
  </si>
  <si>
    <r>
      <rPr>
        <b val="true"/>
        <sz val="9.5"/>
        <color rgb="FFFFFFFF"/>
        <rFont val="微軟正黑體"/>
        <family val="0"/>
        <charset val="1"/>
      </rPr>
      <t xml:space="preserve">KPI </t>
    </r>
    <r>
      <rPr>
        <b val="true"/>
        <sz val="9.5"/>
        <color rgb="FFFFFFFF"/>
        <rFont val="Noto Sans CJK SC"/>
        <family val="2"/>
      </rPr>
      <t xml:space="preserve">面向 </t>
    </r>
    <r>
      <rPr>
        <b val="true"/>
        <sz val="9.5"/>
        <color rgb="FFFFFFFF"/>
        <rFont val="微軟正黑體"/>
        <family val="0"/>
        <charset val="1"/>
      </rPr>
      <t xml:space="preserve">Perspective</t>
    </r>
  </si>
  <si>
    <r>
      <rPr>
        <b val="true"/>
        <sz val="9.5"/>
        <color rgb="FFFFFFFF"/>
        <rFont val="微軟正黑體"/>
        <family val="0"/>
        <charset val="1"/>
      </rPr>
      <t xml:space="preserve">KPI </t>
    </r>
    <r>
      <rPr>
        <b val="true"/>
        <sz val="9.5"/>
        <color rgb="FFFFFFFF"/>
        <rFont val="Noto Sans CJK SC"/>
        <family val="2"/>
      </rPr>
      <t xml:space="preserve">方向 </t>
    </r>
    <r>
      <rPr>
        <b val="true"/>
        <sz val="9.5"/>
        <color rgb="FFFFFFFF"/>
        <rFont val="微軟正黑體"/>
        <family val="0"/>
        <charset val="1"/>
      </rPr>
      <t xml:space="preserve">Direction</t>
    </r>
  </si>
  <si>
    <r>
      <rPr>
        <b val="true"/>
        <sz val="9.5"/>
        <color rgb="FFFFFFFF"/>
        <rFont val="Noto Sans CJK SC"/>
        <family val="2"/>
      </rPr>
      <t xml:space="preserve">量測頻率 </t>
    </r>
    <r>
      <rPr>
        <b val="true"/>
        <sz val="9.5"/>
        <color rgb="FFFFFFFF"/>
        <rFont val="微軟正黑體"/>
        <family val="0"/>
        <charset val="1"/>
      </rPr>
      <t xml:space="preserve">Frequency</t>
    </r>
  </si>
  <si>
    <r>
      <rPr>
        <b val="true"/>
        <sz val="9.5"/>
        <color rgb="FFFFFFFF"/>
        <rFont val="Noto Sans CJK SC"/>
        <family val="2"/>
      </rPr>
      <t xml:space="preserve">證據狀態 </t>
    </r>
    <r>
      <rPr>
        <b val="true"/>
        <sz val="9.5"/>
        <color rgb="FFFFFFFF"/>
        <rFont val="微軟正黑體"/>
        <family val="0"/>
        <charset val="1"/>
      </rPr>
      <t xml:space="preserve">Evidence</t>
    </r>
  </si>
  <si>
    <r>
      <rPr>
        <b val="true"/>
        <sz val="9.5"/>
        <color rgb="FFFFFFFF"/>
        <rFont val="Noto Sans CJK SC"/>
        <family val="2"/>
      </rPr>
      <t xml:space="preserve">交易模式 </t>
    </r>
    <r>
      <rPr>
        <b val="true"/>
        <sz val="9.5"/>
        <color rgb="FFFFFFFF"/>
        <rFont val="微軟正黑體"/>
        <family val="0"/>
        <charset val="1"/>
      </rPr>
      <t xml:space="preserve">Transaction</t>
    </r>
  </si>
  <si>
    <r>
      <rPr>
        <b val="true"/>
        <sz val="9.5"/>
        <color rgb="FFFFFFFF"/>
        <rFont val="Noto Sans CJK SC"/>
        <family val="2"/>
      </rPr>
      <t xml:space="preserve">信心水準 </t>
    </r>
    <r>
      <rPr>
        <b val="true"/>
        <sz val="9.5"/>
        <color rgb="FFFFFFFF"/>
        <rFont val="微軟正黑體"/>
        <family val="0"/>
        <charset val="1"/>
      </rPr>
      <t xml:space="preserve">Confidence</t>
    </r>
  </si>
  <si>
    <r>
      <rPr>
        <b val="true"/>
        <sz val="9.5"/>
        <color rgb="FFFFFFFF"/>
        <rFont val="Noto Sans CJK SC"/>
        <family val="2"/>
      </rPr>
      <t xml:space="preserve">能力成熟度 </t>
    </r>
    <r>
      <rPr>
        <b val="true"/>
        <sz val="9.5"/>
        <color rgb="FFFFFFFF"/>
        <rFont val="微軟正黑體"/>
        <family val="0"/>
        <charset val="1"/>
      </rPr>
      <t xml:space="preserve">Maturity</t>
    </r>
  </si>
  <si>
    <r>
      <rPr>
        <b val="true"/>
        <sz val="9.5"/>
        <color rgb="FFFFFFFF"/>
        <rFont val="Noto Sans CJK SC"/>
        <family val="2"/>
      </rPr>
      <t xml:space="preserve">證據成熟度 </t>
    </r>
    <r>
      <rPr>
        <b val="true"/>
        <sz val="9.5"/>
        <color rgb="FFFFFFFF"/>
        <rFont val="微軟正黑體"/>
        <family val="0"/>
        <charset val="1"/>
      </rPr>
      <t xml:space="preserve">Evidence maturity</t>
    </r>
  </si>
  <si>
    <r>
      <rPr>
        <b val="true"/>
        <sz val="9.5"/>
        <color rgb="FFFFFFFF"/>
        <rFont val="Noto Sans CJK SC"/>
        <family val="2"/>
      </rPr>
      <t xml:space="preserve">可否獨立成案 </t>
    </r>
    <r>
      <rPr>
        <b val="true"/>
        <sz val="9.5"/>
        <color rgb="FFFFFFFF"/>
        <rFont val="微軟正黑體"/>
        <family val="0"/>
        <charset val="1"/>
      </rPr>
      <t xml:space="preserve">Standalone</t>
    </r>
  </si>
  <si>
    <r>
      <rPr>
        <b val="true"/>
        <sz val="9.5"/>
        <color rgb="FFFFFFFF"/>
        <rFont val="Noto Sans CJK SC"/>
        <family val="2"/>
      </rPr>
      <t xml:space="preserve">商機交易模式 </t>
    </r>
    <r>
      <rPr>
        <b val="true"/>
        <sz val="9.5"/>
        <color rgb="FFFFFFFF"/>
        <rFont val="微軟正黑體"/>
        <family val="0"/>
        <charset val="1"/>
      </rPr>
      <t xml:space="preserve">Deal txn mode</t>
    </r>
  </si>
  <si>
    <r>
      <rPr>
        <b val="true"/>
        <sz val="9.5"/>
        <color rgb="FFFFFFFF"/>
        <rFont val="Noto Sans CJK SC"/>
        <family val="2"/>
      </rPr>
      <t xml:space="preserve">預估金額級距 </t>
    </r>
    <r>
      <rPr>
        <b val="true"/>
        <sz val="9.5"/>
        <color rgb="FFFFFFFF"/>
        <rFont val="微軟正黑體"/>
        <family val="0"/>
        <charset val="1"/>
      </rPr>
      <t xml:space="preserve">Amount tier</t>
    </r>
  </si>
  <si>
    <r>
      <rPr>
        <b val="true"/>
        <sz val="9.5"/>
        <color rgb="FFFFFFFF"/>
        <rFont val="Noto Sans CJK SC"/>
        <family val="2"/>
      </rPr>
      <t xml:space="preserve">商機成熟階段 </t>
    </r>
    <r>
      <rPr>
        <b val="true"/>
        <sz val="9.5"/>
        <color rgb="FFFFFFFF"/>
        <rFont val="微軟正黑體"/>
        <family val="0"/>
        <charset val="1"/>
      </rPr>
      <t xml:space="preserve">Deal stage</t>
    </r>
  </si>
  <si>
    <t xml:space="preserve">勾選 ✓（複選用）</t>
  </si>
  <si>
    <r>
      <rPr>
        <b val="true"/>
        <sz val="9.5"/>
        <color rgb="FFFFFFFF"/>
        <rFont val="Noto Sans CJK SC"/>
        <family val="2"/>
      </rPr>
      <t xml:space="preserve">潛在付費方 </t>
    </r>
    <r>
      <rPr>
        <b val="true"/>
        <sz val="9.5"/>
        <color rgb="FFFFFFFF"/>
        <rFont val="微軟正黑體"/>
        <family val="0"/>
        <charset val="1"/>
      </rPr>
      <t xml:space="preserve">Payer</t>
    </r>
  </si>
  <si>
    <r>
      <rPr>
        <b val="true"/>
        <sz val="9.5"/>
        <color rgb="FFFFFFFF"/>
        <rFont val="Noto Sans CJK SC"/>
        <family val="2"/>
      </rPr>
      <t xml:space="preserve">商機族群 </t>
    </r>
    <r>
      <rPr>
        <b val="true"/>
        <sz val="9.5"/>
        <color rgb="FFFFFFFF"/>
        <rFont val="微軟正黑體"/>
        <family val="0"/>
        <charset val="1"/>
      </rPr>
      <t xml:space="preserve">Opportunity family</t>
    </r>
  </si>
  <si>
    <r>
      <rPr>
        <b val="true"/>
        <sz val="9.5"/>
        <color rgb="FFFFFFFF"/>
        <rFont val="Noto Sans CJK SC"/>
        <family val="2"/>
      </rPr>
      <t xml:space="preserve">越南現況 </t>
    </r>
    <r>
      <rPr>
        <b val="true"/>
        <sz val="9.5"/>
        <color rgb="FFFFFFFF"/>
        <rFont val="微軟正黑體"/>
        <family val="0"/>
        <charset val="1"/>
      </rPr>
      <t xml:space="preserve">Vietnam maturity</t>
    </r>
  </si>
  <si>
    <r>
      <rPr>
        <b val="true"/>
        <sz val="9.5"/>
        <color rgb="FFFFFFFF"/>
        <rFont val="Noto Sans CJK SC"/>
        <family val="2"/>
      </rPr>
      <t xml:space="preserve">資料／系統依賴 </t>
    </r>
    <r>
      <rPr>
        <b val="true"/>
        <sz val="9.5"/>
        <color rgb="FFFFFFFF"/>
        <rFont val="微軟正黑體"/>
        <family val="0"/>
        <charset val="1"/>
      </rPr>
      <t xml:space="preserve">Data &amp; system</t>
    </r>
  </si>
  <si>
    <r>
      <rPr>
        <b val="true"/>
        <sz val="9.5"/>
        <color rgb="FFFFFFFF"/>
        <rFont val="Noto Sans CJK SC"/>
        <family val="2"/>
      </rPr>
      <t xml:space="preserve">夥伴候選名冊 </t>
    </r>
    <r>
      <rPr>
        <b val="true"/>
        <sz val="9.5"/>
        <color rgb="FFFFFFFF"/>
        <rFont val="微軟正黑體"/>
        <family val="0"/>
        <charset val="1"/>
      </rPr>
      <t xml:space="preserve">Partner candidates</t>
    </r>
    <r>
      <rPr>
        <b val="true"/>
        <sz val="9.5"/>
        <color rgb="FFFFFFFF"/>
        <rFont val="Noto Sans CJK SC"/>
        <family val="2"/>
      </rPr>
      <t xml:space="preserve">（實名候選＝</t>
    </r>
    <r>
      <rPr>
        <b val="true"/>
        <sz val="9.5"/>
        <color rgb="FFFFFFFF"/>
        <rFont val="微軟正黑體"/>
        <family val="0"/>
        <charset val="1"/>
      </rPr>
      <t xml:space="preserve">2026-08</t>
    </r>
    <r>
      <rPr>
        <b val="true"/>
        <sz val="9.5"/>
        <color rgb="FFFFFFFF"/>
        <rFont val="Noto Sans CJK SC"/>
        <family val="2"/>
      </rPr>
      <t xml:space="preserve">研究快照，接觸前請再查證；可自行輸入新名稱）</t>
    </r>
  </si>
  <si>
    <t xml:space="preserve">L_Domain</t>
  </si>
  <si>
    <t xml:space="preserve">L_Stage</t>
  </si>
  <si>
    <t xml:space="preserve">L_Biz</t>
  </si>
  <si>
    <t xml:space="preserve">L_Puzzle</t>
  </si>
  <si>
    <t xml:space="preserve">L_Lead</t>
  </si>
  <si>
    <t xml:space="preserve">L_Gate</t>
  </si>
  <si>
    <t xml:space="preserve">L_Risk</t>
  </si>
  <si>
    <t xml:space="preserve">L_S05</t>
  </si>
  <si>
    <t xml:space="preserve">L_S15</t>
  </si>
  <si>
    <t xml:space="preserve">L_PType</t>
  </si>
  <si>
    <t xml:space="preserve">L_Country</t>
  </si>
  <si>
    <t xml:space="preserve">L_YN</t>
  </si>
  <si>
    <t xml:space="preserve">L_Src</t>
  </si>
  <si>
    <t xml:space="preserve">L_PStatus</t>
  </si>
  <si>
    <t xml:space="preserve">L_RegCat</t>
  </si>
  <si>
    <t xml:space="preserve">L_RegLvl</t>
  </si>
  <si>
    <t xml:space="preserve">L_Mark</t>
  </si>
  <si>
    <t xml:space="preserve">L_WP</t>
  </si>
  <si>
    <t xml:space="preserve">L_RiskCat</t>
  </si>
  <si>
    <t xml:space="preserve">L_KPIP</t>
  </si>
  <si>
    <t xml:space="preserve">L_Dir</t>
  </si>
  <si>
    <t xml:space="preserve">L_Freq</t>
  </si>
  <si>
    <t xml:space="preserve">L_Evi</t>
  </si>
  <si>
    <t xml:space="preserve">L_Txn</t>
  </si>
  <si>
    <t xml:space="preserve">L_Conf</t>
  </si>
  <si>
    <t xml:space="preserve">L_Maturity</t>
  </si>
  <si>
    <t xml:space="preserve">L_EvidMat</t>
  </si>
  <si>
    <t xml:space="preserve">L_PkgStd</t>
  </si>
  <si>
    <t xml:space="preserve">L_PkgTxn</t>
  </si>
  <si>
    <t xml:space="preserve">L_AmtTier</t>
  </si>
  <si>
    <t xml:space="preserve">L_DealStage</t>
  </si>
  <si>
    <t xml:space="preserve">L_Check</t>
  </si>
  <si>
    <t xml:space="preserve">L_Payer</t>
  </si>
  <si>
    <t xml:space="preserve">L_OppFam</t>
  </si>
  <si>
    <t xml:space="preserve">L_VNMat</t>
  </si>
  <si>
    <t xml:space="preserve">L_SysDep</t>
  </si>
  <si>
    <t xml:space="preserve">L_PartnerCand</t>
  </si>
  <si>
    <t xml:space="preserve">低</t>
  </si>
  <si>
    <t xml:space="preserve">0</t>
  </si>
  <si>
    <t xml:space="preserve">1</t>
  </si>
  <si>
    <t xml:space="preserve">聯盟召集人</t>
  </si>
  <si>
    <r>
      <rPr>
        <sz val="9"/>
        <color rgb="FF000000"/>
        <rFont val="Noto Sans CJK SC"/>
        <family val="2"/>
      </rPr>
      <t xml:space="preserve">概念 </t>
    </r>
    <r>
      <rPr>
        <sz val="9"/>
        <color rgb="FF000000"/>
        <rFont val="微軟正黑體"/>
        <family val="0"/>
        <charset val="1"/>
      </rPr>
      <t xml:space="preserve">Concept</t>
    </r>
  </si>
  <si>
    <r>
      <rPr>
        <sz val="9"/>
        <color rgb="FF000000"/>
        <rFont val="微軟正黑體"/>
        <family val="0"/>
        <charset val="1"/>
      </rPr>
      <t xml:space="preserve">HIS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EMR</t>
    </r>
  </si>
  <si>
    <r>
      <rPr>
        <sz val="9"/>
        <color rgb="FF000000"/>
        <rFont val="Noto Sans CJK SC"/>
        <family val="2"/>
      </rPr>
      <t xml:space="preserve">影像</t>
    </r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｜商之器</t>
    </r>
    <r>
      <rPr>
        <sz val="9"/>
        <color rgb="FF000000"/>
        <rFont val="微軟正黑體"/>
        <family val="0"/>
        <charset val="1"/>
      </rPr>
      <t xml:space="preserve">EBM</t>
    </r>
    <r>
      <rPr>
        <sz val="9"/>
        <color rgb="FF000000"/>
        <rFont val="Noto Sans CJK SC"/>
        <family val="2"/>
      </rPr>
      <t xml:space="preserve">（台灣，</t>
    </r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原廠多國實績）</t>
    </r>
  </si>
  <si>
    <t xml:space="preserve">夥伴已確認</t>
  </si>
  <si>
    <t xml:space="preserve">2</t>
  </si>
  <si>
    <t xml:space="preserve">政府</t>
  </si>
  <si>
    <t xml:space="preserve">進行中</t>
  </si>
  <si>
    <t xml:space="preserve">已提供</t>
  </si>
  <si>
    <r>
      <rPr>
        <sz val="9"/>
        <color rgb="FF000000"/>
        <rFont val="Noto Sans CJK SC"/>
        <family val="2"/>
      </rPr>
      <t xml:space="preserve">已驗證 </t>
    </r>
    <r>
      <rPr>
        <sz val="9"/>
        <color rgb="FF000000"/>
        <rFont val="微軟正黑體"/>
        <family val="0"/>
        <charset val="1"/>
      </rPr>
      <t xml:space="preserve">Validated</t>
    </r>
  </si>
  <si>
    <r>
      <rPr>
        <sz val="9"/>
        <color rgb="FF000000"/>
        <rFont val="Noto Sans CJK SC"/>
        <family val="2"/>
      </rPr>
      <t xml:space="preserve">訪談確認 </t>
    </r>
    <r>
      <rPr>
        <sz val="9"/>
        <color rgb="FF000000"/>
        <rFont val="微軟正黑體"/>
        <family val="0"/>
        <charset val="1"/>
      </rPr>
      <t xml:space="preserve">Interview-confirmed</t>
    </r>
  </si>
  <si>
    <t xml:space="preserve">否</t>
  </si>
  <si>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RIS </t>
    </r>
    <r>
      <rPr>
        <sz val="9"/>
        <color rgb="FF000000"/>
        <rFont val="Noto Sans CJK SC"/>
        <family val="2"/>
      </rPr>
      <t xml:space="preserve">影像</t>
    </r>
  </si>
  <si>
    <r>
      <rPr>
        <sz val="9"/>
        <color rgb="FF000000"/>
        <rFont val="Noto Sans CJK SC"/>
        <family val="2"/>
      </rPr>
      <t xml:space="preserve">影像</t>
    </r>
    <r>
      <rPr>
        <sz val="9"/>
        <color rgb="FF000000"/>
        <rFont val="微軟正黑體"/>
        <family val="0"/>
        <charset val="1"/>
      </rPr>
      <t xml:space="preserve">PACS</t>
    </r>
    <r>
      <rPr>
        <sz val="9"/>
        <color rgb="FF000000"/>
        <rFont val="Noto Sans CJK SC"/>
        <family val="2"/>
      </rPr>
      <t xml:space="preserve">｜</t>
    </r>
    <r>
      <rPr>
        <sz val="9"/>
        <color rgb="FF000000"/>
        <rFont val="微軟正黑體"/>
        <family val="0"/>
        <charset val="1"/>
      </rPr>
      <t xml:space="preserve">VIKOMED</t>
    </r>
    <r>
      <rPr>
        <sz val="9"/>
        <color rgb="FF000000"/>
        <rFont val="Noto Sans CJK SC"/>
        <family val="2"/>
      </rPr>
      <t xml:space="preserve">（越南，越韓合資</t>
    </r>
    <r>
      <rPr>
        <sz val="9"/>
        <color rgb="FF000000"/>
        <rFont val="微軟正黑體"/>
        <family val="0"/>
        <charset val="1"/>
      </rPr>
      <t xml:space="preserve">INFINITT PACS</t>
    </r>
    <r>
      <rPr>
        <sz val="9"/>
        <color rgb="FF000000"/>
        <rFont val="Noto Sans CJK SC"/>
        <family val="2"/>
      </rPr>
      <t xml:space="preserve">整合）</t>
    </r>
  </si>
  <si>
    <t xml:space="preserve">未通過</t>
  </si>
  <si>
    <t xml:space="preserve">3</t>
  </si>
  <si>
    <t xml:space="preserve">臨床營運</t>
  </si>
  <si>
    <t xml:space="preserve">完成</t>
  </si>
  <si>
    <t xml:space="preserve">已驗證</t>
  </si>
  <si>
    <r>
      <rPr>
        <sz val="9"/>
        <color rgb="FF000000"/>
        <rFont val="Noto Sans CJK SC"/>
        <family val="2"/>
      </rPr>
      <t xml:space="preserve">可部署 </t>
    </r>
    <r>
      <rPr>
        <sz val="9"/>
        <color rgb="FF000000"/>
        <rFont val="微軟正黑體"/>
        <family val="0"/>
        <charset val="1"/>
      </rPr>
      <t xml:space="preserve">Deployable</t>
    </r>
  </si>
  <si>
    <r>
      <rPr>
        <sz val="9"/>
        <color rgb="FF000000"/>
        <rFont val="Noto Sans CJK SC"/>
        <family val="2"/>
      </rPr>
      <t xml:space="preserve">文件佐證 </t>
    </r>
    <r>
      <rPr>
        <sz val="9"/>
        <color rgb="FF000000"/>
        <rFont val="微軟正黑體"/>
        <family val="0"/>
        <charset val="1"/>
      </rPr>
      <t xml:space="preserve">Document-backed</t>
    </r>
  </si>
  <si>
    <r>
      <rPr>
        <sz val="9"/>
        <color rgb="FF000000"/>
        <rFont val="微軟正黑體"/>
        <family val="0"/>
        <charset val="1"/>
      </rPr>
      <t xml:space="preserve">LIS </t>
    </r>
    <r>
      <rPr>
        <sz val="9"/>
        <color rgb="FF000000"/>
        <rFont val="Noto Sans CJK SC"/>
        <family val="2"/>
      </rPr>
      <t xml:space="preserve">檢驗資訊</t>
    </r>
  </si>
  <si>
    <r>
      <rPr>
        <sz val="9"/>
        <color rgb="FF000000"/>
        <rFont val="Noto Sans CJK SC"/>
        <family val="2"/>
      </rPr>
      <t xml:space="preserve">檢驗</t>
    </r>
    <r>
      <rPr>
        <sz val="9"/>
        <color rgb="FF000000"/>
        <rFont val="微軟正黑體"/>
        <family val="0"/>
        <charset val="1"/>
      </rPr>
      <t xml:space="preserve">LIS</t>
    </r>
    <r>
      <rPr>
        <sz val="9"/>
        <color rgb="FF000000"/>
        <rFont val="Noto Sans CJK SC"/>
        <family val="2"/>
      </rPr>
      <t xml:space="preserve">｜</t>
    </r>
    <r>
      <rPr>
        <sz val="9"/>
        <color rgb="FF000000"/>
        <rFont val="微軟正黑體"/>
        <family val="0"/>
        <charset val="1"/>
      </rPr>
      <t xml:space="preserve">Sysmex Vietnam</t>
    </r>
    <r>
      <rPr>
        <sz val="9"/>
        <color rgb="FF000000"/>
        <rFont val="Noto Sans CJK SC"/>
        <family val="2"/>
      </rPr>
      <t xml:space="preserve">（日商越南子公司，檢驗自動化）</t>
    </r>
  </si>
  <si>
    <t xml:space="preserve">不適用</t>
  </si>
  <si>
    <t xml:space="preserve">極高</t>
  </si>
  <si>
    <t xml:space="preserve">4</t>
  </si>
  <si>
    <t xml:space="preserve">參考醫院</t>
  </si>
  <si>
    <t xml:space="preserve">Japan</t>
  </si>
  <si>
    <r>
      <rPr>
        <sz val="9"/>
        <color rgb="FF000000"/>
        <rFont val="微軟正黑體"/>
        <family val="0"/>
        <charset val="1"/>
      </rPr>
      <t xml:space="preserve">Critical / </t>
    </r>
    <r>
      <rPr>
        <sz val="9"/>
        <color rgb="FF000000"/>
        <rFont val="Noto Sans CJK SC"/>
        <family val="2"/>
      </rPr>
      <t xml:space="preserve">極高</t>
    </r>
  </si>
  <si>
    <t xml:space="preserve">契約選用</t>
  </si>
  <si>
    <t xml:space="preserve">延遲</t>
  </si>
  <si>
    <r>
      <rPr>
        <sz val="9"/>
        <color rgb="FF000000"/>
        <rFont val="微軟正黑體"/>
        <family val="0"/>
        <charset val="1"/>
      </rPr>
      <t xml:space="preserve">Semiannual / </t>
    </r>
    <r>
      <rPr>
        <sz val="9"/>
        <color rgb="FF000000"/>
        <rFont val="Noto Sans CJK SC"/>
        <family val="2"/>
      </rPr>
      <t xml:space="preserve">每半年</t>
    </r>
  </si>
  <si>
    <r>
      <rPr>
        <sz val="9"/>
        <color rgb="FF000000"/>
        <rFont val="Noto Sans CJK SC"/>
        <family val="2"/>
      </rPr>
      <t xml:space="preserve">規模化 </t>
    </r>
    <r>
      <rPr>
        <sz val="9"/>
        <color rgb="FF000000"/>
        <rFont val="微軟正黑體"/>
        <family val="0"/>
        <charset val="1"/>
      </rPr>
      <t xml:space="preserve">Scaled</t>
    </r>
  </si>
  <si>
    <r>
      <rPr>
        <sz val="9"/>
        <color rgb="FF000000"/>
        <rFont val="Noto Sans CJK SC"/>
        <family val="2"/>
      </rPr>
      <t xml:space="preserve">正式核准 </t>
    </r>
    <r>
      <rPr>
        <sz val="9"/>
        <color rgb="FF000000"/>
        <rFont val="微軟正黑體"/>
        <family val="0"/>
        <charset val="1"/>
      </rPr>
      <t xml:space="preserve">Formally approved</t>
    </r>
  </si>
  <si>
    <r>
      <rPr>
        <sz val="9"/>
        <color rgb="FF000000"/>
        <rFont val="微軟正黑體"/>
        <family val="0"/>
        <charset val="1"/>
      </rPr>
      <t xml:space="preserve">ERP</t>
    </r>
    <r>
      <rPr>
        <sz val="9"/>
        <color rgb="FF000000"/>
        <rFont val="Noto Sans CJK SC"/>
        <family val="2"/>
      </rPr>
      <t xml:space="preserve">／財務</t>
    </r>
  </si>
  <si>
    <r>
      <rPr>
        <sz val="9"/>
        <color rgb="FF000000"/>
        <rFont val="Noto Sans CJK SC"/>
        <family val="2"/>
      </rPr>
      <t xml:space="preserve">檢驗</t>
    </r>
    <r>
      <rPr>
        <sz val="9"/>
        <color rgb="FF000000"/>
        <rFont val="微軟正黑體"/>
        <family val="0"/>
        <charset val="1"/>
      </rPr>
      <t xml:space="preserve">LIS</t>
    </r>
    <r>
      <rPr>
        <sz val="9"/>
        <color rgb="FF000000"/>
        <rFont val="Noto Sans CJK SC"/>
        <family val="2"/>
      </rPr>
      <t xml:space="preserve">｜</t>
    </r>
    <r>
      <rPr>
        <sz val="9"/>
        <color rgb="FF000000"/>
        <rFont val="微軟正黑體"/>
        <family val="0"/>
        <charset val="1"/>
      </rPr>
      <t xml:space="preserve">Roche Diagnostics Vietnam</t>
    </r>
    <r>
      <rPr>
        <sz val="9"/>
        <color rgb="FF000000"/>
        <rFont val="Noto Sans CJK SC"/>
        <family val="2"/>
      </rPr>
      <t xml:space="preserve">（檢驗流水線＋實驗室</t>
    </r>
    <r>
      <rPr>
        <sz val="9"/>
        <color rgb="FF000000"/>
        <rFont val="微軟正黑體"/>
        <family val="0"/>
        <charset val="1"/>
      </rPr>
      <t xml:space="preserve">IT</t>
    </r>
    <r>
      <rPr>
        <sz val="9"/>
        <color rgb="FF000000"/>
        <rFont val="Noto Sans CJK SC"/>
        <family val="2"/>
      </rPr>
      <t xml:space="preserve">）</t>
    </r>
  </si>
  <si>
    <t xml:space="preserve">5</t>
  </si>
  <si>
    <t xml:space="preserve">Korea</t>
  </si>
  <si>
    <r>
      <rPr>
        <sz val="9"/>
        <color rgb="FF000000"/>
        <rFont val="微軟正黑體"/>
        <family val="0"/>
        <charset val="1"/>
      </rPr>
      <t xml:space="preserve">Contracted / </t>
    </r>
    <r>
      <rPr>
        <sz val="9"/>
        <color rgb="FF000000"/>
        <rFont val="Noto Sans CJK SC"/>
        <family val="2"/>
      </rPr>
      <t xml:space="preserve">已簽約</t>
    </r>
  </si>
  <si>
    <t xml:space="preserve">暫停</t>
  </si>
  <si>
    <r>
      <rPr>
        <sz val="9"/>
        <color rgb="FF000000"/>
        <rFont val="微軟正黑體"/>
        <family val="0"/>
        <charset val="1"/>
      </rPr>
      <t xml:space="preserve">Annual / </t>
    </r>
    <r>
      <rPr>
        <sz val="9"/>
        <color rgb="FF000000"/>
        <rFont val="Noto Sans CJK SC"/>
        <family val="2"/>
      </rPr>
      <t xml:space="preserve">每年</t>
    </r>
  </si>
  <si>
    <r>
      <rPr>
        <sz val="9"/>
        <color rgb="FF000000"/>
        <rFont val="微軟正黑體"/>
        <family val="0"/>
        <charset val="1"/>
      </rPr>
      <t xml:space="preserve">Won / </t>
    </r>
    <r>
      <rPr>
        <sz val="9"/>
        <color rgb="FF000000"/>
        <rFont val="Noto Sans CJK SC"/>
        <family val="2"/>
      </rPr>
      <t xml:space="preserve">已簽約</t>
    </r>
  </si>
  <si>
    <r>
      <rPr>
        <sz val="9"/>
        <color rgb="FF000000"/>
        <rFont val="微軟正黑體"/>
        <family val="0"/>
        <charset val="1"/>
      </rPr>
      <t xml:space="preserve">PPP</t>
    </r>
    <r>
      <rPr>
        <sz val="9"/>
        <color rgb="FF000000"/>
        <rFont val="Noto Sans CJK SC"/>
        <family val="2"/>
      </rPr>
      <t xml:space="preserve">專案公司</t>
    </r>
    <r>
      <rPr>
        <sz val="9"/>
        <color rgb="FF000000"/>
        <rFont val="微軟正黑體"/>
        <family val="0"/>
        <charset val="1"/>
      </rPr>
      <t xml:space="preserve">(SPV)</t>
    </r>
  </si>
  <si>
    <r>
      <rPr>
        <sz val="9"/>
        <color rgb="FF000000"/>
        <rFont val="微軟正黑體"/>
        <family val="0"/>
        <charset val="1"/>
      </rPr>
      <t xml:space="preserve">SPD </t>
    </r>
    <r>
      <rPr>
        <sz val="9"/>
        <color rgb="FF000000"/>
        <rFont val="Noto Sans CJK SC"/>
        <family val="2"/>
      </rPr>
      <t xml:space="preserve">物流系統</t>
    </r>
  </si>
  <si>
    <r>
      <rPr>
        <sz val="9"/>
        <color rgb="FF000000"/>
        <rFont val="Noto Sans CJK SC"/>
        <family val="2"/>
      </rPr>
      <t xml:space="preserve">手術室</t>
    </r>
    <r>
      <rPr>
        <sz val="9"/>
        <color rgb="FF000000"/>
        <rFont val="微軟正黑體"/>
        <family val="0"/>
        <charset val="1"/>
      </rPr>
      <t xml:space="preserve">ICU</t>
    </r>
    <r>
      <rPr>
        <sz val="9"/>
        <color rgb="FF000000"/>
        <rFont val="Noto Sans CJK SC"/>
        <family val="2"/>
      </rPr>
      <t xml:space="preserve">｜</t>
    </r>
    <r>
      <rPr>
        <sz val="9"/>
        <color rgb="FF000000"/>
        <rFont val="微軟正黑體"/>
        <family val="0"/>
        <charset val="1"/>
      </rPr>
      <t xml:space="preserve">VMED Group</t>
    </r>
    <r>
      <rPr>
        <sz val="9"/>
        <color rgb="FF000000"/>
        <rFont val="Noto Sans CJK SC"/>
        <family val="2"/>
      </rPr>
      <t xml:space="preserve">（越南，</t>
    </r>
    <r>
      <rPr>
        <sz val="9"/>
        <color rgb="FF000000"/>
        <rFont val="微軟正黑體"/>
        <family val="0"/>
        <charset val="1"/>
      </rPr>
      <t xml:space="preserve">OR/</t>
    </r>
    <r>
      <rPr>
        <sz val="9"/>
        <color rgb="FF000000"/>
        <rFont val="Noto Sans CJK SC"/>
        <family val="2"/>
      </rPr>
      <t xml:space="preserve">麻醉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重症整包工程）</t>
    </r>
  </si>
  <si>
    <t xml:space="preserve">Singapore</t>
  </si>
  <si>
    <t xml:space="preserve">取消</t>
  </si>
  <si>
    <r>
      <rPr>
        <sz val="9"/>
        <color rgb="FF000000"/>
        <rFont val="微軟正黑體"/>
        <family val="0"/>
        <charset val="1"/>
      </rPr>
      <t xml:space="preserve">At commissioning / </t>
    </r>
    <r>
      <rPr>
        <sz val="9"/>
        <color rgb="FF000000"/>
        <rFont val="Noto Sans CJK SC"/>
        <family val="2"/>
      </rPr>
      <t xml:space="preserve">驗收時</t>
    </r>
  </si>
  <si>
    <t xml:space="preserve">未定</t>
  </si>
  <si>
    <r>
      <rPr>
        <sz val="9"/>
        <color rgb="FF000000"/>
        <rFont val="微軟正黑體"/>
        <family val="0"/>
        <charset val="1"/>
      </rPr>
      <t xml:space="preserve">Lost / </t>
    </r>
    <r>
      <rPr>
        <sz val="9"/>
        <color rgb="FF000000"/>
        <rFont val="Noto Sans CJK SC"/>
        <family val="2"/>
      </rPr>
      <t xml:space="preserve">未成交</t>
    </r>
  </si>
  <si>
    <r>
      <rPr>
        <sz val="9"/>
        <color rgb="FF000000"/>
        <rFont val="微軟正黑體"/>
        <family val="0"/>
        <charset val="1"/>
      </rPr>
      <t xml:space="preserve">CMMS </t>
    </r>
    <r>
      <rPr>
        <sz val="9"/>
        <color rgb="FF000000"/>
        <rFont val="Noto Sans CJK SC"/>
        <family val="2"/>
      </rPr>
      <t xml:space="preserve">設施維運</t>
    </r>
  </si>
  <si>
    <r>
      <rPr>
        <sz val="9"/>
        <color rgb="FF000000"/>
        <rFont val="Noto Sans CJK SC"/>
        <family val="2"/>
      </rPr>
      <t xml:space="preserve">手術室</t>
    </r>
    <r>
      <rPr>
        <sz val="9"/>
        <color rgb="FF000000"/>
        <rFont val="微軟正黑體"/>
        <family val="0"/>
        <charset val="1"/>
      </rPr>
      <t xml:space="preserve">ICU</t>
    </r>
    <r>
      <rPr>
        <sz val="9"/>
        <color rgb="FF000000"/>
        <rFont val="Noto Sans CJK SC"/>
        <family val="2"/>
      </rPr>
      <t xml:space="preserve">｜明基佳世達醫療艦隊（台灣，</t>
    </r>
    <r>
      <rPr>
        <sz val="9"/>
        <color rgb="FF000000"/>
        <rFont val="微軟正黑體"/>
        <family val="0"/>
        <charset val="1"/>
      </rPr>
      <t xml:space="preserve">OR</t>
    </r>
    <r>
      <rPr>
        <sz val="9"/>
        <color rgb="FF000000"/>
        <rFont val="Noto Sans CJK SC"/>
        <family val="2"/>
      </rPr>
      <t xml:space="preserve">設備＋醫院營運＋越南設廠）</t>
    </r>
  </si>
  <si>
    <t xml:space="preserve">Europe</t>
  </si>
  <si>
    <r>
      <rPr>
        <sz val="9"/>
        <color rgb="FF000000"/>
        <rFont val="微軟正黑體"/>
        <family val="0"/>
        <charset val="1"/>
      </rPr>
      <t xml:space="preserve">Rejected / </t>
    </r>
    <r>
      <rPr>
        <sz val="9"/>
        <color rgb="FF000000"/>
        <rFont val="Noto Sans CJK SC"/>
        <family val="2"/>
      </rPr>
      <t xml:space="preserve">不採用</t>
    </r>
  </si>
  <si>
    <r>
      <rPr>
        <sz val="9"/>
        <color rgb="FF000000"/>
        <rFont val="微軟正黑體"/>
        <family val="0"/>
        <charset val="1"/>
      </rPr>
      <t xml:space="preserve">At release / </t>
    </r>
    <r>
      <rPr>
        <sz val="9"/>
        <color rgb="FF000000"/>
        <rFont val="Noto Sans CJK SC"/>
        <family val="2"/>
      </rPr>
      <t xml:space="preserve">每次上線</t>
    </r>
  </si>
  <si>
    <r>
      <rPr>
        <sz val="9"/>
        <color rgb="FF000000"/>
        <rFont val="微軟正黑體"/>
        <family val="0"/>
        <charset val="1"/>
      </rPr>
      <t xml:space="preserve">On hold / </t>
    </r>
    <r>
      <rPr>
        <sz val="9"/>
        <color rgb="FF000000"/>
        <rFont val="Noto Sans CJK SC"/>
        <family val="2"/>
      </rPr>
      <t xml:space="preserve">暫緩</t>
    </r>
  </si>
  <si>
    <r>
      <rPr>
        <sz val="9"/>
        <color rgb="FF000000"/>
        <rFont val="微軟正黑體"/>
        <family val="0"/>
        <charset val="1"/>
      </rPr>
      <t xml:space="preserve">BMS </t>
    </r>
    <r>
      <rPr>
        <sz val="9"/>
        <color rgb="FF000000"/>
        <rFont val="Noto Sans CJK SC"/>
        <family val="2"/>
      </rPr>
      <t xml:space="preserve">樓宇管理</t>
    </r>
  </si>
  <si>
    <r>
      <rPr>
        <sz val="9"/>
        <color rgb="FF000000"/>
        <rFont val="Noto Sans CJK SC"/>
        <family val="2"/>
      </rPr>
      <t xml:space="preserve">數位身分</t>
    </r>
    <r>
      <rPr>
        <sz val="9"/>
        <color rgb="FF000000"/>
        <rFont val="微軟正黑體"/>
        <family val="0"/>
        <charset val="1"/>
      </rPr>
      <t xml:space="preserve">/HIS</t>
    </r>
    <r>
      <rPr>
        <sz val="9"/>
        <color rgb="FF000000"/>
        <rFont val="Noto Sans CJK SC"/>
        <family val="2"/>
      </rPr>
      <t xml:space="preserve">｜</t>
    </r>
    <r>
      <rPr>
        <sz val="9"/>
        <color rgb="FF000000"/>
        <rFont val="微軟正黑體"/>
        <family val="0"/>
        <charset val="1"/>
      </rPr>
      <t xml:space="preserve">FPT IS</t>
    </r>
    <r>
      <rPr>
        <sz val="9"/>
        <color rgb="FF000000"/>
        <rFont val="Noto Sans CJK SC"/>
        <family val="2"/>
      </rPr>
      <t xml:space="preserve">（越南，</t>
    </r>
    <r>
      <rPr>
        <sz val="9"/>
        <color rgb="FF000000"/>
        <rFont val="微軟正黑體"/>
        <family val="0"/>
        <charset val="1"/>
      </rPr>
      <t xml:space="preserve">eHospital+VNeID</t>
    </r>
    <r>
      <rPr>
        <sz val="9"/>
        <color rgb="FF000000"/>
        <rFont val="Noto Sans CJK SC"/>
        <family val="2"/>
      </rPr>
      <t xml:space="preserve">驗證</t>
    </r>
    <r>
      <rPr>
        <sz val="9"/>
        <color rgb="FF000000"/>
        <rFont val="微軟正黑體"/>
        <family val="0"/>
        <charset val="1"/>
      </rPr>
      <t xml:space="preserve">+VSS</t>
    </r>
    <r>
      <rPr>
        <sz val="9"/>
        <color rgb="FF000000"/>
        <rFont val="Noto Sans CJK SC"/>
        <family val="2"/>
      </rPr>
      <t xml:space="preserve">申報）</t>
    </r>
  </si>
  <si>
    <t xml:space="preserve">雲端</t>
  </si>
  <si>
    <r>
      <rPr>
        <sz val="9"/>
        <color rgb="FF000000"/>
        <rFont val="微軟正黑體"/>
        <family val="0"/>
        <charset val="1"/>
      </rPr>
      <t xml:space="preserve">Weekly pre-open / </t>
    </r>
    <r>
      <rPr>
        <sz val="9"/>
        <color rgb="FF000000"/>
        <rFont val="Noto Sans CJK SC"/>
        <family val="2"/>
      </rPr>
      <t xml:space="preserve">開院前每週</t>
    </r>
  </si>
  <si>
    <r>
      <rPr>
        <sz val="9"/>
        <color rgb="FF000000"/>
        <rFont val="微軟正黑體"/>
        <family val="0"/>
        <charset val="1"/>
      </rPr>
      <t xml:space="preserve">RTLS </t>
    </r>
    <r>
      <rPr>
        <sz val="9"/>
        <color rgb="FF000000"/>
        <rFont val="Noto Sans CJK SC"/>
        <family val="2"/>
      </rPr>
      <t xml:space="preserve">定位</t>
    </r>
  </si>
  <si>
    <r>
      <rPr>
        <sz val="9"/>
        <color rgb="FF000000"/>
        <rFont val="Noto Sans CJK SC"/>
        <family val="2"/>
      </rPr>
      <t xml:space="preserve">數位身分｜</t>
    </r>
    <r>
      <rPr>
        <sz val="9"/>
        <color rgb="FF000000"/>
        <rFont val="微軟正黑體"/>
        <family val="0"/>
        <charset val="1"/>
      </rPr>
      <t xml:space="preserve">Viettel Solutions</t>
    </r>
    <r>
      <rPr>
        <sz val="9"/>
        <color rgb="FF000000"/>
        <rFont val="Noto Sans CJK SC"/>
        <family val="2"/>
      </rPr>
      <t xml:space="preserve">（越南，政府平台＋醫院智慧</t>
    </r>
    <r>
      <rPr>
        <sz val="9"/>
        <color rgb="FF000000"/>
        <rFont val="微軟正黑體"/>
        <family val="0"/>
        <charset val="1"/>
      </rPr>
      <t xml:space="preserve">kiosk</t>
    </r>
    <r>
      <rPr>
        <sz val="9"/>
        <color rgb="FF000000"/>
        <rFont val="Noto Sans CJK SC"/>
        <family val="2"/>
      </rPr>
      <t xml:space="preserve">）</t>
    </r>
  </si>
  <si>
    <r>
      <rPr>
        <sz val="9"/>
        <color rgb="FF000000"/>
        <rFont val="Noto Sans CJK SC"/>
        <family val="2"/>
      </rPr>
      <t xml:space="preserve">數位身分</t>
    </r>
    <r>
      <rPr>
        <sz val="9"/>
        <color rgb="FF000000"/>
        <rFont val="微軟正黑體"/>
        <family val="0"/>
        <charset val="1"/>
      </rPr>
      <t xml:space="preserve">/HIS</t>
    </r>
    <r>
      <rPr>
        <sz val="9"/>
        <color rgb="FF000000"/>
        <rFont val="Noto Sans CJK SC"/>
        <family val="2"/>
      </rPr>
      <t xml:space="preserve">｜</t>
    </r>
    <r>
      <rPr>
        <sz val="9"/>
        <color rgb="FF000000"/>
        <rFont val="微軟正黑體"/>
        <family val="0"/>
        <charset val="1"/>
      </rPr>
      <t xml:space="preserve">VNPT</t>
    </r>
    <r>
      <rPr>
        <sz val="9"/>
        <color rgb="FF000000"/>
        <rFont val="Noto Sans CJK SC"/>
        <family val="2"/>
      </rPr>
      <t xml:space="preserve">（越南，</t>
    </r>
    <r>
      <rPr>
        <sz val="9"/>
        <color rgb="FF000000"/>
        <rFont val="微軟正黑體"/>
        <family val="0"/>
        <charset val="1"/>
      </rPr>
      <t xml:space="preserve">HIS/LIS/PACS</t>
    </r>
    <r>
      <rPr>
        <sz val="9"/>
        <color rgb="FF000000"/>
        <rFont val="Noto Sans CJK SC"/>
        <family val="2"/>
      </rPr>
      <t xml:space="preserve">公立市占最高）</t>
    </r>
  </si>
  <si>
    <t xml:space="preserve">物流</t>
  </si>
  <si>
    <r>
      <rPr>
        <sz val="9"/>
        <color rgb="FF000000"/>
        <rFont val="Noto Sans CJK SC"/>
        <family val="2"/>
      </rPr>
      <t xml:space="preserve">病人入口／</t>
    </r>
    <r>
      <rPr>
        <sz val="9"/>
        <color rgb="FF000000"/>
        <rFont val="微軟正黑體"/>
        <family val="0"/>
        <charset val="1"/>
      </rPr>
      <t xml:space="preserve">App</t>
    </r>
  </si>
  <si>
    <r>
      <rPr>
        <sz val="9"/>
        <color rgb="FF000000"/>
        <rFont val="微軟正黑體"/>
        <family val="0"/>
        <charset val="1"/>
      </rPr>
      <t xml:space="preserve">HIS/VSS</t>
    </r>
    <r>
      <rPr>
        <sz val="9"/>
        <color rgb="FF000000"/>
        <rFont val="Noto Sans CJK SC"/>
        <family val="2"/>
      </rPr>
      <t xml:space="preserve">申報｜</t>
    </r>
    <r>
      <rPr>
        <sz val="9"/>
        <color rgb="FF000000"/>
        <rFont val="微軟正黑體"/>
        <family val="0"/>
        <charset val="1"/>
      </rPr>
      <t xml:space="preserve">ISOFH</t>
    </r>
    <r>
      <rPr>
        <sz val="9"/>
        <color rgb="FF000000"/>
        <rFont val="Noto Sans CJK SC"/>
        <family val="2"/>
      </rPr>
      <t xml:space="preserve">（越南，本土醫院</t>
    </r>
    <r>
      <rPr>
        <sz val="9"/>
        <color rgb="FF000000"/>
        <rFont val="微軟正黑體"/>
        <family val="0"/>
        <charset val="1"/>
      </rPr>
      <t xml:space="preserve">HIS/EMR</t>
    </r>
    <r>
      <rPr>
        <sz val="9"/>
        <color rgb="FF000000"/>
        <rFont val="Noto Sans CJK SC"/>
        <family val="2"/>
      </rPr>
      <t xml:space="preserve">多案）</t>
    </r>
  </si>
  <si>
    <t xml:space="preserve">法律</t>
  </si>
  <si>
    <r>
      <rPr>
        <sz val="9"/>
        <color rgb="FF000000"/>
        <rFont val="Noto Sans CJK SC"/>
        <family val="2"/>
      </rPr>
      <t xml:space="preserve">資料平台／</t>
    </r>
    <r>
      <rPr>
        <sz val="9"/>
        <color rgb="FF000000"/>
        <rFont val="微軟正黑體"/>
        <family val="0"/>
        <charset val="1"/>
      </rPr>
      <t xml:space="preserve">BI</t>
    </r>
  </si>
  <si>
    <r>
      <rPr>
        <sz val="9"/>
        <color rgb="FF000000"/>
        <rFont val="Noto Sans CJK SC"/>
        <family val="2"/>
      </rPr>
      <t xml:space="preserve">病人</t>
    </r>
    <r>
      <rPr>
        <sz val="9"/>
        <color rgb="FF000000"/>
        <rFont val="微軟正黑體"/>
        <family val="0"/>
        <charset val="1"/>
      </rPr>
      <t xml:space="preserve">App</t>
    </r>
    <r>
      <rPr>
        <sz val="9"/>
        <color rgb="FF000000"/>
        <rFont val="Noto Sans CJK SC"/>
        <family val="2"/>
      </rPr>
      <t xml:space="preserve">｜</t>
    </r>
    <r>
      <rPr>
        <sz val="9"/>
        <color rgb="FF000000"/>
        <rFont val="微軟正黑體"/>
        <family val="0"/>
        <charset val="1"/>
      </rPr>
      <t xml:space="preserve">Medpro</t>
    </r>
    <r>
      <rPr>
        <sz val="9"/>
        <color rgb="FF000000"/>
        <rFont val="Noto Sans CJK SC"/>
        <family val="2"/>
      </rPr>
      <t xml:space="preserve">（越南，掛號</t>
    </r>
    <r>
      <rPr>
        <sz val="9"/>
        <color rgb="FF000000"/>
        <rFont val="微軟正黑體"/>
        <family val="0"/>
        <charset val="1"/>
      </rPr>
      <t xml:space="preserve">App</t>
    </r>
    <r>
      <rPr>
        <sz val="9"/>
        <color rgb="FF000000"/>
        <rFont val="Noto Sans CJK SC"/>
        <family val="2"/>
      </rPr>
      <t xml:space="preserve">串接</t>
    </r>
    <r>
      <rPr>
        <sz val="9"/>
        <color rgb="FF000000"/>
        <rFont val="微軟正黑體"/>
        <family val="0"/>
        <charset val="1"/>
      </rPr>
      <t xml:space="preserve">300+</t>
    </r>
    <r>
      <rPr>
        <sz val="9"/>
        <color rgb="FF000000"/>
        <rFont val="Noto Sans CJK SC"/>
        <family val="2"/>
      </rPr>
      <t xml:space="preserve">醫院）</t>
    </r>
  </si>
  <si>
    <r>
      <rPr>
        <sz val="9"/>
        <color rgb="FF000000"/>
        <rFont val="Noto Sans CJK SC"/>
        <family val="2"/>
      </rPr>
      <t xml:space="preserve">財務 </t>
    </r>
    <r>
      <rPr>
        <sz val="9"/>
        <color rgb="FF000000"/>
        <rFont val="微軟正黑體"/>
        <family val="0"/>
        <charset val="1"/>
      </rPr>
      <t xml:space="preserve">/ PPP</t>
    </r>
  </si>
  <si>
    <t xml:space="preserve">雇主／企業健檢預算</t>
  </si>
  <si>
    <r>
      <rPr>
        <sz val="9"/>
        <color rgb="FF000000"/>
        <rFont val="微軟正黑體"/>
        <family val="0"/>
        <charset val="1"/>
      </rPr>
      <t xml:space="preserve">VNeID </t>
    </r>
    <r>
      <rPr>
        <sz val="9"/>
        <color rgb="FF000000"/>
        <rFont val="Noto Sans CJK SC"/>
        <family val="2"/>
      </rPr>
      <t xml:space="preserve">數位身分</t>
    </r>
  </si>
  <si>
    <r>
      <rPr>
        <sz val="9"/>
        <color rgb="FF000000"/>
        <rFont val="Noto Sans CJK SC"/>
        <family val="2"/>
      </rPr>
      <t xml:space="preserve">支付｜</t>
    </r>
    <r>
      <rPr>
        <sz val="9"/>
        <color rgb="FF000000"/>
        <rFont val="微軟正黑體"/>
        <family val="0"/>
        <charset val="1"/>
      </rPr>
      <t xml:space="preserve">MoMo</t>
    </r>
    <r>
      <rPr>
        <sz val="9"/>
        <color rgb="FF000000"/>
        <rFont val="Noto Sans CJK SC"/>
        <family val="2"/>
      </rPr>
      <t xml:space="preserve">（越南最大電子錢包，院內掃碼多案）</t>
    </r>
  </si>
  <si>
    <r>
      <rPr>
        <sz val="9"/>
        <color rgb="FF000000"/>
        <rFont val="Noto Sans CJK SC"/>
        <family val="2"/>
      </rPr>
      <t xml:space="preserve">品質 </t>
    </r>
    <r>
      <rPr>
        <sz val="9"/>
        <color rgb="FF000000"/>
        <rFont val="微軟正黑體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認證</t>
    </r>
  </si>
  <si>
    <r>
      <rPr>
        <sz val="9"/>
        <color rgb="FF000000"/>
        <rFont val="微軟正黑體"/>
        <family val="0"/>
        <charset val="1"/>
      </rPr>
      <t xml:space="preserve">VSS </t>
    </r>
    <r>
      <rPr>
        <sz val="9"/>
        <color rgb="FF000000"/>
        <rFont val="Noto Sans CJK SC"/>
        <family val="2"/>
      </rPr>
      <t xml:space="preserve">健保申報</t>
    </r>
  </si>
  <si>
    <r>
      <rPr>
        <sz val="9"/>
        <color rgb="FF000000"/>
        <rFont val="Noto Sans CJK SC"/>
        <family val="2"/>
      </rPr>
      <t xml:space="preserve">支付｜</t>
    </r>
    <r>
      <rPr>
        <sz val="9"/>
        <color rgb="FF000000"/>
        <rFont val="微軟正黑體"/>
        <family val="0"/>
        <charset val="1"/>
      </rPr>
      <t xml:space="preserve">VNPay</t>
    </r>
    <r>
      <rPr>
        <sz val="9"/>
        <color rgb="FF000000"/>
        <rFont val="Noto Sans CJK SC"/>
        <family val="2"/>
      </rPr>
      <t xml:space="preserve">（越南，</t>
    </r>
    <r>
      <rPr>
        <sz val="9"/>
        <color rgb="FF000000"/>
        <rFont val="微軟正黑體"/>
        <family val="0"/>
        <charset val="1"/>
      </rPr>
      <t xml:space="preserve">QR</t>
    </r>
    <r>
      <rPr>
        <sz val="9"/>
        <color rgb="FF000000"/>
        <rFont val="Noto Sans CJK SC"/>
        <family val="2"/>
      </rPr>
      <t xml:space="preserve">支付閘道醫院部署）</t>
    </r>
  </si>
  <si>
    <t xml:space="preserve">醫材介接閘道</t>
  </si>
  <si>
    <r>
      <rPr>
        <sz val="9"/>
        <color rgb="FF000000"/>
        <rFont val="Noto Sans CJK SC"/>
        <family val="2"/>
      </rPr>
      <t xml:space="preserve">收費金流｜</t>
    </r>
    <r>
      <rPr>
        <sz val="9"/>
        <color rgb="FF000000"/>
        <rFont val="微軟正黑體"/>
        <family val="0"/>
        <charset val="1"/>
      </rPr>
      <t xml:space="preserve">BIDV</t>
    </r>
    <r>
      <rPr>
        <sz val="9"/>
        <color rgb="FF000000"/>
        <rFont val="Noto Sans CJK SC"/>
        <family val="2"/>
      </rPr>
      <t xml:space="preserve">（越南，醫院無現金繳費專案）</t>
    </r>
  </si>
  <si>
    <t xml:space="preserve">獨立驗證</t>
  </si>
  <si>
    <t xml:space="preserve">無／不適用</t>
  </si>
  <si>
    <r>
      <rPr>
        <sz val="9"/>
        <color rgb="FF000000"/>
        <rFont val="Noto Sans CJK SC"/>
        <family val="2"/>
      </rPr>
      <t xml:space="preserve">收費金流｜</t>
    </r>
    <r>
      <rPr>
        <sz val="9"/>
        <color rgb="FF000000"/>
        <rFont val="微軟正黑體"/>
        <family val="0"/>
        <charset val="1"/>
      </rPr>
      <t xml:space="preserve">HDBank</t>
    </r>
    <r>
      <rPr>
        <sz val="9"/>
        <color rgb="FF000000"/>
        <rFont val="Noto Sans CJK SC"/>
        <family val="2"/>
      </rPr>
      <t xml:space="preserve">（越南，醫院智慧</t>
    </r>
    <r>
      <rPr>
        <sz val="9"/>
        <color rgb="FF000000"/>
        <rFont val="微軟正黑體"/>
        <family val="0"/>
        <charset val="1"/>
      </rPr>
      <t xml:space="preserve">kiosk</t>
    </r>
    <r>
      <rPr>
        <sz val="9"/>
        <color rgb="FF000000"/>
        <rFont val="Noto Sans CJK SC"/>
        <family val="2"/>
      </rPr>
      <t xml:space="preserve">掛號繳費）</t>
    </r>
  </si>
  <si>
    <r>
      <rPr>
        <sz val="9"/>
        <color rgb="FF000000"/>
        <rFont val="Noto Sans CJK SC"/>
        <family val="2"/>
      </rPr>
      <t xml:space="preserve">醫護人力｜海陽醫技大學</t>
    </r>
    <r>
      <rPr>
        <sz val="9"/>
        <color rgb="FF000000"/>
        <rFont val="微軟正黑體"/>
        <family val="0"/>
        <charset val="1"/>
      </rPr>
      <t xml:space="preserve">HMTU</t>
    </r>
    <r>
      <rPr>
        <sz val="9"/>
        <color rgb="FF000000"/>
        <rFont val="Noto Sans CJK SC"/>
        <family val="2"/>
      </rPr>
      <t xml:space="preserve">（越南，護理人才輸出模式成熟）</t>
    </r>
  </si>
  <si>
    <r>
      <rPr>
        <sz val="9"/>
        <color rgb="FF000000"/>
        <rFont val="Noto Sans CJK SC"/>
        <family val="2"/>
      </rPr>
      <t xml:space="preserve">醫護人力｜胡志明市醫藥大學</t>
    </r>
    <r>
      <rPr>
        <sz val="9"/>
        <color rgb="FF000000"/>
        <rFont val="微軟正黑體"/>
        <family val="0"/>
        <charset val="1"/>
      </rPr>
      <t xml:space="preserve">UMC</t>
    </r>
    <r>
      <rPr>
        <sz val="9"/>
        <color rgb="FF000000"/>
        <rFont val="Noto Sans CJK SC"/>
        <family val="2"/>
      </rPr>
      <t xml:space="preserve">（已有台灣交流管道）</t>
    </r>
  </si>
  <si>
    <r>
      <rPr>
        <sz val="9"/>
        <color rgb="FF000000"/>
        <rFont val="Noto Sans CJK SC"/>
        <family val="2"/>
      </rPr>
      <t xml:space="preserve">國際醫療保險｜</t>
    </r>
    <r>
      <rPr>
        <sz val="9"/>
        <color rgb="FF000000"/>
        <rFont val="微軟正黑體"/>
        <family val="0"/>
        <charset val="1"/>
      </rPr>
      <t xml:space="preserve">Insmart</t>
    </r>
    <r>
      <rPr>
        <sz val="9"/>
        <color rgb="FF000000"/>
        <rFont val="Noto Sans CJK SC"/>
        <family val="2"/>
      </rPr>
      <t xml:space="preserve">（越南主要</t>
    </r>
    <r>
      <rPr>
        <sz val="9"/>
        <color rgb="FF000000"/>
        <rFont val="微軟正黑體"/>
        <family val="0"/>
        <charset val="1"/>
      </rPr>
      <t xml:space="preserve">TPA</t>
    </r>
    <r>
      <rPr>
        <sz val="9"/>
        <color rgb="FF000000"/>
        <rFont val="Noto Sans CJK SC"/>
        <family val="2"/>
      </rPr>
      <t xml:space="preserve">，住友投資，直付網絡）</t>
    </r>
  </si>
  <si>
    <r>
      <rPr>
        <sz val="9"/>
        <color rgb="FF000000"/>
        <rFont val="Noto Sans CJK SC"/>
        <family val="2"/>
      </rPr>
      <t xml:space="preserve">國際醫療保險｜</t>
    </r>
    <r>
      <rPr>
        <sz val="9"/>
        <color rgb="FF000000"/>
        <rFont val="微軟正黑體"/>
        <family val="0"/>
        <charset val="1"/>
      </rPr>
      <t xml:space="preserve">Pacific Cross Vietnam</t>
    </r>
    <r>
      <rPr>
        <sz val="9"/>
        <color rgb="FF000000"/>
        <rFont val="Noto Sans CJK SC"/>
        <family val="2"/>
      </rPr>
      <t xml:space="preserve">（外籍醫療險直付）</t>
    </r>
  </si>
  <si>
    <r>
      <rPr>
        <sz val="9"/>
        <color rgb="FF000000"/>
        <rFont val="Noto Sans CJK SC"/>
        <family val="2"/>
      </rPr>
      <t xml:space="preserve">國際醫療保險｜</t>
    </r>
    <r>
      <rPr>
        <sz val="9"/>
        <color rgb="FF000000"/>
        <rFont val="微軟正黑體"/>
        <family val="0"/>
        <charset val="1"/>
      </rPr>
      <t xml:space="preserve">Bảo Việt</t>
    </r>
    <r>
      <rPr>
        <sz val="9"/>
        <color rgb="FF000000"/>
        <rFont val="Noto Sans CJK SC"/>
        <family val="2"/>
      </rPr>
      <t xml:space="preserve">（越南最大保險集團）</t>
    </r>
  </si>
  <si>
    <r>
      <rPr>
        <sz val="9"/>
        <color rgb="FF000000"/>
        <rFont val="Noto Sans CJK SC"/>
        <family val="2"/>
      </rPr>
      <t xml:space="preserve">智慧照護｜緯創醫學（台灣，智慧照護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復健機器人）</t>
    </r>
  </si>
  <si>
    <r>
      <rPr>
        <sz val="9"/>
        <color rgb="FF000000"/>
        <rFont val="Noto Sans CJK SC"/>
        <family val="2"/>
      </rPr>
      <t xml:space="preserve">醫療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｜宏碁智醫（台灣，眼底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骨鬆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已進軍東南亞）</t>
    </r>
  </si>
  <si>
    <r>
      <rPr>
        <sz val="9"/>
        <color rgb="FF000000"/>
        <rFont val="Noto Sans CJK SC"/>
        <family val="2"/>
      </rPr>
      <t xml:space="preserve">醫療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｜雲象</t>
    </r>
    <r>
      <rPr>
        <sz val="9"/>
        <color rgb="FF000000"/>
        <rFont val="微軟正黑體"/>
        <family val="0"/>
        <charset val="1"/>
      </rPr>
      <t xml:space="preserve">aetherAI</t>
    </r>
    <r>
      <rPr>
        <sz val="9"/>
        <color rgb="FF000000"/>
        <rFont val="Noto Sans CJK SC"/>
        <family val="2"/>
      </rPr>
      <t xml:space="preserve">（台灣，數位病理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）</t>
    </r>
  </si>
  <si>
    <r>
      <rPr>
        <sz val="9"/>
        <color rgb="FF000000"/>
        <rFont val="Noto Sans CJK SC"/>
        <family val="2"/>
      </rPr>
      <t xml:space="preserve">醫療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｜長佳智能（台灣，醫療</t>
    </r>
    <r>
      <rPr>
        <sz val="9"/>
        <color rgb="FF000000"/>
        <rFont val="微軟正黑體"/>
        <family val="0"/>
        <charset val="1"/>
      </rPr>
      <t xml:space="preserve">AI</t>
    </r>
    <r>
      <rPr>
        <sz val="9"/>
        <color rgb="FF000000"/>
        <rFont val="Noto Sans CJK SC"/>
        <family val="2"/>
      </rPr>
      <t xml:space="preserve">，與</t>
    </r>
    <r>
      <rPr>
        <sz val="9"/>
        <color rgb="FF000000"/>
        <rFont val="微軟正黑體"/>
        <family val="0"/>
        <charset val="1"/>
      </rPr>
      <t xml:space="preserve">FPT</t>
    </r>
    <r>
      <rPr>
        <sz val="9"/>
        <color rgb="FF000000"/>
        <rFont val="Noto Sans CJK SC"/>
        <family val="2"/>
      </rPr>
      <t xml:space="preserve">有交流</t>
    </r>
    <r>
      <rPr>
        <sz val="9"/>
        <color rgb="FF000000"/>
        <rFont val="微軟正黑體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待查證）</t>
    </r>
  </si>
  <si>
    <t xml:space="preserve">醫療氣體與真空系統商</t>
  </si>
  <si>
    <t xml:space="preserve">不斷電系統與備援電力商</t>
  </si>
  <si>
    <r>
      <rPr>
        <sz val="9"/>
        <color rgb="FF000000"/>
        <rFont val="微軟正黑體"/>
        <family val="0"/>
        <charset val="1"/>
      </rPr>
      <t xml:space="preserve">JCI</t>
    </r>
    <r>
      <rPr>
        <sz val="9"/>
        <color rgb="FF000000"/>
        <rFont val="Noto Sans CJK SC"/>
        <family val="2"/>
      </rPr>
      <t xml:space="preserve">／國際認證輔導顧問</t>
    </r>
  </si>
  <si>
    <t xml:space="preserve">醫院資安滲透測試商</t>
  </si>
  <si>
    <r>
      <rPr>
        <b val="true"/>
        <sz val="15"/>
        <color rgb="FFFFFFFF"/>
        <rFont val="微軟正黑體"/>
        <family val="0"/>
        <charset val="1"/>
      </rPr>
      <t xml:space="preserve">99 </t>
    </r>
    <r>
      <rPr>
        <b val="true"/>
        <sz val="15"/>
        <color rgb="FFFFFFFF"/>
        <rFont val="Noto Sans CJK SC"/>
        <family val="2"/>
      </rPr>
      <t xml:space="preserve">代碼表｜</t>
    </r>
    <r>
      <rPr>
        <b val="true"/>
        <sz val="15"/>
        <color rgb="FFFFFFFF"/>
        <rFont val="微軟正黑體"/>
        <family val="0"/>
        <charset val="1"/>
      </rPr>
      <t xml:space="preserve">Codebook &amp; Data Dictionary</t>
    </r>
  </si>
  <si>
    <t xml:space="preserve">❓ 這頁在回答：這些代號、術語是什麼意思？　　▸ 所有下拉選單值與評分定義；修改代碼前請先確認公式相依。</t>
  </si>
  <si>
    <r>
      <rPr>
        <b val="true"/>
        <sz val="10"/>
        <color rgb="FFC00000"/>
        <rFont val="Noto Sans CJK SC"/>
        <family val="2"/>
      </rPr>
      <t xml:space="preserve">★ 選項「值」的維護請到 </t>
    </r>
    <r>
      <rPr>
        <b val="true"/>
        <sz val="10"/>
        <color rgb="FFC00000"/>
        <rFont val="微軟正黑體"/>
        <family val="0"/>
        <charset val="1"/>
      </rPr>
      <t xml:space="preserve">98_</t>
    </r>
    <r>
      <rPr>
        <b val="true"/>
        <sz val="10"/>
        <color rgb="FFC00000"/>
        <rFont val="Noto Sans CJK SC"/>
        <family val="2"/>
      </rPr>
      <t xml:space="preserve">選單維護</t>
    </r>
    <r>
      <rPr>
        <b val="true"/>
        <sz val="10"/>
        <color rgb="FFC00000"/>
        <rFont val="微軟正黑體"/>
        <family val="0"/>
        <charset val="1"/>
      </rPr>
      <t xml:space="preserve">_Lists</t>
    </r>
    <r>
      <rPr>
        <b val="true"/>
        <sz val="10"/>
        <color rgb="FFC00000"/>
        <rFont val="Noto Sans CJK SC"/>
        <family val="2"/>
      </rPr>
      <t xml:space="preserve">；本頁只放名詞的定義與判讀說明。</t>
    </r>
  </si>
  <si>
    <r>
      <rPr>
        <b val="true"/>
        <sz val="11"/>
        <color rgb="FF1F3864"/>
        <rFont val="微軟正黑體"/>
        <family val="0"/>
        <charset val="1"/>
      </rPr>
      <t xml:space="preserve">A. </t>
    </r>
    <r>
      <rPr>
        <b val="true"/>
        <sz val="11"/>
        <color rgb="FF1F3864"/>
        <rFont val="Noto Sans CJK SC"/>
        <family val="2"/>
      </rPr>
      <t xml:space="preserve">生態領域 </t>
    </r>
    <r>
      <rPr>
        <b val="true"/>
        <sz val="11"/>
        <color rgb="FF1F3864"/>
        <rFont val="微軟正黑體"/>
        <family val="0"/>
        <charset val="1"/>
      </rPr>
      <t xml:space="preserve">Domains</t>
    </r>
    <r>
      <rPr>
        <b val="true"/>
        <sz val="11"/>
        <color rgb="FF1F3864"/>
        <rFont val="Noto Sans CJK SC"/>
        <family val="2"/>
      </rPr>
      <t xml:space="preserve">（</t>
    </r>
    <r>
      <rPr>
        <b val="true"/>
        <sz val="11"/>
        <color rgb="FF1F3864"/>
        <rFont val="微軟正黑體"/>
        <family val="0"/>
        <charset val="1"/>
      </rPr>
      <t xml:space="preserve">C</t>
    </r>
    <r>
      <rPr>
        <b val="true"/>
        <sz val="11"/>
        <color rgb="FF1F3864"/>
        <rFont val="Noto Sans CJK SC"/>
        <family val="2"/>
      </rPr>
      <t xml:space="preserve">軸）</t>
    </r>
  </si>
  <si>
    <t xml:space="preserve">代碼</t>
  </si>
  <si>
    <t xml:space="preserve">中文</t>
  </si>
  <si>
    <t xml:space="preserve">English</t>
  </si>
  <si>
    <t xml:space="preserve">主要業務線舉例</t>
  </si>
  <si>
    <t xml:space="preserve">治理與投資</t>
  </si>
  <si>
    <t xml:space="preserve">Governance &amp; Investment</t>
  </si>
  <si>
    <r>
      <rPr>
        <sz val="9"/>
        <color rgb="FF808080"/>
        <rFont val="Noto Sans CJK SC"/>
        <family val="2"/>
      </rPr>
      <t xml:space="preserve">治理</t>
    </r>
    <r>
      <rPr>
        <sz val="9"/>
        <color rgb="FF808080"/>
        <rFont val="微軟正黑體"/>
        <family val="0"/>
        <charset val="1"/>
      </rPr>
      <t xml:space="preserve">/</t>
    </r>
    <r>
      <rPr>
        <sz val="9"/>
        <color rgb="FF808080"/>
        <rFont val="Noto Sans CJK SC"/>
        <family val="2"/>
      </rPr>
      <t xml:space="preserve">顧問</t>
    </r>
  </si>
  <si>
    <t xml:space="preserve">臨床服務模式</t>
  </si>
  <si>
    <t xml:space="preserve">Clinical Service Model</t>
  </si>
  <si>
    <r>
      <rPr>
        <sz val="9"/>
        <color rgb="FF808080"/>
        <rFont val="Noto Sans CJK SC"/>
        <family val="2"/>
      </rPr>
      <t xml:space="preserve">臨床</t>
    </r>
    <r>
      <rPr>
        <sz val="9"/>
        <color rgb="FF808080"/>
        <rFont val="微軟正黑體"/>
        <family val="0"/>
        <charset val="1"/>
      </rPr>
      <t xml:space="preserve">/</t>
    </r>
    <r>
      <rPr>
        <sz val="9"/>
        <color rgb="FF808080"/>
        <rFont val="Noto Sans CJK SC"/>
        <family val="2"/>
      </rPr>
      <t xml:space="preserve">營運</t>
    </r>
  </si>
  <si>
    <t xml:space="preserve">醫院設施與機電</t>
  </si>
  <si>
    <t xml:space="preserve">Facility &amp; MEP</t>
  </si>
  <si>
    <r>
      <rPr>
        <sz val="9"/>
        <color rgb="FF808080"/>
        <rFont val="Noto Sans CJK SC"/>
        <family val="2"/>
      </rPr>
      <t xml:space="preserve">建築</t>
    </r>
    <r>
      <rPr>
        <sz val="9"/>
        <color rgb="FF808080"/>
        <rFont val="微軟正黑體"/>
        <family val="0"/>
        <charset val="1"/>
      </rPr>
      <t xml:space="preserve">/</t>
    </r>
    <r>
      <rPr>
        <sz val="9"/>
        <color rgb="FF808080"/>
        <rFont val="Noto Sans CJK SC"/>
        <family val="2"/>
      </rPr>
      <t xml:space="preserve">工程、機房</t>
    </r>
    <r>
      <rPr>
        <sz val="9"/>
        <color rgb="FF808080"/>
        <rFont val="微軟正黑體"/>
        <family val="0"/>
        <charset val="1"/>
      </rPr>
      <t xml:space="preserve">/</t>
    </r>
    <r>
      <rPr>
        <sz val="9"/>
        <color rgb="FF808080"/>
        <rFont val="Noto Sans CJK SC"/>
        <family val="2"/>
      </rPr>
      <t xml:space="preserve">能源</t>
    </r>
  </si>
  <si>
    <t xml:space="preserve">數位基建與物聯網</t>
  </si>
  <si>
    <t xml:space="preserve">Digital Infra &amp; IoT</t>
  </si>
  <si>
    <r>
      <rPr>
        <sz val="9"/>
        <color rgb="FF808080"/>
        <rFont val="微軟正黑體"/>
        <family val="0"/>
        <charset val="1"/>
      </rPr>
      <t xml:space="preserve">IDC/</t>
    </r>
    <r>
      <rPr>
        <sz val="9"/>
        <color rgb="FF808080"/>
        <rFont val="Noto Sans CJK SC"/>
        <family val="2"/>
      </rPr>
      <t xml:space="preserve">機房、網路</t>
    </r>
    <r>
      <rPr>
        <sz val="9"/>
        <color rgb="FF808080"/>
        <rFont val="微軟正黑體"/>
        <family val="0"/>
        <charset val="1"/>
      </rPr>
      <t xml:space="preserve">/</t>
    </r>
    <r>
      <rPr>
        <sz val="9"/>
        <color rgb="FF808080"/>
        <rFont val="Noto Sans CJK SC"/>
        <family val="2"/>
      </rPr>
      <t xml:space="preserve">資安、</t>
    </r>
    <r>
      <rPr>
        <sz val="9"/>
        <color rgb="FF808080"/>
        <rFont val="微軟正黑體"/>
        <family val="0"/>
        <charset val="1"/>
      </rPr>
      <t xml:space="preserve">AIOT</t>
    </r>
  </si>
  <si>
    <t xml:space="preserve">醫材與診斷</t>
  </si>
  <si>
    <t xml:space="preserve">Medical Devices &amp; Diagnostics</t>
  </si>
  <si>
    <t xml:space="preserve">Digital Health &amp; Data</t>
  </si>
  <si>
    <t xml:space="preserve">品質與病安</t>
  </si>
  <si>
    <t xml:space="preserve">Quality &amp; Patient Safety</t>
  </si>
  <si>
    <r>
      <rPr>
        <sz val="9"/>
        <color rgb="FF808080"/>
        <rFont val="Noto Sans CJK SC"/>
        <family val="2"/>
      </rPr>
      <t xml:space="preserve">品質</t>
    </r>
    <r>
      <rPr>
        <sz val="9"/>
        <color rgb="FF808080"/>
        <rFont val="微軟正黑體"/>
        <family val="0"/>
        <charset val="1"/>
      </rPr>
      <t xml:space="preserve">/</t>
    </r>
    <r>
      <rPr>
        <sz val="9"/>
        <color rgb="FF808080"/>
        <rFont val="Noto Sans CJK SC"/>
        <family val="2"/>
      </rPr>
      <t xml:space="preserve">病安</t>
    </r>
  </si>
  <si>
    <t xml:space="preserve">人才與技轉</t>
  </si>
  <si>
    <t xml:space="preserve">Workforce &amp; Transfer</t>
  </si>
  <si>
    <r>
      <rPr>
        <sz val="9"/>
        <color rgb="FF808080"/>
        <rFont val="Noto Sans CJK SC"/>
        <family val="2"/>
      </rPr>
      <t xml:space="preserve">人才</t>
    </r>
    <r>
      <rPr>
        <sz val="9"/>
        <color rgb="FF808080"/>
        <rFont val="微軟正黑體"/>
        <family val="0"/>
        <charset val="1"/>
      </rPr>
      <t xml:space="preserve">/</t>
    </r>
    <r>
      <rPr>
        <sz val="9"/>
        <color rgb="FF808080"/>
        <rFont val="Noto Sans CJK SC"/>
        <family val="2"/>
      </rPr>
      <t xml:space="preserve">教育</t>
    </r>
  </si>
  <si>
    <t xml:space="preserve">供應鏈與維運</t>
  </si>
  <si>
    <t xml:space="preserve">Supply Chain &amp; O&amp;M</t>
  </si>
  <si>
    <r>
      <rPr>
        <sz val="9"/>
        <color rgb="FF808080"/>
        <rFont val="Noto Sans CJK SC"/>
        <family val="2"/>
      </rPr>
      <t xml:space="preserve">物流</t>
    </r>
    <r>
      <rPr>
        <sz val="9"/>
        <color rgb="FF808080"/>
        <rFont val="微軟正黑體"/>
        <family val="0"/>
        <charset val="1"/>
      </rPr>
      <t xml:space="preserve">/</t>
    </r>
    <r>
      <rPr>
        <sz val="9"/>
        <color rgb="FF808080"/>
        <rFont val="Noto Sans CJK SC"/>
        <family val="2"/>
      </rPr>
      <t xml:space="preserve">維運、</t>
    </r>
    <r>
      <rPr>
        <sz val="9"/>
        <color rgb="FF808080"/>
        <rFont val="微軟正黑體"/>
        <family val="0"/>
        <charset val="1"/>
      </rPr>
      <t xml:space="preserve">AIOT/FM</t>
    </r>
  </si>
  <si>
    <t xml:space="preserve">商模與病人生態</t>
  </si>
  <si>
    <t xml:space="preserve">Commercial &amp; Patient Eco</t>
  </si>
  <si>
    <r>
      <rPr>
        <sz val="9"/>
        <color rgb="FF808080"/>
        <rFont val="Noto Sans CJK SC"/>
        <family val="2"/>
      </rPr>
      <t xml:space="preserve">財務</t>
    </r>
    <r>
      <rPr>
        <sz val="9"/>
        <color rgb="FF808080"/>
        <rFont val="微軟正黑體"/>
        <family val="0"/>
        <charset val="1"/>
      </rPr>
      <t xml:space="preserve">/</t>
    </r>
    <r>
      <rPr>
        <sz val="9"/>
        <color rgb="FF808080"/>
        <rFont val="Noto Sans CJK SC"/>
        <family val="2"/>
      </rPr>
      <t xml:space="preserve">法務、商務</t>
    </r>
    <r>
      <rPr>
        <sz val="9"/>
        <color rgb="FF808080"/>
        <rFont val="微軟正黑體"/>
        <family val="0"/>
        <charset val="1"/>
      </rPr>
      <t xml:space="preserve">/</t>
    </r>
    <r>
      <rPr>
        <sz val="9"/>
        <color rgb="FF808080"/>
        <rFont val="Noto Sans CJK SC"/>
        <family val="2"/>
      </rPr>
      <t xml:space="preserve">國際醫療</t>
    </r>
  </si>
  <si>
    <r>
      <rPr>
        <b val="true"/>
        <sz val="11"/>
        <color rgb="FF1F3864"/>
        <rFont val="微軟正黑體"/>
        <family val="0"/>
        <charset val="1"/>
      </rPr>
      <t xml:space="preserve">B. </t>
    </r>
    <r>
      <rPr>
        <b val="true"/>
        <sz val="11"/>
        <color rgb="FF1F3864"/>
        <rFont val="Noto Sans CJK SC"/>
        <family val="2"/>
      </rPr>
      <t xml:space="preserve">導入階段 </t>
    </r>
    <r>
      <rPr>
        <b val="true"/>
        <sz val="11"/>
        <color rgb="FF1F3864"/>
        <rFont val="微軟正黑體"/>
        <family val="0"/>
        <charset val="1"/>
      </rPr>
      <t xml:space="preserve">Stage gates</t>
    </r>
    <r>
      <rPr>
        <b val="true"/>
        <sz val="11"/>
        <color rgb="FF1F3864"/>
        <rFont val="Noto Sans CJK SC"/>
        <family val="2"/>
      </rPr>
      <t xml:space="preserve">（</t>
    </r>
    <r>
      <rPr>
        <b val="true"/>
        <sz val="11"/>
        <color rgb="FF1F3864"/>
        <rFont val="微軟正黑體"/>
        <family val="0"/>
        <charset val="1"/>
      </rPr>
      <t xml:space="preserve">A</t>
    </r>
    <r>
      <rPr>
        <b val="true"/>
        <sz val="11"/>
        <color rgb="FF1F3864"/>
        <rFont val="Noto Sans CJK SC"/>
        <family val="2"/>
      </rPr>
      <t xml:space="preserve">軸；月份為示意）</t>
    </r>
  </si>
  <si>
    <r>
      <rPr>
        <b val="true"/>
        <sz val="10"/>
        <color rgb="FFFFFFFF"/>
        <rFont val="Noto Sans CJK SC"/>
        <family val="2"/>
      </rPr>
      <t xml:space="preserve">過關條件（</t>
    </r>
    <r>
      <rPr>
        <b val="true"/>
        <sz val="10"/>
        <color rgb="FFFFFFFF"/>
        <rFont val="微軟正黑體"/>
        <family val="0"/>
        <charset val="1"/>
      </rPr>
      <t xml:space="preserve">Stage-Gate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</si>
  <si>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示意月份</t>
  </si>
  <si>
    <t xml:space="preserve">授權啟動</t>
  </si>
  <si>
    <t xml:space="preserve">政治支持轉為正式授權、章程與決策權</t>
  </si>
  <si>
    <t xml:space="preserve">M1-2</t>
  </si>
  <si>
    <t xml:space="preserve">評估定義</t>
  </si>
  <si>
    <r>
      <rPr>
        <sz val="9"/>
        <color rgb="FF000000"/>
        <rFont val="Noto Sans CJK SC"/>
        <family val="2"/>
      </rPr>
      <t xml:space="preserve">需求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場址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法規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成本快篩完成，無先天不可行</t>
    </r>
  </si>
  <si>
    <t xml:space="preserve">M2-6</t>
  </si>
  <si>
    <t xml:space="preserve">規劃設計</t>
  </si>
  <si>
    <t xml:space="preserve">服務模式、功能計畫、企業架構與夥伴資格通過</t>
  </si>
  <si>
    <t xml:space="preserve">M6-14</t>
  </si>
  <si>
    <t xml:space="preserve">深化採購</t>
  </si>
  <si>
    <t xml:space="preserve">投資決策、細部設計、許可與採購授標</t>
  </si>
  <si>
    <t xml:space="preserve">M12-20</t>
  </si>
  <si>
    <t xml:space="preserve">建置整合</t>
  </si>
  <si>
    <r>
      <rPr>
        <sz val="9"/>
        <color rgb="FF000000"/>
        <rFont val="Noto Sans CJK SC"/>
        <family val="2"/>
      </rPr>
      <t xml:space="preserve">土建機電、</t>
    </r>
    <r>
      <rPr>
        <sz val="9"/>
        <color rgb="FF000000"/>
        <rFont val="微軟正黑體"/>
        <family val="0"/>
        <charset val="1"/>
      </rPr>
      <t xml:space="preserve">IDC/</t>
    </r>
    <r>
      <rPr>
        <sz val="9"/>
        <color rgb="FF000000"/>
        <rFont val="Noto Sans CJK SC"/>
        <family val="2"/>
      </rPr>
      <t xml:space="preserve">網路、醫材、</t>
    </r>
    <r>
      <rPr>
        <sz val="9"/>
        <color rgb="FF000000"/>
        <rFont val="微軟正黑體"/>
        <family val="0"/>
        <charset val="1"/>
      </rPr>
      <t xml:space="preserve">HIS/EMR</t>
    </r>
    <r>
      <rPr>
        <sz val="9"/>
        <color rgb="FF000000"/>
        <rFont val="Noto Sans CJK SC"/>
        <family val="2"/>
      </rPr>
      <t xml:space="preserve">完成並驗收</t>
    </r>
  </si>
  <si>
    <t xml:space="preserve">M20-42</t>
  </si>
  <si>
    <t xml:space="preserve">驗證開院</t>
  </si>
  <si>
    <t xml:space="preserve">整合測試、開院模擬、臨床安全簽核、分階段開院</t>
  </si>
  <si>
    <t xml:space="preserve">M39-48</t>
  </si>
  <si>
    <t xml:space="preserve">營運複製</t>
  </si>
  <si>
    <t xml:space="preserve">穩定營運、認證、效益驗收與越南版藍圖複製</t>
  </si>
  <si>
    <t xml:space="preserve">M49-60</t>
  </si>
  <si>
    <r>
      <rPr>
        <b val="true"/>
        <sz val="11"/>
        <color rgb="FF1F3864"/>
        <rFont val="微軟正黑體"/>
        <family val="0"/>
        <charset val="1"/>
      </rPr>
      <t xml:space="preserve">C. </t>
    </r>
    <r>
      <rPr>
        <b val="true"/>
        <sz val="11"/>
        <color rgb="FF1F3864"/>
        <rFont val="Noto Sans CJK SC"/>
        <family val="2"/>
      </rPr>
      <t xml:space="preserve">拼圖狀態 </t>
    </r>
    <r>
      <rPr>
        <b val="true"/>
        <sz val="11"/>
        <color rgb="FF1F3864"/>
        <rFont val="微軟正黑體"/>
        <family val="0"/>
        <charset val="1"/>
      </rPr>
      <t xml:space="preserve">Coverage</t>
    </r>
    <r>
      <rPr>
        <b val="true"/>
        <sz val="11"/>
        <color rgb="FF1F3864"/>
        <rFont val="Noto Sans CJK SC"/>
        <family val="2"/>
      </rPr>
      <t xml:space="preserve">（聯盟拼圖）</t>
    </r>
  </si>
  <si>
    <t xml:space="preserve">群晶科技為主責交付者（含與夥伴共同交付）</t>
  </si>
  <si>
    <t xml:space="preserve">已簽約或已正式承諾之夥伴主責</t>
  </si>
  <si>
    <r>
      <rPr>
        <sz val="9"/>
        <color rgb="FF000000"/>
        <rFont val="Noto Sans CJK SC"/>
        <family val="2"/>
      </rPr>
      <t xml:space="preserve">有候選夥伴，資格審查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洽談中</t>
    </r>
  </si>
  <si>
    <r>
      <rPr>
        <b val="true"/>
        <sz val="9"/>
        <color rgb="FF000000"/>
        <rFont val="Noto Sans CJK SC"/>
        <family val="2"/>
      </rPr>
      <t xml:space="preserve">○ 缺口</t>
    </r>
    <r>
      <rPr>
        <b val="true"/>
        <sz val="9"/>
        <color rgb="FF000000"/>
        <rFont val="微軟正黑體"/>
        <family val="0"/>
        <charset val="1"/>
      </rPr>
      <t xml:space="preserve">-</t>
    </r>
    <r>
      <rPr>
        <b val="true"/>
        <sz val="9"/>
        <color rgb="FF000000"/>
        <rFont val="Noto Sans CJK SC"/>
        <family val="2"/>
      </rPr>
      <t xml:space="preserve">待尋找</t>
    </r>
  </si>
  <si>
    <r>
      <rPr>
        <sz val="9"/>
        <color rgb="FF000000"/>
        <rFont val="Noto Sans CJK SC"/>
        <family val="2"/>
      </rPr>
      <t xml:space="preserve">尚無候選＝要對外尋找的產品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資源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技術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夥伴</t>
    </r>
  </si>
  <si>
    <r>
      <rPr>
        <b val="true"/>
        <sz val="11"/>
        <color rgb="FF1F3864"/>
        <rFont val="微軟正黑體"/>
        <family val="0"/>
        <charset val="1"/>
      </rPr>
      <t xml:space="preserve">D. </t>
    </r>
    <r>
      <rPr>
        <b val="true"/>
        <sz val="11"/>
        <color rgb="FF1F3864"/>
        <rFont val="Noto Sans CJK SC"/>
        <family val="2"/>
      </rPr>
      <t xml:space="preserve">商業判斷 </t>
    </r>
    <r>
      <rPr>
        <b val="true"/>
        <sz val="11"/>
        <color rgb="FF1F3864"/>
        <rFont val="微軟正黑體"/>
        <family val="0"/>
        <charset val="1"/>
      </rPr>
      <t xml:space="preserve">Decision</t>
    </r>
    <r>
      <rPr>
        <b val="true"/>
        <sz val="11"/>
        <color rgb="FF1F3864"/>
        <rFont val="Noto Sans CJK SC"/>
        <family val="2"/>
      </rPr>
      <t xml:space="preserve">（</t>
    </r>
    <r>
      <rPr>
        <b val="true"/>
        <sz val="11"/>
        <color rgb="FF1F3864"/>
        <rFont val="微軟正黑體"/>
        <family val="0"/>
        <charset val="1"/>
      </rPr>
      <t xml:space="preserve">03</t>
    </r>
    <r>
      <rPr>
        <b val="true"/>
        <sz val="11"/>
        <color rgb="FF1F3864"/>
        <rFont val="Noto Sans CJK SC"/>
        <family val="2"/>
      </rPr>
      <t xml:space="preserve">自動計算）</t>
    </r>
  </si>
  <si>
    <r>
      <rPr>
        <b val="true"/>
        <sz val="9"/>
        <color rgb="FF000000"/>
        <rFont val="Noto Sans CJK SC"/>
        <family val="2"/>
      </rPr>
      <t xml:space="preserve">立即推進 </t>
    </r>
    <r>
      <rPr>
        <b val="true"/>
        <sz val="9"/>
        <color rgb="FF000000"/>
        <rFont val="微軟正黑體"/>
        <family val="0"/>
        <charset val="1"/>
      </rPr>
      <t xml:space="preserve">Go</t>
    </r>
  </si>
  <si>
    <r>
      <rPr>
        <sz val="9"/>
        <color rgb="FF000000"/>
        <rFont val="Noto Sans CJK SC"/>
        <family val="2"/>
      </rPr>
      <t xml:space="preserve">價值≥</t>
    </r>
    <r>
      <rPr>
        <sz val="9"/>
        <color rgb="FF000000"/>
        <rFont val="微軟正黑體"/>
        <family val="0"/>
        <charset val="1"/>
      </rPr>
      <t xml:space="preserve">3.5 </t>
    </r>
    <r>
      <rPr>
        <sz val="9"/>
        <color rgb="FF000000"/>
        <rFont val="Noto Sans CJK SC"/>
        <family val="2"/>
      </rPr>
      <t xml:space="preserve">且 準備≥</t>
    </r>
    <r>
      <rPr>
        <sz val="9"/>
        <color rgb="FF000000"/>
        <rFont val="微軟正黑體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：組隊提案、進入工作包</t>
    </r>
  </si>
  <si>
    <r>
      <rPr>
        <b val="true"/>
        <sz val="9"/>
        <color rgb="FF000000"/>
        <rFont val="Noto Sans CJK SC"/>
        <family val="2"/>
      </rPr>
      <t xml:space="preserve">先補條件 </t>
    </r>
    <r>
      <rPr>
        <b val="true"/>
        <sz val="9"/>
        <color rgb="FF000000"/>
        <rFont val="微軟正黑體"/>
        <family val="0"/>
        <charset val="1"/>
      </rPr>
      <t xml:space="preserve">Prepare</t>
    </r>
  </si>
  <si>
    <r>
      <rPr>
        <sz val="9"/>
        <color rgb="FF000000"/>
        <rFont val="Noto Sans CJK SC"/>
        <family val="2"/>
      </rPr>
      <t xml:space="preserve">價值高但準備不足：先補法規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夥伴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資金條件</t>
    </r>
  </si>
  <si>
    <r>
      <rPr>
        <b val="true"/>
        <sz val="9"/>
        <color rgb="FF000000"/>
        <rFont val="Noto Sans CJK SC"/>
        <family val="2"/>
      </rPr>
      <t xml:space="preserve">快速小案 </t>
    </r>
    <r>
      <rPr>
        <b val="true"/>
        <sz val="9"/>
        <color rgb="FF000000"/>
        <rFont val="微軟正黑體"/>
        <family val="0"/>
        <charset val="1"/>
      </rPr>
      <t xml:space="preserve">Quick-win</t>
    </r>
  </si>
  <si>
    <t xml:space="preserve">準備度夠、價值中等：以小案建立實績與信任</t>
  </si>
  <si>
    <r>
      <rPr>
        <b val="true"/>
        <sz val="9"/>
        <color rgb="FF000000"/>
        <rFont val="Noto Sans CJK SC"/>
        <family val="2"/>
      </rPr>
      <t xml:space="preserve">儲備觀察 </t>
    </r>
    <r>
      <rPr>
        <b val="true"/>
        <sz val="9"/>
        <color rgb="FF000000"/>
        <rFont val="微軟正黑體"/>
        <family val="0"/>
        <charset val="1"/>
      </rPr>
      <t xml:space="preserve">Backlog</t>
    </r>
  </si>
  <si>
    <t xml:space="preserve">價值與準備皆不足：保留於雷達，不投入資源</t>
  </si>
  <si>
    <r>
      <rPr>
        <b val="true"/>
        <sz val="9"/>
        <color rgb="FF000000"/>
        <rFont val="Noto Sans CJK SC"/>
        <family val="2"/>
      </rPr>
      <t xml:space="preserve">暫緩 </t>
    </r>
    <r>
      <rPr>
        <b val="true"/>
        <sz val="9"/>
        <color rgb="FF000000"/>
        <rFont val="微軟正黑體"/>
        <family val="0"/>
        <charset val="1"/>
      </rPr>
      <t xml:space="preserve">Hold</t>
    </r>
  </si>
  <si>
    <t xml:space="preserve">門檻未通過或風險極高：治理決策前禁止推進</t>
  </si>
  <si>
    <r>
      <rPr>
        <b val="true"/>
        <sz val="11"/>
        <color rgb="FF1F3864"/>
        <rFont val="微軟正黑體"/>
        <family val="0"/>
        <charset val="1"/>
      </rPr>
      <t xml:space="preserve">E. </t>
    </r>
    <r>
      <rPr>
        <b val="true"/>
        <sz val="11"/>
        <color rgb="FF1F3864"/>
        <rFont val="Noto Sans CJK SC"/>
        <family val="2"/>
      </rPr>
      <t xml:space="preserve">成熟度 </t>
    </r>
    <r>
      <rPr>
        <b val="true"/>
        <sz val="11"/>
        <color rgb="FF1F3864"/>
        <rFont val="微軟正黑體"/>
        <family val="0"/>
        <charset val="1"/>
      </rPr>
      <t xml:space="preserve">0-5</t>
    </r>
  </si>
  <si>
    <t xml:space="preserve">不存在</t>
  </si>
  <si>
    <r>
      <rPr>
        <sz val="9"/>
        <color rgb="FF000000"/>
        <rFont val="Noto Sans CJK SC"/>
        <family val="2"/>
      </rPr>
      <t xml:space="preserve">初始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未系統化</t>
    </r>
  </si>
  <si>
    <t xml:space="preserve">部分存在，未制度化</t>
  </si>
  <si>
    <t xml:space="preserve">已定義並試行</t>
  </si>
  <si>
    <t xml:space="preserve">制度化且可量測</t>
  </si>
  <si>
    <t xml:space="preserve">優化中，可對外複製</t>
  </si>
  <si>
    <r>
      <rPr>
        <b val="true"/>
        <sz val="11"/>
        <color rgb="FF1F3864"/>
        <rFont val="微軟正黑體"/>
        <family val="0"/>
        <charset val="1"/>
      </rPr>
      <t xml:space="preserve">F. 03 </t>
    </r>
    <r>
      <rPr>
        <b val="true"/>
        <sz val="11"/>
        <color rgb="FF1F3864"/>
        <rFont val="Noto Sans CJK SC"/>
        <family val="2"/>
      </rPr>
      <t xml:space="preserve">評分錨定量表（</t>
    </r>
    <r>
      <rPr>
        <b val="true"/>
        <sz val="11"/>
        <color rgb="FF1F3864"/>
        <rFont val="微軟正黑體"/>
        <family val="0"/>
        <charset val="1"/>
      </rPr>
      <t xml:space="preserve">N-P </t>
    </r>
    <r>
      <rPr>
        <b val="true"/>
        <sz val="11"/>
        <color rgb="FF1F3864"/>
        <rFont val="Noto Sans CJK SC"/>
        <family val="2"/>
      </rPr>
      <t xml:space="preserve">價值、</t>
    </r>
    <r>
      <rPr>
        <b val="true"/>
        <sz val="11"/>
        <color rgb="FF1F3864"/>
        <rFont val="微軟正黑體"/>
        <family val="0"/>
        <charset val="1"/>
      </rPr>
      <t xml:space="preserve">R-T </t>
    </r>
    <r>
      <rPr>
        <b val="true"/>
        <sz val="11"/>
        <color rgb="FF1F3864"/>
        <rFont val="Noto Sans CJK SC"/>
        <family val="2"/>
      </rPr>
      <t xml:space="preserve">準備；</t>
    </r>
    <r>
      <rPr>
        <b val="true"/>
        <sz val="11"/>
        <color rgb="FF1F3864"/>
        <rFont val="微軟正黑體"/>
        <family val="0"/>
        <charset val="1"/>
      </rPr>
      <t xml:space="preserve">1/3/5 </t>
    </r>
    <r>
      <rPr>
        <b val="true"/>
        <sz val="11"/>
        <color rgb="FF1F3864"/>
        <rFont val="Noto Sans CJK SC"/>
        <family val="2"/>
      </rPr>
      <t xml:space="preserve">分的行為定義，</t>
    </r>
    <r>
      <rPr>
        <b val="true"/>
        <sz val="11"/>
        <color rgb="FF1F3864"/>
        <rFont val="微軟正黑體"/>
        <family val="0"/>
        <charset val="1"/>
      </rPr>
      <t xml:space="preserve">2</t>
    </r>
    <r>
      <rPr>
        <b val="true"/>
        <sz val="11"/>
        <color rgb="FF1F3864"/>
        <rFont val="Noto Sans CJK SC"/>
        <family val="2"/>
      </rPr>
      <t xml:space="preserve">、</t>
    </r>
    <r>
      <rPr>
        <b val="true"/>
        <sz val="11"/>
        <color rgb="FF1F3864"/>
        <rFont val="微軟正黑體"/>
        <family val="0"/>
        <charset val="1"/>
      </rPr>
      <t xml:space="preserve">4 </t>
    </r>
    <r>
      <rPr>
        <b val="true"/>
        <sz val="11"/>
        <color rgb="FF1F3864"/>
        <rFont val="Noto Sans CJK SC"/>
        <family val="2"/>
      </rPr>
      <t xml:space="preserve">為介於其間）</t>
    </r>
  </si>
  <si>
    <t xml:space="preserve">構面</t>
  </si>
  <si>
    <r>
      <rPr>
        <b val="true"/>
        <sz val="10"/>
        <color rgb="FFFFFFFF"/>
        <rFont val="微軟正黑體"/>
        <family val="0"/>
        <charset val="1"/>
      </rPr>
      <t xml:space="preserve">1 </t>
    </r>
    <r>
      <rPr>
        <b val="true"/>
        <sz val="10"/>
        <color rgb="FFFFFFFF"/>
        <rFont val="Noto Sans CJK SC"/>
        <family val="2"/>
      </rPr>
      <t xml:space="preserve">分</t>
    </r>
  </si>
  <si>
    <r>
      <rPr>
        <b val="true"/>
        <sz val="10"/>
        <color rgb="FFFFFFFF"/>
        <rFont val="微軟正黑體"/>
        <family val="0"/>
        <charset val="1"/>
      </rPr>
      <t xml:space="preserve">3 </t>
    </r>
    <r>
      <rPr>
        <b val="true"/>
        <sz val="10"/>
        <color rgb="FFFFFFFF"/>
        <rFont val="Noto Sans CJK SC"/>
        <family val="2"/>
      </rPr>
      <t xml:space="preserve">分</t>
    </r>
  </si>
  <si>
    <r>
      <rPr>
        <b val="true"/>
        <sz val="10"/>
        <color rgb="FFFFFFFF"/>
        <rFont val="微軟正黑體"/>
        <family val="0"/>
        <charset val="1"/>
      </rPr>
      <t xml:space="preserve">5 </t>
    </r>
    <r>
      <rPr>
        <b val="true"/>
        <sz val="10"/>
        <color rgb="FFFFFFFF"/>
        <rFont val="Noto Sans CJK SC"/>
        <family val="2"/>
      </rPr>
      <t xml:space="preserve">分</t>
    </r>
  </si>
  <si>
    <r>
      <rPr>
        <b val="true"/>
        <sz val="9"/>
        <color rgb="FF000000"/>
        <rFont val="Noto Sans CJK SC"/>
        <family val="2"/>
      </rPr>
      <t xml:space="preserve">價</t>
    </r>
    <r>
      <rPr>
        <b val="true"/>
        <sz val="9"/>
        <color rgb="FF000000"/>
        <rFont val="微軟正黑體"/>
        <family val="0"/>
        <charset val="1"/>
      </rPr>
      <t xml:space="preserve">·</t>
    </r>
    <r>
      <rPr>
        <b val="true"/>
        <sz val="9"/>
        <color rgb="FF000000"/>
        <rFont val="Noto Sans CJK SC"/>
        <family val="2"/>
      </rPr>
      <t xml:space="preserve">政府 </t>
    </r>
    <r>
      <rPr>
        <b val="true"/>
        <sz val="9"/>
        <color rgb="FF000000"/>
        <rFont val="微軟正黑體"/>
        <family val="0"/>
        <charset val="1"/>
      </rPr>
      <t xml:space="preserve">N</t>
    </r>
  </si>
  <si>
    <t xml:space="preserve">政府不關注、無政策依據</t>
  </si>
  <si>
    <t xml:space="preserve">政策有提及但非優先項目</t>
  </si>
  <si>
    <t xml:space="preserve">有明確法規強制或政治承諾（如授權文件、國家計畫點名）</t>
  </si>
  <si>
    <r>
      <rPr>
        <b val="true"/>
        <sz val="9"/>
        <color rgb="FF000000"/>
        <rFont val="Noto Sans CJK SC"/>
        <family val="2"/>
      </rPr>
      <t xml:space="preserve">價</t>
    </r>
    <r>
      <rPr>
        <b val="true"/>
        <sz val="9"/>
        <color rgb="FF000000"/>
        <rFont val="微軟正黑體"/>
        <family val="0"/>
        <charset val="1"/>
      </rPr>
      <t xml:space="preserve">·</t>
    </r>
    <r>
      <rPr>
        <b val="true"/>
        <sz val="9"/>
        <color rgb="FF000000"/>
        <rFont val="Noto Sans CJK SC"/>
        <family val="2"/>
      </rPr>
      <t xml:space="preserve">臨床 </t>
    </r>
    <r>
      <rPr>
        <b val="true"/>
        <sz val="9"/>
        <color rgb="FF000000"/>
        <rFont val="微軟正黑體"/>
        <family val="0"/>
        <charset val="1"/>
      </rPr>
      <t xml:space="preserve">O</t>
    </r>
  </si>
  <si>
    <r>
      <rPr>
        <sz val="9"/>
        <color rgb="FF000000"/>
        <rFont val="Noto Sans CJK SC"/>
        <family val="2"/>
      </rPr>
      <t xml:space="preserve">與病人安全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品質無直接關聯</t>
    </r>
  </si>
  <si>
    <t xml:space="preserve">間接支撐臨床（後勤、資訊基礎）</t>
  </si>
  <si>
    <t xml:space="preserve">直接影響診療結果或病人安全（手術、感控、用藥）</t>
  </si>
  <si>
    <r>
      <rPr>
        <b val="true"/>
        <sz val="9"/>
        <color rgb="FF000000"/>
        <rFont val="Noto Sans CJK SC"/>
        <family val="2"/>
      </rPr>
      <t xml:space="preserve">價</t>
    </r>
    <r>
      <rPr>
        <b val="true"/>
        <sz val="9"/>
        <color rgb="FF000000"/>
        <rFont val="微軟正黑體"/>
        <family val="0"/>
        <charset val="1"/>
      </rPr>
      <t xml:space="preserve">·</t>
    </r>
    <r>
      <rPr>
        <b val="true"/>
        <sz val="9"/>
        <color rgb="FF000000"/>
        <rFont val="Noto Sans CJK SC"/>
        <family val="2"/>
      </rPr>
      <t xml:space="preserve">商業 </t>
    </r>
    <r>
      <rPr>
        <b val="true"/>
        <sz val="9"/>
        <color rgb="FF000000"/>
        <rFont val="微軟正黑體"/>
        <family val="0"/>
        <charset val="1"/>
      </rPr>
      <t xml:space="preserve">P</t>
    </r>
  </si>
  <si>
    <r>
      <rPr>
        <sz val="9"/>
        <color rgb="FF000000"/>
        <rFont val="Noto Sans CJK SC"/>
        <family val="2"/>
      </rPr>
      <t xml:space="preserve">無法對應任何商機（</t>
    </r>
    <r>
      <rPr>
        <sz val="9"/>
        <color rgb="FF000000"/>
        <rFont val="微軟正黑體"/>
        <family val="0"/>
        <charset val="1"/>
      </rPr>
      <t xml:space="preserve">16</t>
    </r>
    <r>
      <rPr>
        <sz val="9"/>
        <color rgb="FF000000"/>
        <rFont val="Noto Sans CJK SC"/>
        <family val="2"/>
      </rPr>
      <t xml:space="preserve">矩陣</t>
    </r>
    <r>
      <rPr>
        <sz val="9"/>
        <color rgb="FF000000"/>
        <rFont val="微軟正黑體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個）</t>
    </r>
  </si>
  <si>
    <r>
      <rPr>
        <sz val="9"/>
        <color rgb="FF000000"/>
        <rFont val="Noto Sans CJK SC"/>
        <family val="2"/>
      </rPr>
      <t xml:space="preserve">對應</t>
    </r>
    <r>
      <rPr>
        <sz val="9"/>
        <color rgb="FF000000"/>
        <rFont val="微軟正黑體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個商機、金額有限</t>
    </r>
  </si>
  <si>
    <r>
      <rPr>
        <sz val="9"/>
        <color rgb="FF000000"/>
        <rFont val="Noto Sans CJK SC"/>
        <family val="2"/>
      </rPr>
      <t xml:space="preserve">對應</t>
    </r>
    <r>
      <rPr>
        <sz val="9"/>
        <color rgb="FF000000"/>
        <rFont val="微軟正黑體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個以上商機或單一大額商機的核心</t>
    </r>
  </si>
  <si>
    <r>
      <rPr>
        <b val="true"/>
        <sz val="9"/>
        <color rgb="FF000000"/>
        <rFont val="Noto Sans CJK SC"/>
        <family val="2"/>
      </rPr>
      <t xml:space="preserve">備</t>
    </r>
    <r>
      <rPr>
        <b val="true"/>
        <sz val="9"/>
        <color rgb="FF000000"/>
        <rFont val="微軟正黑體"/>
        <family val="0"/>
        <charset val="1"/>
      </rPr>
      <t xml:space="preserve">·</t>
    </r>
    <r>
      <rPr>
        <b val="true"/>
        <sz val="9"/>
        <color rgb="FF000000"/>
        <rFont val="Noto Sans CJK SC"/>
        <family val="2"/>
      </rPr>
      <t xml:space="preserve">法規 </t>
    </r>
    <r>
      <rPr>
        <b val="true"/>
        <sz val="9"/>
        <color rgb="FF000000"/>
        <rFont val="微軟正黑體"/>
        <family val="0"/>
        <charset val="1"/>
      </rPr>
      <t xml:space="preserve">R</t>
    </r>
  </si>
  <si>
    <t xml:space="preserve">法規路徑不明或明確禁止</t>
  </si>
  <si>
    <r>
      <rPr>
        <sz val="9"/>
        <color rgb="FF000000"/>
        <rFont val="Noto Sans CJK SC"/>
        <family val="2"/>
      </rPr>
      <t xml:space="preserve">法規存在但申請時程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門檻未確認</t>
    </r>
  </si>
  <si>
    <t xml:space="preserve">法規明確且已有他案走通</t>
  </si>
  <si>
    <r>
      <rPr>
        <b val="true"/>
        <sz val="9"/>
        <color rgb="FF000000"/>
        <rFont val="Noto Sans CJK SC"/>
        <family val="2"/>
      </rPr>
      <t xml:space="preserve">備</t>
    </r>
    <r>
      <rPr>
        <b val="true"/>
        <sz val="9"/>
        <color rgb="FF000000"/>
        <rFont val="微軟正黑體"/>
        <family val="0"/>
        <charset val="1"/>
      </rPr>
      <t xml:space="preserve">·</t>
    </r>
    <r>
      <rPr>
        <b val="true"/>
        <sz val="9"/>
        <color rgb="FF000000"/>
        <rFont val="Noto Sans CJK SC"/>
        <family val="2"/>
      </rPr>
      <t xml:space="preserve">夥伴 </t>
    </r>
    <r>
      <rPr>
        <b val="true"/>
        <sz val="9"/>
        <color rgb="FF000000"/>
        <rFont val="微軟正黑體"/>
        <family val="0"/>
        <charset val="1"/>
      </rPr>
      <t xml:space="preserve">S</t>
    </r>
  </si>
  <si>
    <t xml:space="preserve">無候選夥伴、技術未驗證</t>
  </si>
  <si>
    <r>
      <rPr>
        <sz val="9"/>
        <color rgb="FF000000"/>
        <rFont val="Noto Sans CJK SC"/>
        <family val="2"/>
      </rPr>
      <t xml:space="preserve">有候選但實績</t>
    </r>
    <r>
      <rPr>
        <sz val="9"/>
        <color rgb="FF000000"/>
        <rFont val="微軟正黑體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在地能力未查核</t>
    </r>
  </si>
  <si>
    <t xml:space="preserve">夥伴已確認且有同規模實績</t>
  </si>
  <si>
    <r>
      <rPr>
        <b val="true"/>
        <sz val="9"/>
        <color rgb="FF000000"/>
        <rFont val="Noto Sans CJK SC"/>
        <family val="2"/>
      </rPr>
      <t xml:space="preserve">備</t>
    </r>
    <r>
      <rPr>
        <b val="true"/>
        <sz val="9"/>
        <color rgb="FF000000"/>
        <rFont val="微軟正黑體"/>
        <family val="0"/>
        <charset val="1"/>
      </rPr>
      <t xml:space="preserve">·</t>
    </r>
    <r>
      <rPr>
        <b val="true"/>
        <sz val="9"/>
        <color rgb="FF000000"/>
        <rFont val="Noto Sans CJK SC"/>
        <family val="2"/>
      </rPr>
      <t xml:space="preserve">資金 </t>
    </r>
    <r>
      <rPr>
        <b val="true"/>
        <sz val="9"/>
        <color rgb="FF000000"/>
        <rFont val="微軟正黑體"/>
        <family val="0"/>
        <charset val="1"/>
      </rPr>
      <t xml:space="preserve">T</t>
    </r>
  </si>
  <si>
    <t xml:space="preserve">無預算來源、前置決策未定</t>
  </si>
  <si>
    <t xml:space="preserve">預算來源已識別但未承諾</t>
  </si>
  <si>
    <t xml:space="preserve">預算已編列或付費方已承諾</t>
  </si>
  <si>
    <r>
      <rPr>
        <i val="true"/>
        <sz val="8.5"/>
        <color rgb="FF833C00"/>
        <rFont val="微軟正黑體"/>
        <family val="0"/>
        <charset val="1"/>
      </rPr>
      <t xml:space="preserve">★ v1.1 </t>
    </r>
    <r>
      <rPr>
        <i val="true"/>
        <sz val="8.5"/>
        <color rgb="FF833C00"/>
        <rFont val="Noto Sans CJK SC"/>
        <family val="2"/>
      </rPr>
      <t xml:space="preserve">已依本量表校準 </t>
    </r>
    <r>
      <rPr>
        <i val="true"/>
        <sz val="8.5"/>
        <color rgb="FF833C00"/>
        <rFont val="微軟正黑體"/>
        <family val="0"/>
        <charset val="1"/>
      </rPr>
      <t xml:space="preserve">60 </t>
    </r>
    <r>
      <rPr>
        <i val="true"/>
        <sz val="8.5"/>
        <color rgb="FF833C00"/>
        <rFont val="Noto Sans CJK SC"/>
        <family val="2"/>
      </rPr>
      <t xml:space="preserve">項的價值分（商業分依 </t>
    </r>
    <r>
      <rPr>
        <i val="true"/>
        <sz val="8.5"/>
        <color rgb="FF833C00"/>
        <rFont val="微軟正黑體"/>
        <family val="0"/>
        <charset val="1"/>
      </rPr>
      <t xml:space="preserve">16 </t>
    </r>
    <r>
      <rPr>
        <i val="true"/>
        <sz val="8.5"/>
        <color rgb="FF833C00"/>
        <rFont val="Noto Sans CJK SC"/>
        <family val="2"/>
      </rPr>
      <t xml:space="preserve">矩陣商機對應數自動定錨）；</t>
    </r>
    <r>
      <rPr>
        <i val="true"/>
        <sz val="8.5"/>
        <color rgb="FF833C00"/>
        <rFont val="微軟正黑體"/>
        <family val="0"/>
        <charset val="1"/>
      </rPr>
      <t xml:space="preserve">PI </t>
    </r>
    <r>
      <rPr>
        <i val="true"/>
        <sz val="8.5"/>
        <color rgb="FF833C00"/>
        <rFont val="Noto Sans CJK SC"/>
        <family val="2"/>
      </rPr>
      <t xml:space="preserve">覆核時若與量表不符，直接覆寫黃色分數格即可。</t>
    </r>
  </si>
  <si>
    <r>
      <rPr>
        <b val="true"/>
        <sz val="11"/>
        <color rgb="FF1F3864"/>
        <rFont val="微軟正黑體"/>
        <family val="0"/>
        <charset val="1"/>
      </rPr>
      <t xml:space="preserve">G. </t>
    </r>
    <r>
      <rPr>
        <b val="true"/>
        <sz val="11"/>
        <color rgb="FF1F3864"/>
        <rFont val="Noto Sans CJK SC"/>
        <family val="2"/>
      </rPr>
      <t xml:space="preserve">商機成熟階段的進入條件（</t>
    </r>
    <r>
      <rPr>
        <b val="true"/>
        <sz val="11"/>
        <color rgb="FF1F3864"/>
        <rFont val="微軟正黑體"/>
        <family val="0"/>
        <charset val="1"/>
      </rPr>
      <t xml:space="preserve">14 </t>
    </r>
    <r>
      <rPr>
        <b val="true"/>
        <sz val="11"/>
        <color rgb="FF1F3864"/>
        <rFont val="Noto Sans CJK SC"/>
        <family val="2"/>
      </rPr>
      <t xml:space="preserve">商機清單 </t>
    </r>
    <r>
      <rPr>
        <b val="true"/>
        <sz val="11"/>
        <color rgb="FF1F3864"/>
        <rFont val="微軟正黑體"/>
        <family val="0"/>
        <charset val="1"/>
      </rPr>
      <t xml:space="preserve">P </t>
    </r>
    <r>
      <rPr>
        <b val="true"/>
        <sz val="11"/>
        <color rgb="FF1F3864"/>
        <rFont val="Noto Sans CJK SC"/>
        <family val="2"/>
      </rPr>
      <t xml:space="preserve">欄；不符條件不要往下一階段拉）</t>
    </r>
  </si>
  <si>
    <t xml:space="preserve">進入這一階段前必須成立的條件</t>
  </si>
  <si>
    <t xml:space="preserve">佐證放哪</t>
  </si>
  <si>
    <r>
      <rPr>
        <b val="true"/>
        <sz val="9"/>
        <color rgb="FF000000"/>
        <rFont val="微軟正黑體"/>
        <family val="0"/>
        <charset val="1"/>
      </rPr>
      <t xml:space="preserve">Lead / </t>
    </r>
    <r>
      <rPr>
        <b val="true"/>
        <sz val="9"/>
        <color rgb="FF000000"/>
        <rFont val="Noto Sans CJK SC"/>
        <family val="2"/>
      </rPr>
      <t xml:space="preserve">潛在</t>
    </r>
  </si>
  <si>
    <r>
      <rPr>
        <sz val="9"/>
        <color rgb="FF000000"/>
        <rFont val="Noto Sans CJK SC"/>
        <family val="2"/>
      </rPr>
      <t xml:space="preserve">已確認商機真實存在且有潛在付費方（</t>
    </r>
    <r>
      <rPr>
        <sz val="9"/>
        <color rgb="FF000000"/>
        <rFont val="微軟正黑體"/>
        <family val="0"/>
        <charset val="1"/>
      </rPr>
      <t xml:space="preserve">15 </t>
    </r>
    <r>
      <rPr>
        <sz val="9"/>
        <color rgb="FF000000"/>
        <rFont val="Noto Sans CJK SC"/>
        <family val="2"/>
      </rPr>
      <t xml:space="preserve">商機字典有對應列）</t>
    </r>
  </si>
  <si>
    <r>
      <rPr>
        <sz val="9"/>
        <color rgb="FF808080"/>
        <rFont val="微軟正黑體"/>
        <family val="0"/>
        <charset val="1"/>
      </rPr>
      <t xml:space="preserve">15 </t>
    </r>
    <r>
      <rPr>
        <sz val="9"/>
        <color rgb="FF808080"/>
        <rFont val="Noto Sans CJK SC"/>
        <family val="2"/>
      </rPr>
      <t xml:space="preserve">商機字典</t>
    </r>
  </si>
  <si>
    <r>
      <rPr>
        <b val="true"/>
        <sz val="9"/>
        <color rgb="FF000000"/>
        <rFont val="微軟正黑體"/>
        <family val="0"/>
        <charset val="1"/>
      </rPr>
      <t xml:space="preserve">Qualified / </t>
    </r>
    <r>
      <rPr>
        <b val="true"/>
        <sz val="9"/>
        <color rgb="FF000000"/>
        <rFont val="Noto Sans CJK SC"/>
        <family val="2"/>
      </rPr>
      <t xml:space="preserve">已篩選</t>
    </r>
  </si>
  <si>
    <r>
      <rPr>
        <sz val="9"/>
        <color rgb="FF000000"/>
        <rFont val="Noto Sans CJK SC"/>
        <family val="2"/>
      </rPr>
      <t xml:space="preserve">付費方、預算來源、決策者、時程四項已初步確認；</t>
    </r>
    <r>
      <rPr>
        <sz val="9"/>
        <color rgb="FF000000"/>
        <rFont val="微軟正黑體"/>
        <family val="0"/>
        <charset val="1"/>
      </rPr>
      <t xml:space="preserve">16 </t>
    </r>
    <r>
      <rPr>
        <sz val="9"/>
        <color rgb="FF000000"/>
        <rFont val="Noto Sans CJK SC"/>
        <family val="2"/>
      </rPr>
      <t xml:space="preserve">矩陣的能力對應已勾完、缺口有補齊計畫</t>
    </r>
  </si>
  <si>
    <r>
      <rPr>
        <sz val="9"/>
        <color rgb="FF808080"/>
        <rFont val="微軟正黑體"/>
        <family val="0"/>
        <charset val="1"/>
      </rPr>
      <t xml:space="preserve">17 </t>
    </r>
    <r>
      <rPr>
        <sz val="9"/>
        <color rgb="FF808080"/>
        <rFont val="Noto Sans CJK SC"/>
        <family val="2"/>
      </rPr>
      <t xml:space="preserve">作戰卡＋</t>
    </r>
    <r>
      <rPr>
        <sz val="9"/>
        <color rgb="FF808080"/>
        <rFont val="微軟正黑體"/>
        <family val="0"/>
        <charset val="1"/>
      </rPr>
      <t xml:space="preserve">11 </t>
    </r>
    <r>
      <rPr>
        <sz val="9"/>
        <color rgb="FF808080"/>
        <rFont val="Noto Sans CJK SC"/>
        <family val="2"/>
      </rPr>
      <t xml:space="preserve">缺口招募</t>
    </r>
  </si>
  <si>
    <r>
      <rPr>
        <b val="true"/>
        <sz val="9"/>
        <color rgb="FF000000"/>
        <rFont val="微軟正黑體"/>
        <family val="0"/>
        <charset val="1"/>
      </rPr>
      <t xml:space="preserve">Proposal / </t>
    </r>
    <r>
      <rPr>
        <b val="true"/>
        <sz val="9"/>
        <color rgb="FF000000"/>
        <rFont val="Noto Sans CJK SC"/>
        <family val="2"/>
      </rPr>
      <t xml:space="preserve">已提案</t>
    </r>
  </si>
  <si>
    <t xml:space="preserve">已提交書面提案或技術規格書；涉及的強制法規門檻無「未通過」</t>
  </si>
  <si>
    <r>
      <rPr>
        <sz val="9"/>
        <color rgb="FF808080"/>
        <rFont val="微軟正黑體"/>
        <family val="0"/>
        <charset val="1"/>
      </rPr>
      <t xml:space="preserve">14 </t>
    </r>
    <r>
      <rPr>
        <sz val="9"/>
        <color rgb="FF808080"/>
        <rFont val="Noto Sans CJK SC"/>
        <family val="2"/>
      </rPr>
      <t xml:space="preserve">的下一步欄＋</t>
    </r>
    <r>
      <rPr>
        <sz val="9"/>
        <color rgb="FF808080"/>
        <rFont val="微軟正黑體"/>
        <family val="0"/>
        <charset val="1"/>
      </rPr>
      <t xml:space="preserve">05</t>
    </r>
  </si>
  <si>
    <r>
      <rPr>
        <b val="true"/>
        <sz val="9"/>
        <color rgb="FF000000"/>
        <rFont val="微軟正黑體"/>
        <family val="0"/>
        <charset val="1"/>
      </rPr>
      <t xml:space="preserve">Negotiation / </t>
    </r>
    <r>
      <rPr>
        <b val="true"/>
        <sz val="9"/>
        <color rgb="FF000000"/>
        <rFont val="Noto Sans CJK SC"/>
        <family val="2"/>
      </rPr>
      <t xml:space="preserve">議約中</t>
    </r>
  </si>
  <si>
    <t xml:space="preserve">對方已回應提案、商務條款協商中；交易模式與金額級距已收斂為單一方案</t>
  </si>
  <si>
    <r>
      <rPr>
        <sz val="9"/>
        <color rgb="FF808080"/>
        <rFont val="微軟正黑體"/>
        <family val="0"/>
        <charset val="1"/>
      </rPr>
      <t xml:space="preserve">14 </t>
    </r>
    <r>
      <rPr>
        <sz val="9"/>
        <color rgb="FF808080"/>
        <rFont val="Noto Sans CJK SC"/>
        <family val="2"/>
      </rPr>
      <t xml:space="preserve">本案欄位</t>
    </r>
  </si>
  <si>
    <r>
      <rPr>
        <b val="true"/>
        <sz val="9"/>
        <color rgb="FF000000"/>
        <rFont val="微軟正黑體"/>
        <family val="0"/>
        <charset val="1"/>
      </rPr>
      <t xml:space="preserve">Won / </t>
    </r>
    <r>
      <rPr>
        <b val="true"/>
        <sz val="9"/>
        <color rgb="FF000000"/>
        <rFont val="Noto Sans CJK SC"/>
        <family val="2"/>
      </rPr>
      <t xml:space="preserve">已簽約</t>
    </r>
  </si>
  <si>
    <r>
      <rPr>
        <sz val="9"/>
        <color rgb="FF000000"/>
        <rFont val="Noto Sans CJK SC"/>
        <family val="2"/>
      </rPr>
      <t xml:space="preserve">合約簽署；同步到 </t>
    </r>
    <r>
      <rPr>
        <sz val="9"/>
        <color rgb="FF000000"/>
        <rFont val="微軟正黑體"/>
        <family val="0"/>
        <charset val="1"/>
      </rPr>
      <t xml:space="preserve">06 </t>
    </r>
    <r>
      <rPr>
        <sz val="9"/>
        <color rgb="FF000000"/>
        <rFont val="Noto Sans CJK SC"/>
        <family val="2"/>
      </rPr>
      <t xml:space="preserve">行動路線建立工作包、</t>
    </r>
    <r>
      <rPr>
        <sz val="9"/>
        <color rgb="FF000000"/>
        <rFont val="微軟正黑體"/>
        <family val="0"/>
        <charset val="1"/>
      </rPr>
      <t xml:space="preserve">10 </t>
    </r>
    <r>
      <rPr>
        <sz val="9"/>
        <color rgb="FF000000"/>
        <rFont val="Noto Sans CJK SC"/>
        <family val="2"/>
      </rPr>
      <t xml:space="preserve">決策紀錄記錄簽約決策</t>
    </r>
  </si>
  <si>
    <r>
      <rPr>
        <sz val="9"/>
        <color rgb="FF808080"/>
        <rFont val="微軟正黑體"/>
        <family val="0"/>
        <charset val="1"/>
      </rPr>
      <t xml:space="preserve">06</t>
    </r>
    <r>
      <rPr>
        <sz val="9"/>
        <color rgb="FF808080"/>
        <rFont val="Noto Sans CJK SC"/>
        <family val="2"/>
      </rPr>
      <t xml:space="preserve">＋</t>
    </r>
    <r>
      <rPr>
        <sz val="9"/>
        <color rgb="FF808080"/>
        <rFont val="微軟正黑體"/>
        <family val="0"/>
        <charset val="1"/>
      </rPr>
      <t xml:space="preserve">10</t>
    </r>
  </si>
  <si>
    <t xml:space="preserve">Lost / On hold</t>
  </si>
  <si>
    <r>
      <rPr>
        <sz val="9"/>
        <color rgb="FF000000"/>
        <rFont val="Noto Sans CJK SC"/>
        <family val="2"/>
      </rPr>
      <t xml:space="preserve">記錄失敗或暫緩原因於 </t>
    </r>
    <r>
      <rPr>
        <sz val="9"/>
        <color rgb="FF000000"/>
        <rFont val="微軟正黑體"/>
        <family val="0"/>
        <charset val="1"/>
      </rPr>
      <t xml:space="preserve">10 </t>
    </r>
    <r>
      <rPr>
        <sz val="9"/>
        <color rgb="FF000000"/>
        <rFont val="Noto Sans CJK SC"/>
        <family val="2"/>
      </rPr>
      <t xml:space="preserve">決策紀錄（原因是可複用的市場情報，不要只改狀態）</t>
    </r>
  </si>
  <si>
    <r>
      <rPr>
        <sz val="9"/>
        <color rgb="FF808080"/>
        <rFont val="微軟正黑體"/>
        <family val="0"/>
        <charset val="1"/>
      </rPr>
      <t xml:space="preserve">10 </t>
    </r>
    <r>
      <rPr>
        <sz val="9"/>
        <color rgb="FF808080"/>
        <rFont val="Noto Sans CJK SC"/>
        <family val="2"/>
      </rPr>
      <t xml:space="preserve">決策紀錄</t>
    </r>
  </si>
  <si>
    <r>
      <rPr>
        <b val="true"/>
        <sz val="10"/>
        <color rgb="FFC00000"/>
        <rFont val="Noto Sans CJK SC"/>
        <family val="2"/>
      </rPr>
      <t xml:space="preserve">此為隱藏計算頁，請勿手動編輯或刪除。</t>
    </r>
    <r>
      <rPr>
        <b val="true"/>
        <sz val="10"/>
        <color rgb="FFC00000"/>
        <rFont val="微軟正黑體"/>
        <family val="0"/>
        <charset val="1"/>
      </rPr>
      <t xml:space="preserve">01</t>
    </r>
    <r>
      <rPr>
        <b val="true"/>
        <sz val="10"/>
        <color rgb="FFC00000"/>
        <rFont val="Noto Sans CJK SC"/>
        <family val="2"/>
      </rPr>
      <t xml:space="preserve">總藍圖矩陣由本頁公式即時彙整 </t>
    </r>
    <r>
      <rPr>
        <b val="true"/>
        <sz val="10"/>
        <color rgb="FFC00000"/>
        <rFont val="微軟正黑體"/>
        <family val="0"/>
        <charset val="1"/>
      </rPr>
      <t xml:space="preserve">03</t>
    </r>
    <r>
      <rPr>
        <b val="true"/>
        <sz val="10"/>
        <color rgb="FFC00000"/>
        <rFont val="Noto Sans CJK SC"/>
        <family val="2"/>
      </rPr>
      <t xml:space="preserve">能力總表。</t>
    </r>
  </si>
  <si>
    <t xml:space="preserve">D01|G0</t>
  </si>
  <si>
    <t xml:space="preserve">D01|G1</t>
  </si>
  <si>
    <t xml:space="preserve">D01|G2</t>
  </si>
  <si>
    <t xml:space="preserve">D01|G3</t>
  </si>
  <si>
    <t xml:space="preserve">D01|G4</t>
  </si>
  <si>
    <t xml:space="preserve">D01|G5</t>
  </si>
  <si>
    <t xml:space="preserve">D01|G6</t>
  </si>
  <si>
    <t xml:space="preserve">D02|G0</t>
  </si>
  <si>
    <t xml:space="preserve">D02|G1</t>
  </si>
  <si>
    <t xml:space="preserve">D02|G2</t>
  </si>
  <si>
    <t xml:space="preserve">D02|G3</t>
  </si>
  <si>
    <t xml:space="preserve">D02|G4</t>
  </si>
  <si>
    <t xml:space="preserve">D02|G5</t>
  </si>
  <si>
    <t xml:space="preserve">D02|G6</t>
  </si>
  <si>
    <t xml:space="preserve">D03|G0</t>
  </si>
  <si>
    <t xml:space="preserve">D03|G1</t>
  </si>
  <si>
    <t xml:space="preserve">D03|G2</t>
  </si>
  <si>
    <t xml:space="preserve">D03|G3</t>
  </si>
  <si>
    <t xml:space="preserve">D03|G4</t>
  </si>
  <si>
    <t xml:space="preserve">D03|G5</t>
  </si>
  <si>
    <t xml:space="preserve">D03|G6</t>
  </si>
  <si>
    <t xml:space="preserve">D04|G0</t>
  </si>
  <si>
    <t xml:space="preserve">D04|G1</t>
  </si>
  <si>
    <t xml:space="preserve">D04|G2</t>
  </si>
  <si>
    <t xml:space="preserve">D04|G3</t>
  </si>
  <si>
    <t xml:space="preserve">D04|G4</t>
  </si>
  <si>
    <t xml:space="preserve">D04|G5</t>
  </si>
  <si>
    <t xml:space="preserve">D04|G6</t>
  </si>
  <si>
    <t xml:space="preserve">D05|G0</t>
  </si>
  <si>
    <t xml:space="preserve">D05|G1</t>
  </si>
  <si>
    <t xml:space="preserve">D05|G2</t>
  </si>
  <si>
    <t xml:space="preserve">D05|G3</t>
  </si>
  <si>
    <t xml:space="preserve">D05|G4</t>
  </si>
  <si>
    <t xml:space="preserve">D05|G5</t>
  </si>
  <si>
    <t xml:space="preserve">D05|G6</t>
  </si>
  <si>
    <t xml:space="preserve">D06|G0</t>
  </si>
  <si>
    <t xml:space="preserve">D06|G1</t>
  </si>
  <si>
    <t xml:space="preserve">D06|G2</t>
  </si>
  <si>
    <t xml:space="preserve">D06|G3</t>
  </si>
  <si>
    <t xml:space="preserve">D06|G4</t>
  </si>
  <si>
    <t xml:space="preserve">D06|G5</t>
  </si>
  <si>
    <t xml:space="preserve">D06|G6</t>
  </si>
  <si>
    <t xml:space="preserve">D07|G0</t>
  </si>
  <si>
    <t xml:space="preserve">D07|G1</t>
  </si>
  <si>
    <t xml:space="preserve">D07|G2</t>
  </si>
  <si>
    <t xml:space="preserve">D07|G3</t>
  </si>
  <si>
    <t xml:space="preserve">D07|G4</t>
  </si>
  <si>
    <t xml:space="preserve">D07|G5</t>
  </si>
  <si>
    <t xml:space="preserve">D07|G6</t>
  </si>
  <si>
    <t xml:space="preserve">D08|G0</t>
  </si>
  <si>
    <t xml:space="preserve">D08|G1</t>
  </si>
  <si>
    <t xml:space="preserve">D08|G2</t>
  </si>
  <si>
    <t xml:space="preserve">D08|G3</t>
  </si>
  <si>
    <t xml:space="preserve">D08|G4</t>
  </si>
  <si>
    <t xml:space="preserve">D08|G5</t>
  </si>
  <si>
    <t xml:space="preserve">D08|G6</t>
  </si>
  <si>
    <t xml:space="preserve">D09|G0</t>
  </si>
  <si>
    <t xml:space="preserve">D09|G1</t>
  </si>
  <si>
    <t xml:space="preserve">D09|G2</t>
  </si>
  <si>
    <t xml:space="preserve">D09|G3</t>
  </si>
  <si>
    <t xml:space="preserve">D09|G4</t>
  </si>
  <si>
    <t xml:space="preserve">D09|G5</t>
  </si>
  <si>
    <t xml:space="preserve">D09|G6</t>
  </si>
  <si>
    <t xml:space="preserve">D10|G0</t>
  </si>
  <si>
    <t xml:space="preserve">D10|G1</t>
  </si>
  <si>
    <t xml:space="preserve">D10|G2</t>
  </si>
  <si>
    <t xml:space="preserve">D10|G3</t>
  </si>
  <si>
    <t xml:space="preserve">D10|G4</t>
  </si>
  <si>
    <t xml:space="preserve">D10|G5</t>
  </si>
  <si>
    <t xml:space="preserve">D10|G6</t>
  </si>
  <si>
    <t xml:space="preserve">缺口排名</t>
  </si>
  <si>
    <t xml:space="preserve">夥伴視角排名</t>
  </si>
  <si>
    <t xml:space="preserve">未確認強制法規排名</t>
  </si>
  <si>
    <t xml:space="preserve">高風險排名</t>
  </si>
  <si>
    <t xml:space="preserve">商機行動排名</t>
  </si>
  <si>
    <t xml:space="preserve">商機作戰卡排名</t>
  </si>
  <si>
    <r>
      <rPr>
        <sz val="11"/>
        <color theme="1"/>
        <rFont val="Noto Sans CJK SC"/>
        <family val="2"/>
      </rPr>
      <t xml:space="preserve">標籤 </t>
    </r>
    <r>
      <rPr>
        <sz val="11"/>
        <color theme="1"/>
        <rFont val="Calibri"/>
        <family val="2"/>
        <charset val="1"/>
      </rPr>
      <t xml:space="preserve">Label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</si>
</sst>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"/>
    <numFmt numFmtId="167" formatCode="0.0"/>
    <numFmt numFmtId="168" formatCode="yyyy\-mm\-dd"/>
    <numFmt numFmtId="169" formatCode="0%"/>
    <numFmt numFmtId="170" formatCode="#,##0"/>
  </numFmts>
  <fonts count="18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微軟正黑體"/>
      <family val="0"/>
      <charset val="1"/>
    </font>
    <font>
      <b val="true"/>
      <sz val="15"/>
      <color rgb="FFFFFFFF"/>
      <name val="Noto Sans CJK SC"/>
      <family val="2"/>
    </font>
    <font>
      <sz val="11"/>
      <color theme="1"/>
      <name val="Noto Sans CJK SC"/>
      <family val="2"/>
    </font>
    <font>
      <i val="true"/>
      <sz val="9.5"/>
      <color rgb="FF404040"/>
      <name val="Noto Sans CJK SC"/>
      <family val="2"/>
    </font>
    <font>
      <i val="true"/>
      <sz val="9.5"/>
      <color rgb="FF404040"/>
      <name val="微軟正黑體"/>
      <family val="0"/>
      <charset val="1"/>
    </font>
    <font>
      <b val="true"/>
      <sz val="9"/>
      <color rgb="FF2F5597"/>
      <name val="微軟正黑體"/>
      <family val="0"/>
      <charset val="1"/>
    </font>
    <font>
      <b val="true"/>
      <sz val="11"/>
      <color rgb="FF1F3864"/>
      <name val="Noto Sans CJK SC"/>
      <family val="2"/>
    </font>
    <font>
      <b val="true"/>
      <sz val="11"/>
      <color rgb="FF833C00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1"/>
      <color rgb="FF548235"/>
      <name val="Noto Sans CJK SC"/>
      <family val="2"/>
    </font>
    <font>
      <b val="true"/>
      <sz val="11"/>
      <color rgb="FF548235"/>
      <name val="微軟正黑體"/>
      <family val="0"/>
      <charset val="1"/>
    </font>
    <font>
      <b val="true"/>
      <sz val="10"/>
      <color rgb="FF2F5597"/>
      <name val="微軟正黑體"/>
      <family val="0"/>
      <charset val="1"/>
    </font>
    <font>
      <sz val="10"/>
      <color rgb="FF000000"/>
      <name val="Noto Sans CJK SC"/>
      <family val="2"/>
    </font>
    <font>
      <b val="true"/>
      <sz val="12"/>
      <color rgb="FF1F3864"/>
      <name val="Noto Sans CJK SC"/>
      <family val="2"/>
    </font>
    <font>
      <b val="true"/>
      <sz val="10"/>
      <color rgb="FF2E747A"/>
      <name val="Noto Sans CJK SC"/>
      <family val="2"/>
    </font>
    <font>
      <sz val="10"/>
      <color rgb="FF000000"/>
      <name val="微軟正黑體"/>
      <family val="0"/>
      <charset val="1"/>
    </font>
    <font>
      <sz val="10"/>
      <color rgb="FF2F5597"/>
      <name val="Noto Sans CJK SC"/>
      <family val="2"/>
    </font>
    <font>
      <sz val="10"/>
      <color rgb="FF2F5597"/>
      <name val="微軟正黑體"/>
      <family val="0"/>
      <charset val="1"/>
    </font>
    <font>
      <b val="true"/>
      <sz val="10"/>
      <color rgb="FFFFFFFF"/>
      <name val="微軟正黑體"/>
      <family val="0"/>
      <charset val="1"/>
    </font>
    <font>
      <b val="true"/>
      <sz val="10"/>
      <color rgb="FF833C00"/>
      <name val="Noto Sans CJK SC"/>
      <family val="2"/>
    </font>
    <font>
      <b val="true"/>
      <sz val="10"/>
      <color rgb="FF833C00"/>
      <name val="微軟正黑體"/>
      <family val="0"/>
      <charset val="1"/>
    </font>
    <font>
      <sz val="8"/>
      <color rgb="FF808080"/>
      <name val="Noto Sans CJK SC"/>
      <family val="2"/>
    </font>
    <font>
      <b val="true"/>
      <sz val="10"/>
      <color rgb="FF1F3864"/>
      <name val="Noto Sans CJK SC"/>
      <family val="2"/>
    </font>
    <font>
      <b val="true"/>
      <sz val="10"/>
      <color rgb="FF548235"/>
      <name val="Noto Sans CJK SC"/>
      <family val="2"/>
    </font>
    <font>
      <b val="true"/>
      <sz val="10"/>
      <color rgb="FF548235"/>
      <name val="微軟正黑體"/>
      <family val="0"/>
      <charset val="1"/>
    </font>
    <font>
      <sz val="8"/>
      <color rgb="FF000000"/>
      <name val="Noto Sans CJK SC"/>
      <family val="2"/>
    </font>
    <font>
      <sz val="8"/>
      <color rgb="FF000000"/>
      <name val="微軟正黑體"/>
      <family val="0"/>
      <charset val="1"/>
    </font>
    <font>
      <b val="true"/>
      <sz val="22"/>
      <color rgb="FF1F3864"/>
      <name val="微軟正黑體"/>
      <family val="0"/>
      <charset val="1"/>
    </font>
    <font>
      <b val="true"/>
      <sz val="22"/>
      <color rgb="FFC00000"/>
      <name val="微軟正黑體"/>
      <family val="0"/>
      <charset val="1"/>
    </font>
    <font>
      <b val="true"/>
      <sz val="22"/>
      <color rgb="FF548235"/>
      <name val="微軟正黑體"/>
      <family val="0"/>
      <charset val="1"/>
    </font>
    <font>
      <b val="true"/>
      <sz val="10"/>
      <color rgb="FF7030A0"/>
      <name val="Noto Sans CJK SC"/>
      <family val="2"/>
    </font>
    <font>
      <b val="true"/>
      <sz val="10"/>
      <color rgb="FFBF8F00"/>
      <name val="Noto Sans CJK SC"/>
      <family val="2"/>
    </font>
    <font>
      <b val="true"/>
      <sz val="22"/>
      <color rgb="FF7030A0"/>
      <name val="微軟正黑體"/>
      <family val="0"/>
      <charset val="1"/>
    </font>
    <font>
      <b val="true"/>
      <sz val="22"/>
      <color rgb="FFBF8F00"/>
      <name val="微軟正黑體"/>
      <family val="0"/>
      <charset val="1"/>
    </font>
    <font>
      <b val="true"/>
      <sz val="11"/>
      <color rgb="FF1F3864"/>
      <name val="微軟正黑體"/>
      <family val="0"/>
      <charset val="1"/>
    </font>
    <font>
      <b val="true"/>
      <sz val="10"/>
      <color rgb="FF1F3864"/>
      <name val="微軟正黑體"/>
      <family val="0"/>
      <charset val="1"/>
    </font>
    <font>
      <b val="true"/>
      <sz val="9.5"/>
      <color rgb="FF203864"/>
      <name val="微軟正黑體"/>
      <family val="0"/>
      <charset val="1"/>
    </font>
    <font>
      <i val="true"/>
      <sz val="9"/>
      <color rgb="FF606770"/>
      <name val="Noto Sans CJK SC"/>
      <family val="2"/>
    </font>
    <font>
      <i val="true"/>
      <sz val="9"/>
      <color rgb="FF606770"/>
      <name val="微軟正黑體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8.5"/>
      <color rgb="FFC00000"/>
      <name val="Noto Sans CJK SC"/>
      <family val="2"/>
    </font>
    <font>
      <b val="true"/>
      <sz val="8.5"/>
      <color rgb="FFC00000"/>
      <name val="微軟正黑體"/>
      <family val="0"/>
      <charset val="1"/>
    </font>
    <font>
      <b val="true"/>
      <sz val="10"/>
      <color rgb="FFFFFFFF"/>
      <name val="Microsoft JhengHei"/>
      <family val="0"/>
      <charset val="1"/>
    </font>
    <font>
      <b val="true"/>
      <sz val="9"/>
      <color rgb="FF548235"/>
      <name val="微軟正黑體"/>
      <family val="0"/>
      <charset val="1"/>
    </font>
    <font>
      <b val="true"/>
      <sz val="9.5"/>
      <color rgb="FF203864"/>
      <name val="Noto Sans CJK SC"/>
      <family val="2"/>
    </font>
    <font>
      <sz val="9"/>
      <color rgb="FF000000"/>
      <name val="微軟正黑體"/>
      <family val="0"/>
      <charset val="1"/>
    </font>
    <font>
      <sz val="9"/>
      <color rgb="FF000000"/>
      <name val="Noto Sans CJK SC"/>
      <family val="2"/>
    </font>
    <font>
      <b val="true"/>
      <sz val="9"/>
      <color rgb="FFC00000"/>
      <name val="微軟正黑體"/>
      <family val="0"/>
      <charset val="1"/>
    </font>
    <font>
      <b val="true"/>
      <sz val="8.5"/>
      <color rgb="FF833C00"/>
      <name val="Noto Sans CJK SC"/>
      <family val="2"/>
    </font>
    <font>
      <b val="true"/>
      <sz val="10"/>
      <color rgb="FFC00000"/>
      <name val="微軟正黑體"/>
      <family val="0"/>
      <charset val="1"/>
    </font>
    <font>
      <b val="true"/>
      <sz val="9"/>
      <color rgb="FFFFFFFF"/>
      <name val="Microsoft JhengHei"/>
      <family val="0"/>
      <charset val="1"/>
    </font>
    <font>
      <b val="true"/>
      <sz val="9"/>
      <color rgb="FFFFFFFF"/>
      <name val="Noto Sans CJK SC"/>
      <family val="2"/>
    </font>
    <font>
      <sz val="9"/>
      <name val="Noto Sans CJK SC"/>
      <family val="2"/>
    </font>
    <font>
      <sz val="9"/>
      <name val="Microsoft JhengHei"/>
      <family val="0"/>
      <charset val="1"/>
    </font>
    <font>
      <b val="true"/>
      <sz val="10"/>
      <color rgb="FF0E6E6B"/>
      <name val="Microsoft JhengHei"/>
      <family val="0"/>
      <charset val="1"/>
    </font>
    <font>
      <b val="true"/>
      <sz val="10"/>
      <color rgb="FF6B7280"/>
      <name val="Microsoft JhengHei"/>
      <family val="0"/>
      <charset val="1"/>
    </font>
    <font>
      <sz val="9"/>
      <color rgb="FF808080"/>
      <name val="Noto Sans CJK SC"/>
      <family val="2"/>
    </font>
    <font>
      <b val="true"/>
      <sz val="10"/>
      <color rgb="FFC0392B"/>
      <name val="Microsoft JhengHei"/>
      <family val="0"/>
      <charset val="1"/>
    </font>
    <font>
      <sz val="9"/>
      <color rgb="FF404050"/>
      <name val="Noto Sans CJK SC"/>
      <family val="2"/>
    </font>
    <font>
      <sz val="9"/>
      <color rgb="FF404050"/>
      <name val="微軟正黑體"/>
      <family val="0"/>
      <charset val="1"/>
    </font>
    <font>
      <b val="true"/>
      <sz val="12"/>
      <color rgb="FF7F6000"/>
      <name val="微軟正黑體"/>
      <family val="0"/>
      <charset val="1"/>
    </font>
    <font>
      <b val="true"/>
      <sz val="12"/>
      <color rgb="FF7F6000"/>
      <name val="Noto Sans CJK SC"/>
      <family val="2"/>
    </font>
    <font>
      <b val="true"/>
      <sz val="9"/>
      <color rgb="FF808080"/>
      <name val="Noto Sans CJK SC"/>
      <family val="2"/>
    </font>
    <font>
      <b val="true"/>
      <sz val="9"/>
      <color rgb="FF808080"/>
      <name val="微軟正黑體"/>
      <family val="0"/>
      <charset val="1"/>
    </font>
    <font>
      <b val="true"/>
      <sz val="14"/>
      <color rgb="FF1F3864"/>
      <name val="微軟正黑體"/>
      <family val="0"/>
      <charset val="1"/>
    </font>
    <font>
      <b val="true"/>
      <sz val="14"/>
      <color rgb="FFC00000"/>
      <name val="微軟正黑體"/>
      <family val="0"/>
      <charset val="1"/>
    </font>
    <font>
      <b val="true"/>
      <sz val="14"/>
      <color rgb="FF2F5597"/>
      <name val="微軟正黑體"/>
      <family val="0"/>
      <charset val="1"/>
    </font>
    <font>
      <b val="true"/>
      <sz val="14"/>
      <color rgb="FF548235"/>
      <name val="微軟正黑體"/>
      <family val="0"/>
      <charset val="1"/>
    </font>
    <font>
      <b val="true"/>
      <sz val="10"/>
      <color rgb="FF7F6000"/>
      <name val="微軟正黑體"/>
      <family val="0"/>
      <charset val="1"/>
    </font>
    <font>
      <b val="true"/>
      <sz val="9"/>
      <color rgb="FF833C00"/>
      <name val="Noto Sans CJK SC"/>
      <family val="2"/>
    </font>
    <font>
      <sz val="9.5"/>
      <color rgb="FF404050"/>
      <name val="Noto Sans CJK SC"/>
      <family val="2"/>
    </font>
    <font>
      <b val="true"/>
      <sz val="9"/>
      <color rgb="FF1F3864"/>
      <name val="微軟正黑體"/>
      <family val="0"/>
      <charset val="1"/>
    </font>
    <font>
      <b val="true"/>
      <sz val="14"/>
      <color rgb="FF7F6000"/>
      <name val="微軟正黑體"/>
      <family val="0"/>
      <charset val="1"/>
    </font>
    <font>
      <b val="true"/>
      <sz val="14"/>
      <color rgb="FF7F6000"/>
      <name val="Noto Sans CJK SC"/>
      <family val="2"/>
    </font>
    <font>
      <b val="true"/>
      <sz val="20"/>
      <color rgb="FF1F3864"/>
      <name val="微軟正黑體"/>
      <family val="0"/>
      <charset val="1"/>
    </font>
    <font>
      <b val="true"/>
      <sz val="20"/>
      <color rgb="FFC00000"/>
      <name val="微軟正黑體"/>
      <family val="0"/>
      <charset val="1"/>
    </font>
    <font>
      <b val="true"/>
      <sz val="20"/>
      <color rgb="FF548235"/>
      <name val="微軟正黑體"/>
      <family val="0"/>
      <charset val="1"/>
    </font>
    <font>
      <b val="true"/>
      <sz val="9.5"/>
      <color rgb="FFC00000"/>
      <name val="微軟正黑體"/>
      <family val="0"/>
      <charset val="1"/>
    </font>
    <font>
      <b val="true"/>
      <sz val="8.5"/>
      <color rgb="FF2F5597"/>
      <name val="微軟正黑體"/>
      <family val="0"/>
      <charset val="1"/>
    </font>
    <font>
      <b val="true"/>
      <sz val="9.5"/>
      <color rgb="FF808080"/>
      <name val="Noto Sans CJK SC"/>
      <family val="2"/>
    </font>
    <font>
      <sz val="9.5"/>
      <color rgb="FF404050"/>
      <name val="微軟正黑體"/>
      <family val="0"/>
      <charset val="1"/>
    </font>
    <font>
      <b val="true"/>
      <sz val="11"/>
      <color rgb="FF833C00"/>
      <name val="微軟正黑體"/>
      <family val="0"/>
      <charset val="1"/>
    </font>
    <font>
      <sz val="10.5"/>
      <color rgb="FF000000"/>
      <name val="Noto Sans CJK SC"/>
      <family val="2"/>
    </font>
    <font>
      <b val="true"/>
      <sz val="10.5"/>
      <color rgb="FF000000"/>
      <name val="Noto Sans CJK SC"/>
      <family val="2"/>
    </font>
    <font>
      <b val="true"/>
      <sz val="16"/>
      <color rgb="FF1F3864"/>
      <name val="Microsoft JhengHei"/>
      <family val="0"/>
      <charset val="1"/>
    </font>
    <font>
      <b val="true"/>
      <sz val="16"/>
      <color rgb="FF1F3864"/>
      <name val="Noto Sans CJK SC"/>
      <family val="2"/>
    </font>
    <font>
      <sz val="10"/>
      <color rgb="FF6B7280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9"/>
      <color rgb="FF4A525E"/>
      <name val="Noto Sans CJK SC"/>
      <family val="2"/>
    </font>
    <font>
      <b val="true"/>
      <sz val="11"/>
      <color rgb="FF2E747A"/>
      <name val="Noto Sans CJK SC"/>
      <family val="2"/>
    </font>
    <font>
      <b val="true"/>
      <sz val="11"/>
      <color rgb="FF2F5597"/>
      <name val="Noto Sans CJK SC"/>
      <family val="2"/>
    </font>
    <font>
      <sz val="9"/>
      <color rgb="FF4A525E"/>
      <name val="Microsoft JhengHei"/>
      <family val="0"/>
      <charset val="1"/>
    </font>
    <font>
      <b val="true"/>
      <sz val="11"/>
      <color rgb="FF0E6E6B"/>
      <name val="Noto Sans CJK SC"/>
      <family val="2"/>
    </font>
    <font>
      <b val="true"/>
      <sz val="11"/>
      <color rgb="FF808080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9"/>
      <color rgb="FF6B7280"/>
      <name val="Noto Sans CJK SC"/>
      <family val="2"/>
    </font>
    <font>
      <b val="true"/>
      <u val="single"/>
      <sz val="10"/>
      <color rgb="FF1F5FA8"/>
      <name val="Microsoft JhengHei"/>
      <family val="0"/>
      <charset val="1"/>
    </font>
    <font>
      <sz val="9"/>
      <color rgb="FF9AA3B2"/>
      <name val="Noto Sans CJK SC"/>
      <family val="2"/>
    </font>
    <font>
      <b val="true"/>
      <u val="single"/>
      <sz val="10"/>
      <color rgb="FF1F5FA8"/>
      <name val="Noto Sans CJK SC"/>
      <family val="2"/>
    </font>
    <font>
      <b val="true"/>
      <sz val="9"/>
      <color rgb="FFB45309"/>
      <name val="Noto Sans CJK SC"/>
      <family val="2"/>
    </font>
    <font>
      <sz val="10"/>
      <name val="Microsoft JhengHei"/>
      <family val="0"/>
      <charset val="1"/>
    </font>
    <font>
      <b val="true"/>
      <sz val="10"/>
      <color rgb="FF6B4E00"/>
      <name val="Noto Sans CJK SC"/>
      <family val="2"/>
    </font>
    <font>
      <b val="true"/>
      <sz val="10"/>
      <color rgb="FF6B4E00"/>
      <name val="Microsoft JhengHei"/>
      <family val="0"/>
      <charset val="1"/>
    </font>
    <font>
      <b val="true"/>
      <sz val="9.5"/>
      <color rgb="FFFFFFFF"/>
      <name val="微軟正黑體"/>
      <family val="0"/>
      <charset val="1"/>
    </font>
    <font>
      <b val="true"/>
      <sz val="9.5"/>
      <color rgb="FFFFFFFF"/>
      <name val="Noto Sans CJK SC"/>
      <family val="2"/>
    </font>
    <font>
      <b val="true"/>
      <sz val="9.5"/>
      <color rgb="FF1F3864"/>
      <name val="Noto Sans CJK SC"/>
      <family val="2"/>
    </font>
    <font>
      <b val="true"/>
      <sz val="9.5"/>
      <color rgb="FF1F3864"/>
      <name val="微軟正黑體"/>
      <family val="0"/>
      <charset val="1"/>
    </font>
    <font>
      <sz val="9.5"/>
      <color rgb="FF404040"/>
      <name val="Noto Sans CJK SC"/>
      <family val="2"/>
    </font>
    <font>
      <b val="true"/>
      <sz val="9.5"/>
      <color rgb="FFBF8F00"/>
      <name val="Noto Sans CJK SC"/>
      <family val="2"/>
    </font>
    <font>
      <b val="true"/>
      <sz val="9.5"/>
      <color rgb="FFBF8F00"/>
      <name val="微軟正黑體"/>
      <family val="0"/>
      <charset val="1"/>
    </font>
    <font>
      <b val="true"/>
      <sz val="11"/>
      <color rgb="FF808080"/>
      <name val="微軟正黑體"/>
      <family val="0"/>
      <charset val="1"/>
    </font>
    <font>
      <b val="true"/>
      <sz val="10.5"/>
      <color rgb="FFFFFFFF"/>
      <name val="微軟正黑體"/>
      <family val="0"/>
      <charset val="1"/>
    </font>
    <font>
      <b val="true"/>
      <sz val="10.5"/>
      <color rgb="FFFFFFFF"/>
      <name val="Noto Sans CJK SC"/>
      <family val="2"/>
    </font>
    <font>
      <b val="true"/>
      <sz val="9"/>
      <color rgb="FF1F3864"/>
      <name val="Noto Sans CJK SC"/>
      <family val="2"/>
    </font>
    <font>
      <sz val="9"/>
      <color rgb="FF808080"/>
      <name val="微軟正黑體"/>
      <family val="0"/>
      <charset val="1"/>
    </font>
    <font>
      <b val="true"/>
      <sz val="9"/>
      <color rgb="FF000000"/>
      <name val="Noto Sans CJK SC"/>
      <family val="2"/>
    </font>
    <font>
      <b val="true"/>
      <sz val="9"/>
      <color rgb="FF000000"/>
      <name val="微軟正黑體"/>
      <family val="0"/>
      <charset val="1"/>
    </font>
    <font>
      <b val="true"/>
      <sz val="12"/>
      <color rgb="FF1F3864"/>
      <name val="微軟正黑體"/>
      <family val="0"/>
      <charset val="1"/>
    </font>
    <font>
      <b val="true"/>
      <sz val="11"/>
      <color rgb="FFBF8F00"/>
      <name val="微軟正黑體"/>
      <family val="0"/>
      <charset val="1"/>
    </font>
    <font>
      <b val="true"/>
      <sz val="9.5"/>
      <color rgb="FF000000"/>
      <name val="Noto Sans CJK SC"/>
      <family val="2"/>
    </font>
    <font>
      <b val="true"/>
      <sz val="9.5"/>
      <color rgb="FF000000"/>
      <name val="微軟正黑體"/>
      <family val="0"/>
      <charset val="1"/>
    </font>
    <font>
      <sz val="9"/>
      <color rgb="FF404040"/>
      <name val="Noto Sans CJK SC"/>
      <family val="2"/>
    </font>
    <font>
      <sz val="9"/>
      <color rgb="FF404040"/>
      <name val="微軟正黑體"/>
      <family val="0"/>
      <charset val="1"/>
    </font>
    <font>
      <b val="true"/>
      <sz val="9"/>
      <color rgb="FF2F5597"/>
      <name val="Noto Sans CJK SC"/>
      <family val="2"/>
    </font>
    <font>
      <b val="true"/>
      <sz val="9"/>
      <color rgb="FF375623"/>
      <name val="Noto Sans CJK SC"/>
      <family val="2"/>
    </font>
    <font>
      <b val="true"/>
      <sz val="9"/>
      <color rgb="FF375623"/>
      <name val="微軟正黑體"/>
      <family val="0"/>
      <charset val="1"/>
    </font>
    <font>
      <b val="true"/>
      <sz val="9"/>
      <color rgb="FF7F6000"/>
      <name val="Noto Sans CJK SC"/>
      <family val="2"/>
    </font>
    <font>
      <b val="true"/>
      <sz val="9"/>
      <color rgb="FF7F6000"/>
      <name val="微軟正黑體"/>
      <family val="0"/>
      <charset val="1"/>
    </font>
    <font>
      <b val="true"/>
      <sz val="9"/>
      <color rgb="FFC00000"/>
      <name val="Noto Sans CJK SC"/>
      <family val="2"/>
    </font>
    <font>
      <b val="true"/>
      <sz val="18"/>
      <color rgb="FF1F3864"/>
      <name val="微軟正黑體"/>
      <family val="0"/>
      <charset val="1"/>
    </font>
    <font>
      <b val="true"/>
      <sz val="18"/>
      <color rgb="FF375623"/>
      <name val="微軟正黑體"/>
      <family val="0"/>
      <charset val="1"/>
    </font>
    <font>
      <b val="true"/>
      <sz val="18"/>
      <color rgb="FF7F6000"/>
      <name val="微軟正黑體"/>
      <family val="0"/>
      <charset val="1"/>
    </font>
    <font>
      <b val="true"/>
      <sz val="18"/>
      <color rgb="FFC00000"/>
      <name val="微軟正黑體"/>
      <family val="0"/>
      <charset val="1"/>
    </font>
    <font>
      <sz val="8"/>
      <color rgb="FFC00000"/>
      <name val="Noto Sans CJK SC"/>
      <family val="2"/>
    </font>
    <font>
      <b val="true"/>
      <sz val="9"/>
      <color rgb="FF404040"/>
      <name val="Noto Sans CJK SC"/>
      <family val="2"/>
    </font>
    <font>
      <b val="true"/>
      <sz val="9"/>
      <color rgb="FF404040"/>
      <name val="微軟正黑體"/>
      <family val="0"/>
      <charset val="1"/>
    </font>
    <font>
      <sz val="8.5"/>
      <color rgb="FF202020"/>
      <name val="微軟正黑體"/>
      <family val="0"/>
      <charset val="1"/>
    </font>
    <font>
      <b val="true"/>
      <sz val="11"/>
      <color rgb="FFC00000"/>
      <name val="微軟正黑體"/>
      <family val="0"/>
      <charset val="1"/>
    </font>
    <font>
      <b val="true"/>
      <sz val="7.5"/>
      <color rgb="FF404040"/>
      <name val="Noto Sans CJK SC"/>
      <family val="2"/>
    </font>
    <font>
      <b val="true"/>
      <sz val="7"/>
      <color rgb="FFFFFFFF"/>
      <name val="微軟正黑體"/>
      <family val="0"/>
      <charset val="1"/>
    </font>
    <font>
      <b val="true"/>
      <sz val="9"/>
      <color rgb="FFFFFFFF"/>
      <name val="微軟正黑體"/>
      <family val="0"/>
      <charset val="1"/>
    </font>
    <font>
      <b val="true"/>
      <sz val="8"/>
      <color rgb="FF1F3864"/>
      <name val="微軟正黑體"/>
      <family val="0"/>
      <charset val="1"/>
    </font>
    <font>
      <b val="true"/>
      <sz val="8"/>
      <color rgb="FFC00000"/>
      <name val="微軟正黑體"/>
      <family val="0"/>
      <charset val="1"/>
    </font>
    <font>
      <b val="true"/>
      <sz val="6.5"/>
      <color rgb="FF1F3864"/>
      <name val="微軟正黑體"/>
      <family val="0"/>
      <charset val="1"/>
    </font>
    <font>
      <sz val="9.5"/>
      <color rgb="FF000000"/>
      <name val="微軟正黑體"/>
      <family val="0"/>
      <charset val="1"/>
    </font>
    <font>
      <sz val="9.5"/>
      <color rgb="FF000000"/>
      <name val="Noto Sans CJK SC"/>
      <family val="2"/>
    </font>
    <font>
      <b val="true"/>
      <sz val="9.5"/>
      <color rgb="FF2F5597"/>
      <name val="微軟正黑體"/>
      <family val="0"/>
      <charset val="1"/>
    </font>
    <font>
      <b val="true"/>
      <sz val="7"/>
      <color rgb="FF2F5597"/>
      <name val="微軟正黑體"/>
      <family val="0"/>
      <charset val="1"/>
    </font>
    <font>
      <b val="true"/>
      <sz val="10"/>
      <color rgb="FF375623"/>
      <name val="微軟正黑體"/>
      <family val="0"/>
      <charset val="1"/>
    </font>
    <font>
      <b val="true"/>
      <sz val="8"/>
      <color rgb="FFFFFFFF"/>
      <name val="微軟正黑體"/>
      <family val="0"/>
      <charset val="1"/>
    </font>
    <font>
      <b val="true"/>
      <sz val="9"/>
      <color rgb="FF833C00"/>
      <name val="微軟正黑體"/>
      <family val="0"/>
      <charset val="1"/>
    </font>
    <font>
      <sz val="8"/>
      <color rgb="FF808080"/>
      <name val="微軟正黑體"/>
      <family val="0"/>
      <charset val="1"/>
    </font>
    <font>
      <b val="true"/>
      <sz val="9.5"/>
      <color rgb="FF7F6000"/>
      <name val="微軟正黑體"/>
      <family val="0"/>
      <charset val="1"/>
    </font>
    <font>
      <b val="true"/>
      <sz val="9.5"/>
      <color rgb="FF548235"/>
      <name val="微軟正黑體"/>
      <family val="0"/>
      <charset val="1"/>
    </font>
    <font>
      <i val="true"/>
      <sz val="8.5"/>
      <color rgb="FFC00000"/>
      <name val="Noto Sans CJK SC"/>
      <family val="2"/>
    </font>
    <font>
      <b val="true"/>
      <sz val="11"/>
      <color rgb="FF7030A0"/>
      <name val="Noto Sans CJK SC"/>
      <family val="2"/>
    </font>
    <font>
      <b val="true"/>
      <sz val="11"/>
      <color rgb="FF7030A0"/>
      <name val="微軟正黑體"/>
      <family val="0"/>
      <charset val="1"/>
    </font>
    <font>
      <b val="true"/>
      <sz val="9"/>
      <color rgb="FF7030A0"/>
      <name val="微軟正黑體"/>
      <family val="0"/>
      <charset val="1"/>
    </font>
    <font>
      <b val="true"/>
      <sz val="11"/>
      <color rgb="FF2F5597"/>
      <name val="微軟正黑體"/>
      <family val="0"/>
      <charset val="1"/>
    </font>
    <font>
      <sz val="8.5"/>
      <color rgb="FF404050"/>
      <name val="Noto Sans CJK SC"/>
      <family val="2"/>
    </font>
    <font>
      <sz val="8.5"/>
      <color rgb="FF404050"/>
      <name val="微軟正黑體"/>
      <family val="0"/>
      <charset val="1"/>
    </font>
    <font>
      <b val="true"/>
      <sz val="11"/>
      <color rgb="FF7F6000"/>
      <name val="微軟正黑體"/>
      <family val="0"/>
      <charset val="1"/>
    </font>
    <font>
      <sz val="8.5"/>
      <color rgb="FF000000"/>
      <name val="微軟正黑體"/>
      <family val="0"/>
      <charset val="1"/>
    </font>
    <font>
      <sz val="8.5"/>
      <color rgb="FF000000"/>
      <name val="Noto Sans CJK SC"/>
      <family val="2"/>
    </font>
    <font>
      <b val="true"/>
      <sz val="10"/>
      <color rgb="FF808080"/>
      <name val="Noto Sans CJK SC"/>
      <family val="2"/>
    </font>
    <font>
      <b val="true"/>
      <sz val="10"/>
      <color rgb="FF808080"/>
      <name val="微軟正黑體"/>
      <family val="0"/>
      <charset val="1"/>
    </font>
    <font>
      <b val="true"/>
      <sz val="22"/>
      <color rgb="FF808080"/>
      <name val="微軟正黑體"/>
      <family val="0"/>
      <charset val="1"/>
    </font>
    <font>
      <b val="true"/>
      <sz val="12"/>
      <color rgb="FFC00000"/>
      <name val="Noto Sans CJK SC"/>
      <family val="2"/>
    </font>
    <font>
      <b val="true"/>
      <sz val="12"/>
      <color rgb="FFBF8F00"/>
      <name val="Noto Sans CJK SC"/>
      <family val="2"/>
    </font>
    <font>
      <b val="true"/>
      <sz val="12"/>
      <color rgb="FF7030A0"/>
      <name val="Noto Sans CJK SC"/>
      <family val="2"/>
    </font>
    <font>
      <b val="true"/>
      <sz val="12"/>
      <color rgb="FF7030A0"/>
      <name val="微軟正黑體"/>
      <family val="0"/>
      <charset val="1"/>
    </font>
    <font>
      <b val="true"/>
      <sz val="15"/>
      <color rgb="FF1F3864"/>
      <name val="Microsoft JhengHei"/>
      <family val="0"/>
      <charset val="1"/>
    </font>
    <font>
      <b val="true"/>
      <sz val="15"/>
      <color rgb="FF1F3864"/>
      <name val="Noto Sans CJK SC"/>
      <family val="2"/>
    </font>
    <font>
      <b val="true"/>
      <sz val="11"/>
      <color rgb="FFFFFFFF"/>
      <name val="Microsoft JhengHei"/>
      <family val="0"/>
      <charset val="1"/>
    </font>
    <font>
      <b val="true"/>
      <sz val="11"/>
      <color rgb="FFC0392B"/>
      <name val="Microsoft JhengHei"/>
      <family val="0"/>
      <charset val="1"/>
    </font>
    <font>
      <b val="true"/>
      <sz val="9"/>
      <color rgb="FFC0392B"/>
      <name val="Noto Sans CJK SC"/>
      <family val="2"/>
    </font>
    <font>
      <sz val="10"/>
      <color rgb="FF6B7280"/>
      <name val="Microsoft JhengHei"/>
      <family val="0"/>
      <charset val="1"/>
    </font>
    <font>
      <sz val="9"/>
      <color rgb="FF2C5F8A"/>
      <name val="Consolas"/>
      <family val="0"/>
      <charset val="1"/>
    </font>
    <font>
      <b val="true"/>
      <sz val="10"/>
      <name val="Microsoft JhengHei"/>
      <family val="0"/>
      <charset val="1"/>
    </font>
    <font>
      <i val="true"/>
      <sz val="8.5"/>
      <color rgb="FF833C00"/>
      <name val="微軟正黑體"/>
      <family val="0"/>
      <charset val="1"/>
    </font>
    <font>
      <i val="true"/>
      <sz val="8.5"/>
      <color rgb="FF833C00"/>
      <name val="Noto Sans CJK SC"/>
      <family val="2"/>
    </font>
  </fonts>
  <fills count="48">
    <fill>
      <patternFill patternType="none"/>
    </fill>
    <fill>
      <patternFill patternType="gray125"/>
    </fill>
    <fill>
      <patternFill patternType="solid">
        <fgColor rgb="FF1F3864"/>
        <bgColor rgb="FF404050"/>
      </patternFill>
    </fill>
    <fill>
      <patternFill patternType="solid">
        <fgColor rgb="FFFFF2CC"/>
        <bgColor rgb="FFFFF3D6"/>
      </patternFill>
    </fill>
    <fill>
      <patternFill patternType="solid">
        <fgColor rgb="FF548235"/>
        <bgColor rgb="FF4E6E52"/>
      </patternFill>
    </fill>
    <fill>
      <patternFill patternType="solid">
        <fgColor rgb="FFFFF7E6"/>
        <bgColor rgb="FFFDF8EC"/>
      </patternFill>
    </fill>
    <fill>
      <patternFill patternType="solid">
        <fgColor rgb="FFD9EDEF"/>
        <bgColor rgb="FFD6E4F0"/>
      </patternFill>
    </fill>
    <fill>
      <patternFill patternType="solid">
        <fgColor rgb="FF2F5597"/>
        <bgColor rgb="FF265F91"/>
      </patternFill>
    </fill>
    <fill>
      <patternFill patternType="solid">
        <fgColor rgb="FFD6E4F0"/>
        <bgColor rgb="FFD9EDEF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D1D7E2"/>
      </patternFill>
    </fill>
    <fill>
      <patternFill patternType="solid">
        <fgColor rgb="FFF2E9F7"/>
        <bgColor rgb="FFEDEDED"/>
      </patternFill>
    </fill>
    <fill>
      <patternFill patternType="solid">
        <fgColor rgb="FFC00000"/>
        <bgColor rgb="FFC0392B"/>
      </patternFill>
    </fill>
    <fill>
      <patternFill patternType="solid">
        <fgColor rgb="FF2E747A"/>
        <bgColor rgb="FF2E7D64"/>
      </patternFill>
    </fill>
    <fill>
      <patternFill patternType="solid">
        <fgColor rgb="FF0E6E6B"/>
        <bgColor rgb="FF2E747A"/>
      </patternFill>
    </fill>
    <fill>
      <patternFill patternType="darkGray">
        <fgColor rgb="FF58616F"/>
        <bgColor rgb="FF52565C"/>
      </patternFill>
    </fill>
    <fill>
      <patternFill patternType="solid">
        <fgColor rgb="FFFDF8EC"/>
        <bgColor rgb="FFFFF7E6"/>
      </patternFill>
    </fill>
    <fill>
      <patternFill patternType="solid">
        <fgColor rgb="FFF2F8F6"/>
        <bgColor rgb="FFF4F7FB"/>
      </patternFill>
    </fill>
    <fill>
      <patternFill patternType="solid">
        <fgColor rgb="FF8A2E4A"/>
        <bgColor rgb="FF903837"/>
      </patternFill>
    </fill>
    <fill>
      <patternFill patternType="solid">
        <fgColor rgb="FF8C6D46"/>
        <bgColor rgb="FFAE6225"/>
      </patternFill>
    </fill>
    <fill>
      <patternFill patternType="solid">
        <fgColor rgb="FF7A4E8A"/>
        <bgColor rgb="FF7030A0"/>
      </patternFill>
    </fill>
    <fill>
      <patternFill patternType="solid">
        <fgColor rgb="FF265F91"/>
        <bgColor rgb="FF2F5597"/>
      </patternFill>
    </fill>
    <fill>
      <patternFill patternType="solid">
        <fgColor rgb="FF2E7D64"/>
        <bgColor rgb="FF2E747A"/>
      </patternFill>
    </fill>
    <fill>
      <patternFill patternType="solid">
        <fgColor rgb="FFAE6225"/>
        <bgColor rgb="FFC2580C"/>
      </patternFill>
    </fill>
    <fill>
      <patternFill patternType="solid">
        <fgColor rgb="FF4E6E52"/>
        <bgColor rgb="FF58616F"/>
      </patternFill>
    </fill>
    <fill>
      <patternFill patternType="solid">
        <fgColor rgb="FFF2F6FB"/>
        <bgColor rgb="FFF4F7FB"/>
      </patternFill>
    </fill>
    <fill>
      <patternFill patternType="solid">
        <fgColor rgb="FFF7F9FC"/>
        <bgColor rgb="FFFAFAFA"/>
      </patternFill>
    </fill>
    <fill>
      <patternFill patternType="solid">
        <fgColor rgb="FFEAF1DD"/>
        <bgColor rgb="FFEDEDED"/>
      </patternFill>
    </fill>
    <fill>
      <patternFill patternType="solid">
        <fgColor rgb="FFBF8F00"/>
        <bgColor rgb="FFAE6225"/>
      </patternFill>
    </fill>
    <fill>
      <patternFill patternType="solid">
        <fgColor rgb="FF808080"/>
        <bgColor rgb="FF687386"/>
      </patternFill>
    </fill>
    <fill>
      <patternFill patternType="solid">
        <fgColor rgb="FFFFF3D6"/>
        <bgColor rgb="FFFFF2CC"/>
      </patternFill>
    </fill>
    <fill>
      <patternFill patternType="solid">
        <fgColor rgb="FFEDEDED"/>
        <bgColor rgb="FFF2E9F7"/>
      </patternFill>
    </fill>
    <fill>
      <patternFill patternType="solid">
        <fgColor rgb="FFC2580C"/>
        <bgColor rgb="FFAE6225"/>
      </patternFill>
    </fill>
    <fill>
      <patternFill patternType="darkGray">
        <fgColor rgb="FF52565C"/>
        <bgColor rgb="FF58616F"/>
      </patternFill>
    </fill>
    <fill>
      <patternFill patternType="solid">
        <fgColor rgb="FFFFFFFF"/>
        <bgColor rgb="FFFFFDF5"/>
      </patternFill>
    </fill>
    <fill>
      <patternFill patternType="solid">
        <fgColor rgb="FFFFE699"/>
        <bgColor rgb="FFFFF2CC"/>
      </patternFill>
    </fill>
    <fill>
      <patternFill patternType="solid">
        <fgColor rgb="FFFDF3F3"/>
        <bgColor rgb="FFFDF0EA"/>
      </patternFill>
    </fill>
    <fill>
      <patternFill patternType="solid">
        <fgColor rgb="FFFDE9E9"/>
        <bgColor rgb="FFFDF0EA"/>
      </patternFill>
    </fill>
    <fill>
      <patternFill patternType="solid">
        <fgColor rgb="FFF7F2FA"/>
        <bgColor rgb="FFFDF3F3"/>
      </patternFill>
    </fill>
    <fill>
      <patternFill patternType="darkGray">
        <fgColor rgb="FF375824"/>
        <bgColor rgb="FF4E6E52"/>
      </patternFill>
    </fill>
    <fill>
      <patternFill patternType="solid">
        <fgColor rgb="FF903837"/>
        <bgColor rgb="FF8A2E4A"/>
      </patternFill>
    </fill>
    <fill>
      <patternFill patternType="solid">
        <fgColor rgb="FF7030A0"/>
        <bgColor rgb="FF7A4E8A"/>
      </patternFill>
    </fill>
    <fill>
      <patternFill patternType="solid">
        <fgColor rgb="FFAE6225"/>
        <bgColor rgb="FFC2580C"/>
      </patternFill>
    </fill>
    <fill>
      <patternFill patternType="mediumGray">
        <fgColor rgb="FF375824"/>
        <bgColor rgb="FF4E6E52"/>
      </patternFill>
    </fill>
    <fill>
      <patternFill patternType="solid">
        <fgColor rgb="FF7C5E00"/>
        <bgColor rgb="FF8C6D46"/>
      </patternFill>
    </fill>
    <fill>
      <patternFill patternType="solid">
        <fgColor rgb="FFA2A6A5"/>
        <bgColor rgb="FFBFBFBF"/>
      </patternFill>
    </fill>
    <fill>
      <patternFill patternType="solid">
        <fgColor rgb="FFF4F7FB"/>
        <bgColor rgb="FFF2F6FB"/>
      </patternFill>
    </fill>
    <fill>
      <patternFill patternType="solid">
        <fgColor rgb="FFFFFDF5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1D7E2"/>
      </left>
      <right style="thin">
        <color rgb="FFD1D7E2"/>
      </right>
      <top style="thin">
        <color rgb="FFD1D7E2"/>
      </top>
      <bottom style="thin">
        <color rgb="FFD1D7E2"/>
      </bottom>
      <diagonal/>
    </border>
    <border diagonalUp="false" diagonalDown="false">
      <left/>
      <right/>
      <top/>
      <bottom style="thin">
        <color rgb="FFD1D7E2"/>
      </bottom>
      <diagonal/>
    </border>
    <border diagonalUp="false" diagonalDown="false">
      <left style="hair">
        <color rgb="FFD1D7E2"/>
      </left>
      <right style="hair">
        <color rgb="FFD1D7E2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52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53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2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3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1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1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1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3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57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1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57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2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5" fillId="1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7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9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1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2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3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4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2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1" fillId="2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5" fillId="3" borderId="0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79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81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2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3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3" borderId="0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89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9" fillId="2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0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0" fillId="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9" fillId="3" borderId="1" xfId="0" applyFont="true" applyBorder="true" applyAlignment="true" applyProtection="true">
      <alignment horizontal="left" vertical="center" textRotation="0" wrapText="true" indent="1" shrinkToFit="false"/>
      <protection locked="fals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2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2" fillId="1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2" fillId="1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2" fillId="2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9" fillId="3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3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5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1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1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1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8" fillId="2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3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31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4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6" fillId="3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1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4" fillId="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6" fillId="3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7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9" fillId="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0" fillId="3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6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1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2" fillId="3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4" fillId="2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6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5" fillId="3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5" fillId="31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6" fillId="38" borderId="1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7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47" fillId="39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47" fillId="40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47" fillId="7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47" fillId="13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47" fillId="41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47" fillId="4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47" fillId="43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47" fillId="44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147" fillId="45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7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3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9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9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0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1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2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3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8" fontId="152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2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2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5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6" fillId="3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4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3" fillId="0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52" fillId="0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5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2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5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5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0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1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6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9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2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4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3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1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1" fillId="2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1" fillId="2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1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1" fillId="2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1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1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1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1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8" fillId="4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5" fillId="4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1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19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1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3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0" fillId="4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3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3" fillId="3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3">
    <dxf>
      <font>
        <name val="微軟正黑體"/>
        <charset val="1"/>
        <family val="0"/>
        <b val="1"/>
        <color rgb="FFC00000"/>
        <sz val="10"/>
      </font>
      <fill>
        <patternFill>
          <bgColor rgb="FFF8CBAD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203864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833C00"/>
          <bgColor rgb="FF000000"/>
        </patternFill>
      </fill>
    </dxf>
    <dxf>
      <fill>
        <patternFill patternType="solid">
          <fgColor rgb="FF2E747A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0E6E6B"/>
          <bgColor rgb="FF000000"/>
        </patternFill>
      </fill>
    </dxf>
    <dxf>
      <fill>
        <patternFill patternType="solid">
          <fgColor rgb="FF2C5F8A"/>
          <bgColor rgb="FF000000"/>
        </patternFill>
      </fill>
    </dxf>
    <dxf>
      <fill>
        <patternFill patternType="solid">
          <fgColor rgb="FF2E7D64"/>
          <bgColor rgb="FF000000"/>
        </patternFill>
      </fill>
    </dxf>
    <dxf>
      <fill>
        <patternFill patternType="solid">
          <fgColor rgb="FF4E6E52"/>
          <bgColor rgb="FF000000"/>
        </patternFill>
      </fill>
    </dxf>
    <dxf>
      <fill>
        <patternFill patternType="solid">
          <fgColor rgb="FF555F6E"/>
          <bgColor rgb="FF000000"/>
        </patternFill>
      </fill>
    </dxf>
    <dxf>
      <fill>
        <patternFill patternType="solid">
          <fgColor rgb="FF7A4E8A"/>
          <bgColor rgb="FF000000"/>
        </patternFill>
      </fill>
    </dxf>
    <dxf>
      <fill>
        <patternFill patternType="solid">
          <fgColor rgb="FF8A2E4A"/>
          <bgColor rgb="FF000000"/>
        </patternFill>
      </fill>
    </dxf>
    <dxf>
      <fill>
        <patternFill patternType="solid">
          <fgColor rgb="FF8C6D46"/>
          <bgColor rgb="FF000000"/>
        </patternFill>
      </fill>
    </dxf>
    <dxf>
      <fill>
        <patternFill patternType="solid">
          <fgColor rgb="FFB0632E"/>
          <bgColor rgb="FF000000"/>
        </patternFill>
      </fill>
    </dxf>
    <dxf>
      <fill>
        <patternFill patternType="solid">
          <fgColor rgb="FFFDF8EC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F2F8F6"/>
          <bgColor rgb="FF000000"/>
        </patternFill>
      </fill>
    </dxf>
    <dxf>
      <font>
        <name val="微軟正黑體"/>
        <charset val="1"/>
        <family val="0"/>
        <b val="1"/>
        <color rgb="FF375623"/>
        <sz val="10"/>
      </font>
      <fill>
        <patternFill>
          <bgColor rgb="FFC6E0B4"/>
        </patternFill>
      </fill>
    </dxf>
    <dxf>
      <font>
        <name val="微軟正黑體"/>
        <charset val="1"/>
        <family val="0"/>
        <b val="1"/>
        <color rgb="FFC00000"/>
        <sz val="9"/>
      </font>
      <fill>
        <patternFill>
          <bgColor rgb="FFF8CBAD"/>
        </patternFill>
      </fill>
    </dxf>
    <dxf>
      <font>
        <name val="微軟正黑體"/>
        <charset val="1"/>
        <family val="0"/>
        <color rgb="FF000000"/>
        <sz val="9"/>
      </font>
      <fill>
        <patternFill>
          <bgColor rgb="FFFFE699"/>
        </patternFill>
      </fill>
    </dxf>
    <dxf>
      <font>
        <name val="微軟正黑體"/>
        <charset val="1"/>
        <family val="0"/>
        <color rgb="FF000000"/>
        <sz val="9"/>
      </font>
      <fill>
        <patternFill>
          <bgColor rgb="FFEDEDED"/>
        </patternFill>
      </fill>
    </dxf>
    <dxf>
      <font>
        <name val="微軟正黑體"/>
        <charset val="1"/>
        <family val="0"/>
        <b val="1"/>
        <color rgb="FF375623"/>
        <sz val="9"/>
      </font>
      <fill>
        <patternFill>
          <bgColor rgb="FFC6E0B4"/>
        </patternFill>
      </fill>
    </dxf>
    <dxf>
      <font>
        <name val="微軟正黑體"/>
        <charset val="1"/>
        <family val="0"/>
        <b val="1"/>
        <color rgb="FF1F3864"/>
        <sz val="9"/>
      </font>
      <fill>
        <patternFill>
          <bgColor rgb="FFD6E4F0"/>
        </patternFill>
      </fill>
    </dxf>
    <dxf>
      <font>
        <name val="微軟正黑體"/>
        <charset val="1"/>
        <family val="0"/>
        <b val="1"/>
        <color rgb="FF548235"/>
        <sz val="9"/>
      </font>
      <fill>
        <patternFill>
          <bgColor rgb="FFC6E0B4"/>
        </patternFill>
      </fill>
    </dxf>
    <dxf>
      <font>
        <name val="微軟正黑體"/>
        <charset val="1"/>
        <family val="0"/>
        <b val="1"/>
        <color rgb="FF7F6000"/>
        <sz val="9"/>
      </font>
      <fill>
        <patternFill>
          <bgColor rgb="FFFFE699"/>
        </patternFill>
      </fill>
    </dxf>
    <dxf>
      <font>
        <name val="微軟正黑體"/>
        <charset val="1"/>
        <family val="0"/>
        <color rgb="FFFFFFFF"/>
        <sz val="9"/>
      </font>
    </dxf>
    <dxf>
      <font>
        <name val="微軟正黑體"/>
        <charset val="1"/>
        <family val="0"/>
        <b val="1"/>
        <color rgb="FFC00000"/>
        <sz val="9"/>
      </font>
      <fill>
        <patternFill>
          <bgColor rgb="FFF8CBAD"/>
        </patternFill>
      </fill>
    </dxf>
    <dxf>
      <font>
        <name val="微軟正黑體"/>
        <charset val="1"/>
        <family val="0"/>
        <color rgb="FF202020"/>
        <sz val="8"/>
      </font>
      <fill>
        <patternFill>
          <bgColor rgb="FFFDF0EA"/>
        </patternFill>
      </fill>
    </dxf>
    <dxf>
      <font>
        <name val="微軟正黑體"/>
        <charset val="1"/>
        <family val="0"/>
        <color rgb="FFBFBFBF"/>
        <sz val="8"/>
      </font>
      <fill>
        <patternFill>
          <bgColor rgb="FFFAFAFA"/>
        </patternFill>
      </fill>
    </dxf>
    <dxf>
      <font>
        <name val="微軟正黑體"/>
        <charset val="1"/>
        <family val="0"/>
        <color rgb="FF1F3864"/>
        <sz val="8"/>
      </font>
      <fill>
        <patternFill>
          <bgColor rgb="FFEAF1FA"/>
        </patternFill>
      </fill>
    </dxf>
    <dxf>
      <fill>
        <patternFill patternType="solid">
          <fgColor rgb="FFFFF7E6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ont>
        <name val="微軟正黑體"/>
        <charset val="1"/>
        <family val="0"/>
        <color rgb="FF000000"/>
        <sz val="9"/>
      </font>
      <fill>
        <patternFill>
          <bgColor rgb="FFD6E4F0"/>
        </patternFill>
      </fill>
    </dxf>
    <dxf>
      <fill>
        <patternFill patternType="solid">
          <fgColor rgb="FF2E5F2E"/>
          <bgColor rgb="FF000000"/>
        </patternFill>
      </fill>
    </dxf>
    <dxf>
      <fill>
        <patternFill patternType="solid">
          <fgColor rgb="FF8B3A3A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A6641A"/>
          <bgColor rgb="FF000000"/>
        </patternFill>
      </fill>
    </dxf>
    <dxf>
      <fill>
        <patternFill patternType="solid">
          <fgColor rgb="FF4F6228"/>
          <bgColor rgb="FF000000"/>
        </patternFill>
      </fill>
    </dxf>
    <dxf>
      <fill>
        <patternFill patternType="solid">
          <fgColor rgb="FF953735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>
          <bgColor rgb="FFC6E0B4"/>
        </patternFill>
      </fill>
    </dxf>
    <dxf>
      <fill>
        <patternFill patternType="solid">
          <fgColor rgb="FFCFE1AF"/>
          <bgColor rgb="FF000000"/>
        </patternFill>
      </fill>
    </dxf>
    <dxf>
      <fill>
        <patternFill patternType="solid">
          <fgColor rgb="FFD8E2AB"/>
          <bgColor rgb="FF000000"/>
        </patternFill>
      </fill>
    </dxf>
    <dxf>
      <fill>
        <patternFill patternType="solid">
          <fgColor rgb="FFDAE3AA"/>
          <bgColor rgb="FF000000"/>
        </patternFill>
      </fill>
    </dxf>
    <dxf>
      <fill>
        <patternFill patternType="solid">
          <fgColor rgb="FFE0E3A7"/>
          <bgColor rgb="FF000000"/>
        </patternFill>
      </fill>
    </dxf>
    <dxf>
      <fill>
        <patternFill patternType="solid">
          <fgColor rgb="FFE3E3A6"/>
          <bgColor rgb="FF000000"/>
        </patternFill>
      </fill>
    </dxf>
    <dxf>
      <fill>
        <patternFill patternType="solid">
          <fgColor rgb="FFE9E4A3"/>
          <bgColor rgb="FF000000"/>
        </patternFill>
      </fill>
    </dxf>
    <dxf>
      <fill>
        <patternFill patternType="solid">
          <fgColor rgb="FFECE4A2"/>
          <bgColor rgb="FF000000"/>
        </patternFill>
      </fill>
    </dxf>
    <dxf>
      <fill>
        <patternFill patternType="solid">
          <fgColor rgb="FFF4E59E"/>
          <bgColor rgb="FF000000"/>
        </patternFill>
      </fill>
    </dxf>
    <dxf>
      <fill>
        <patternFill patternType="solid">
          <fgColor rgb="FFFDE69A"/>
          <bgColor rgb="FF000000"/>
        </patternFill>
      </fill>
    </dxf>
    <dxf>
      <fill>
        <patternFill patternType="solid">
          <fgColor rgb="FFFBD8A3"/>
          <bgColor rgb="FF000000"/>
        </patternFill>
      </fill>
    </dxf>
    <dxf>
      <fill>
        <patternFill patternType="solid">
          <fgColor rgb="FFFCDD9F"/>
          <bgColor rgb="FF000000"/>
        </patternFill>
      </fill>
    </dxf>
    <dxf>
      <fill>
        <patternFill patternType="solid">
          <fgColor rgb="FFFDE19C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ont>
        <name val="微軟正黑體"/>
        <charset val="1"/>
        <family val="0"/>
        <color rgb="FF000000"/>
        <sz val="9"/>
      </font>
      <fill>
        <patternFill>
          <bgColor rgb="FFF8CBAD"/>
        </patternFill>
      </fill>
    </dxf>
    <dxf>
      <font>
        <name val="微軟正黑體"/>
        <charset val="1"/>
        <family val="0"/>
        <color rgb="FF000000"/>
        <sz val="9"/>
      </font>
      <fill>
        <patternFill>
          <bgColor rgb="FFC6E0B4"/>
        </patternFill>
      </fill>
    </dxf>
    <dxf>
      <font>
        <name val="微軟正黑體"/>
        <charset val="1"/>
        <family val="0"/>
        <color rgb="FF2F5597"/>
        <sz val="9"/>
      </font>
      <fill>
        <patternFill>
          <bgColor rgb="FF2F5597"/>
        </patternFill>
      </fill>
    </dxf>
    <dxf>
      <fill>
        <patternFill patternType="solid">
          <fgColor rgb="FFF4F7FB"/>
          <bgColor rgb="FF000000"/>
        </patternFill>
      </fill>
    </dxf>
  </dxfs>
  <colors>
    <indexedColors>
      <rgbColor rgb="FF000000"/>
      <rgbColor rgb="FFFFFFFF"/>
      <rgbColor rgb="FFC00000"/>
      <rgbColor rgb="FFF4F7FB"/>
      <rgbColor rgb="FFF7F9FC"/>
      <rgbColor rgb="FFFFF2CC"/>
      <rgbColor rgb="FFF7F2FA"/>
      <rgbColor rgb="FFF2F8F6"/>
      <rgbColor rgb="FFC0392B"/>
      <rgbColor rgb="FF548235"/>
      <rgbColor rgb="FFFAFAFA"/>
      <rgbColor rgb="FF7C5E00"/>
      <rgbColor rgb="FF7030A0"/>
      <rgbColor rgb="FF0E6E6B"/>
      <rgbColor rgb="FFBFBFBF"/>
      <rgbColor rgb="FF808080"/>
      <rgbColor rgb="FF8C6D46"/>
      <rgbColor rgb="FF8A2E4A"/>
      <rgbColor rgb="FFFFF3D6"/>
      <rgbColor rgb="FFD9EDEF"/>
      <rgbColor rgb="FF404050"/>
      <rgbColor rgb="FFAE6225"/>
      <rgbColor rgb="FF265F91"/>
      <rgbColor rgb="FFD1D7E2"/>
      <rgbColor rgb="FFFFFDF5"/>
      <rgbColor rgb="FFFDF3F3"/>
      <rgbColor rgb="FFFFF7E6"/>
      <rgbColor rgb="FFF2F6FB"/>
      <rgbColor rgb="FF7A4E8A"/>
      <rgbColor rgb="FF52565C"/>
      <rgbColor rgb="FF2E747A"/>
      <rgbColor rgb="FFFDF8EC"/>
      <rgbColor rgb="FFF2E9F7"/>
      <rgbColor rgb="FFEAF1FA"/>
      <rgbColor rgb="FFEAF1DD"/>
      <rgbColor rgb="FFFFE699"/>
      <rgbColor rgb="FFC6E0B4"/>
      <rgbColor rgb="FFFDE9E9"/>
      <rgbColor rgb="FFD6E4F0"/>
      <rgbColor rgb="FFF8CBAD"/>
      <rgbColor rgb="FF58616F"/>
      <rgbColor rgb="FF4E6E52"/>
      <rgbColor rgb="FFEDEDED"/>
      <rgbColor rgb="FFFDF0EA"/>
      <rgbColor rgb="FFBF8F00"/>
      <rgbColor rgb="FFC2580C"/>
      <rgbColor rgb="FF687386"/>
      <rgbColor rgb="FFA2A6A5"/>
      <rgbColor rgb="FF1F3864"/>
      <rgbColor rgb="FF2E7D64"/>
      <rgbColor rgb="FF375824"/>
      <rgbColor rgb="FF202631"/>
      <rgbColor rgb="FF833C00"/>
      <rgbColor rgb="FF903837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85 個商機的族群分佈（來源：15 商機字典）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儀表板_Dashboard!$R$4:$R$13</c:f>
              <c:strCache>
                <c:ptCount val="10"/>
                <c:pt idx="0">
                  <c:v>規劃投資與交易架構</c:v>
                </c:pt>
                <c:pt idx="1">
                  <c:v>建築工程與設施</c:v>
                </c:pt>
                <c:pt idx="2">
                  <c:v>醫材與臨床設備</c:v>
                </c:pt>
                <c:pt idx="3">
                  <c:v>數位基建與資安</c:v>
                </c:pt>
                <c:pt idx="4">
                  <c:v>醫療資訊與資料</c:v>
                </c:pt>
                <c:pt idx="5">
                  <c:v>AI與智慧醫療</c:v>
                </c:pt>
                <c:pt idx="6">
                  <c:v>品質認證與人才</c:v>
                </c:pt>
                <c:pt idx="7">
                  <c:v>供應鏈與維運服務</c:v>
                </c:pt>
                <c:pt idx="8">
                  <c:v>照護服務新業態</c:v>
                </c:pt>
                <c:pt idx="9">
                  <c:v>商模支付與病人生態</c:v>
                </c:pt>
              </c:strCache>
            </c:strRef>
          </c:cat>
          <c:val>
            <c:numRef>
              <c:f>儀表板_Dashboard!$S$4:$S$13</c:f>
              <c:numCache>
                <c:formatCode>General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10</c:v>
                </c:pt>
                <c:pt idx="3">
                  <c:v>7</c:v>
                </c:pt>
                <c:pt idx="4">
                  <c:v>12</c:v>
                </c:pt>
                <c:pt idx="5">
                  <c:v>17</c:v>
                </c:pt>
                <c:pt idx="6">
                  <c:v>4</c:v>
                </c:pt>
                <c:pt idx="7">
                  <c:v>7</c:v>
                </c:pt>
                <c:pt idx="8">
                  <c:v>10</c:v>
                </c:pt>
                <c:pt idx="9">
                  <c:v>5</c:v>
                </c:pt>
              </c:numCache>
            </c:numRef>
          </c:val>
        </c:ser>
        <c:gapWidth val="60"/>
        <c:overlap val="0"/>
        <c:axId val="10290246"/>
        <c:axId val="24803935"/>
      </c:barChart>
      <c:catAx>
        <c:axId val="10290246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803935"/>
        <c:crosses val="autoZero"/>
        <c:auto val="1"/>
        <c:lblAlgn val="ctr"/>
        <c:lblOffset val="100"/>
        <c:noMultiLvlLbl val="0"/>
      </c:catAx>
      <c:valAx>
        <c:axId val="248039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290246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各領域的能力缺口數（紅色＝要找夥伴的地方，來源：03）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儀表板_Dashboard!$V$4:$V$13</c:f>
              <c:strCache>
                <c:ptCount val="10"/>
                <c:pt idx="0">
                  <c:v>D01 治理與投資</c:v>
                </c:pt>
                <c:pt idx="1">
                  <c:v>D02 臨床服務模式</c:v>
                </c:pt>
                <c:pt idx="2">
                  <c:v>D03 醫院設施與機電</c:v>
                </c:pt>
                <c:pt idx="3">
                  <c:v>D04 數位基建與物聯網</c:v>
                </c:pt>
                <c:pt idx="4">
                  <c:v>D05 醫材與診斷</c:v>
                </c:pt>
                <c:pt idx="5">
                  <c:v>D06 醫療資訊與資料</c:v>
                </c:pt>
                <c:pt idx="6">
                  <c:v>D07 品質與病安</c:v>
                </c:pt>
                <c:pt idx="7">
                  <c:v>D08 人才與技轉</c:v>
                </c:pt>
                <c:pt idx="8">
                  <c:v>D09 供應鏈與維運</c:v>
                </c:pt>
                <c:pt idx="9">
                  <c:v>D10 商模與病人生態</c:v>
                </c:pt>
              </c:strCache>
            </c:strRef>
          </c:cat>
          <c:val>
            <c:numRef>
              <c:f>儀表板_Dashboard!$W$4:$W$13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3</c:v>
                </c:pt>
              </c:numCache>
            </c:numRef>
          </c:val>
        </c:ser>
        <c:gapWidth val="60"/>
        <c:overlap val="0"/>
        <c:axId val="75225464"/>
        <c:axId val="66752630"/>
      </c:barChart>
      <c:catAx>
        <c:axId val="75225464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52630"/>
        <c:crosses val="autoZero"/>
        <c:auto val="1"/>
        <c:lblAlgn val="ctr"/>
        <c:lblOffset val="100"/>
        <c:noMultiLvlLbl val="0"/>
      </c:catAx>
      <c:valAx>
        <c:axId val="667526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225464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85 個商機的越南現況（③＝先進去的人定規則）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儀表板_Dashboard!$T$4:$T$6</c:f>
              <c:strCache>
                <c:ptCount val="3"/>
                <c:pt idx="0">
                  <c:v>①已成熟</c:v>
                </c:pt>
                <c:pt idx="1">
                  <c:v>②起步中</c:v>
                </c:pt>
                <c:pt idx="2">
                  <c:v>③尚未出現</c:v>
                </c:pt>
              </c:strCache>
            </c:strRef>
          </c:cat>
          <c:val>
            <c:numRef>
              <c:f>儀表板_Dashboard!$U$4:$U$6</c:f>
              <c:numCache>
                <c:formatCode>General</c:formatCode>
                <c:ptCount val="3"/>
                <c:pt idx="0">
                  <c:v>3</c:v>
                </c:pt>
                <c:pt idx="1">
                  <c:v>42</c:v>
                </c:pt>
                <c:pt idx="2">
                  <c:v>40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14 商機管線：各成熟階段件數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儀表板_Dashboard!$X$4:$X$8</c:f>
              <c:strCache>
                <c:ptCount val="5"/>
                <c:pt idx="0">
                  <c:v>Lead 潛在</c:v>
                </c:pt>
                <c:pt idx="1">
                  <c:v>Qualified 已篩選</c:v>
                </c:pt>
                <c:pt idx="2">
                  <c:v>Proposal 已提案</c:v>
                </c:pt>
                <c:pt idx="3">
                  <c:v>Negotiation 議約中</c:v>
                </c:pt>
                <c:pt idx="4">
                  <c:v>Won 已簽約</c:v>
                </c:pt>
              </c:strCache>
            </c:strRef>
          </c:cat>
          <c:val>
            <c:numRef>
              <c:f>儀表板_Dashboard!$Y$4:$Y$8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gapWidth val="60"/>
        <c:overlap val="0"/>
        <c:axId val="77472434"/>
        <c:axId val="56815430"/>
      </c:barChart>
      <c:catAx>
        <c:axId val="77472434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15430"/>
        <c:crosses val="autoZero"/>
        <c:auto val="1"/>
        <c:lblAlgn val="ctr"/>
        <c:lblOffset val="100"/>
        <c:noMultiLvlLbl val="0"/>
      </c:catAx>
      <c:valAx>
        <c:axId val="56815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72434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0</xdr:rowOff>
    </xdr:from>
    <xdr:to>
      <xdr:col>8</xdr:col>
      <xdr:colOff>432720</xdr:colOff>
      <xdr:row>29</xdr:row>
      <xdr:rowOff>5400</xdr:rowOff>
    </xdr:to>
    <xdr:graphicFrame>
      <xdr:nvGraphicFramePr>
        <xdr:cNvPr id="0" name="Chart 1"/>
        <xdr:cNvGraphicFramePr/>
      </xdr:nvGraphicFramePr>
      <xdr:xfrm>
        <a:off x="176400" y="2419200"/>
        <a:ext cx="5579640" cy="38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9</xdr:row>
      <xdr:rowOff>0</xdr:rowOff>
    </xdr:from>
    <xdr:to>
      <xdr:col>15</xdr:col>
      <xdr:colOff>596880</xdr:colOff>
      <xdr:row>29</xdr:row>
      <xdr:rowOff>5400</xdr:rowOff>
    </xdr:to>
    <xdr:graphicFrame>
      <xdr:nvGraphicFramePr>
        <xdr:cNvPr id="1" name="Chart 2"/>
        <xdr:cNvGraphicFramePr/>
      </xdr:nvGraphicFramePr>
      <xdr:xfrm>
        <a:off x="5323320" y="2419200"/>
        <a:ext cx="5579640" cy="381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8</xdr:col>
      <xdr:colOff>432720</xdr:colOff>
      <xdr:row>47</xdr:row>
      <xdr:rowOff>93960</xdr:rowOff>
    </xdr:to>
    <xdr:graphicFrame>
      <xdr:nvGraphicFramePr>
        <xdr:cNvPr id="2" name="Chart 3"/>
        <xdr:cNvGraphicFramePr/>
      </xdr:nvGraphicFramePr>
      <xdr:xfrm>
        <a:off x="176400" y="680076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32</xdr:row>
      <xdr:rowOff>0</xdr:rowOff>
    </xdr:from>
    <xdr:to>
      <xdr:col>15</xdr:col>
      <xdr:colOff>596880</xdr:colOff>
      <xdr:row>47</xdr:row>
      <xdr:rowOff>93960</xdr:rowOff>
    </xdr:to>
    <xdr:graphicFrame>
      <xdr:nvGraphicFramePr>
        <xdr:cNvPr id="3" name="Chart 4"/>
        <xdr:cNvGraphicFramePr/>
      </xdr:nvGraphicFramePr>
      <xdr:xfrm>
        <a:off x="5323320" y="6800760"/>
        <a:ext cx="557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90</xdr:row>
      <xdr:rowOff>78840</xdr:rowOff>
    </xdr:from>
    <xdr:to>
      <xdr:col>12</xdr:col>
      <xdr:colOff>241200</xdr:colOff>
      <xdr:row>144</xdr:row>
      <xdr:rowOff>146520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211320" y="22259880"/>
          <a:ext cx="12953520" cy="10382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<Relationship Id="rId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<Relationship Id="rId2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<Relationship Id="rId2" Type="http://schemas.openxmlformats.org/officeDocument/2006/relationships/hyperlink" Target="VMH-EcoMap-1P_&#22821;&#20276;&#29256;_&#25105;&#22312;&#36889;&#24373;&#34253;&#22294;&#30340;&#21738;&#35041;_v1.0.xlsx" TargetMode="External"/><Relationship Id="rId3" Type="http://schemas.openxmlformats.org/officeDocument/2006/relationships/hyperlink" Target="VMH-EcoMap-1P_&#22821;&#20276;&#29256;_&#25105;&#22312;&#36889;&#24373;&#34253;&#22294;&#30340;&#21738;&#35041;_v1.0.xlsx" TargetMode="External"/><Relationship Id="rId4" Type="http://schemas.openxmlformats.org/officeDocument/2006/relationships/hyperlink" Target="VMH-EcoMap-1P_&#22821;&#20276;&#29256;_&#25105;&#22312;&#36889;&#24373;&#34253;&#22294;&#30340;&#21738;&#35041;_v1.0.xlsx" TargetMode="External"/><Relationship Id="rId5" Type="http://schemas.openxmlformats.org/officeDocument/2006/relationships/hyperlink" Target="VMH-EcoMap-1P_&#22821;&#20276;&#29256;_&#25105;&#22312;&#36889;&#24373;&#34253;&#22294;&#30340;&#21738;&#35041;_v1.0.xlsx" TargetMode="External"/><Relationship Id="rId6" Type="http://schemas.openxmlformats.org/officeDocument/2006/relationships/hyperlink" Target="VMH-EcoMap-1P_&#22821;&#20276;&#29256;_&#25105;&#22312;&#36889;&#24373;&#34253;&#22294;&#30340;&#21738;&#35041;_v1.0.xlsx" TargetMode="External"/><Relationship Id="rId7" Type="http://schemas.openxmlformats.org/officeDocument/2006/relationships/hyperlink" Target="VMH-EcoMap-1P_&#22821;&#20276;&#29256;_&#25105;&#22312;&#36889;&#24373;&#34253;&#22294;&#30340;&#21738;&#35041;_v1.0.xlsx" TargetMode="External"/><Relationship Id="rId8" Type="http://schemas.openxmlformats.org/officeDocument/2006/relationships/hyperlink" Target="VMH-EcoMap-1P_&#22821;&#20276;&#29256;_&#25105;&#22312;&#36889;&#24373;&#34253;&#22294;&#30340;&#21738;&#35041;_v1.0.xlsx" TargetMode="External"/><Relationship Id="rId9" Type="http://schemas.openxmlformats.org/officeDocument/2006/relationships/hyperlink" Target="VMH-EcoMap-1P_&#22821;&#20276;&#29256;_&#25105;&#22312;&#36889;&#24373;&#34253;&#22294;&#30340;&#21738;&#35041;_v1.0.xlsx" TargetMode="External"/><Relationship Id="rId10" Type="http://schemas.openxmlformats.org/officeDocument/2006/relationships/hyperlink" Target="VMH-EcoMap-1P_&#22821;&#20276;&#29256;_&#25105;&#22312;&#36889;&#24373;&#34253;&#22294;&#30340;&#21738;&#35041;_v1.0.xlsx" TargetMode="External"/><Relationship Id="rId11" Type="http://schemas.openxmlformats.org/officeDocument/2006/relationships/hyperlink" Target="VMH-EcoMap-1P_&#22821;&#20276;&#29256;_&#25105;&#22312;&#36889;&#24373;&#34253;&#22294;&#30340;&#21738;&#35041;_v1.0.xlsx" TargetMode="External"/><Relationship Id="rId12" Type="http://schemas.openxmlformats.org/officeDocument/2006/relationships/hyperlink" Target="VMH-EcoMap-1P_&#22821;&#20276;&#29256;_&#25105;&#22312;&#36889;&#24373;&#34253;&#22294;&#30340;&#21738;&#35041;_v1.0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<Relationship Id="rId2" Type="http://schemas.openxmlformats.org/officeDocument/2006/relationships/hyperlink" Target="VMH-EcoMap-1P_&#22821;&#20276;&#29256;_&#25105;&#22312;&#36889;&#24373;&#34253;&#22294;&#30340;&#21738;&#35041;_v1.0.xlsx" TargetMode="External"/><Relationship Id="rId3" Type="http://schemas.openxmlformats.org/officeDocument/2006/relationships/hyperlink" Target="VMH-EcoMap-1P_&#22821;&#20276;&#29256;_&#25105;&#22312;&#36889;&#24373;&#34253;&#22294;&#30340;&#21738;&#35041;_v1.0.xlsx" TargetMode="External"/><Relationship Id="rId4" Type="http://schemas.openxmlformats.org/officeDocument/2006/relationships/hyperlink" Target="VMH-EcoMap-1P_&#22821;&#20276;&#29256;_&#25105;&#22312;&#36889;&#24373;&#34253;&#22294;&#30340;&#21738;&#35041;_v1.0.xlsx" TargetMode="External"/><Relationship Id="rId5" Type="http://schemas.openxmlformats.org/officeDocument/2006/relationships/hyperlink" Target="VMH-EcoMap-1P_&#22821;&#20276;&#29256;_&#25105;&#22312;&#36889;&#24373;&#34253;&#22294;&#30340;&#21738;&#35041;_v1.0.xlsx" TargetMode="External"/><Relationship Id="rId6" Type="http://schemas.openxmlformats.org/officeDocument/2006/relationships/hyperlink" Target="VMH-EcoMap-1P_&#22821;&#20276;&#29256;_&#25105;&#22312;&#36889;&#24373;&#34253;&#22294;&#30340;&#21738;&#35041;_v1.0.xlsx" TargetMode="External"/><Relationship Id="rId7" Type="http://schemas.openxmlformats.org/officeDocument/2006/relationships/hyperlink" Target="VMH-EcoMap-1P_&#22821;&#20276;&#29256;_&#25105;&#22312;&#36889;&#24373;&#34253;&#22294;&#30340;&#21738;&#35041;_v1.0.xlsx" TargetMode="External"/><Relationship Id="rId8" Type="http://schemas.openxmlformats.org/officeDocument/2006/relationships/hyperlink" Target="VMH-EcoMap-1P_&#22821;&#20276;&#29256;_&#25105;&#22312;&#36889;&#24373;&#34253;&#22294;&#30340;&#21738;&#35041;_v1.0.xlsx" TargetMode="External"/><Relationship Id="rId9" Type="http://schemas.openxmlformats.org/officeDocument/2006/relationships/hyperlink" Target="VMH-EcoMap-1P_&#22821;&#20276;&#29256;_&#25105;&#22312;&#36889;&#24373;&#34253;&#22294;&#30340;&#21738;&#35041;_v1.0.xlsx" TargetMode="External"/><Relationship Id="rId10" Type="http://schemas.openxmlformats.org/officeDocument/2006/relationships/hyperlink" Target="VMH-EcoMap-1P_&#22821;&#20276;&#29256;_&#25105;&#22312;&#36889;&#24373;&#34253;&#22294;&#30340;&#21738;&#35041;_v1.0.xlsx" TargetMode="External"/><Relationship Id="rId11" Type="http://schemas.openxmlformats.org/officeDocument/2006/relationships/hyperlink" Target="VMH-EcoMap-1P_&#22821;&#20276;&#29256;_&#25105;&#22312;&#36889;&#24373;&#34253;&#22294;&#30340;&#21738;&#35041;_v1.0.xlsx" TargetMode="External"/><Relationship Id="rId12" Type="http://schemas.openxmlformats.org/officeDocument/2006/relationships/hyperlink" Target="VMH-EcoMap-1P_&#22821;&#20276;&#29256;_&#25105;&#22312;&#36889;&#24373;&#34253;&#22294;&#30340;&#21738;&#35041;_v1.0.xlsx" TargetMode="External"/><Relationship Id="rId13" Type="http://schemas.openxmlformats.org/officeDocument/2006/relationships/hyperlink" Target="VMH-EcoMap-1P_&#22821;&#20276;&#29256;_&#25105;&#22312;&#36889;&#24373;&#34253;&#22294;&#30340;&#21738;&#35041;_v1.0.xlsx" TargetMode="External"/><Relationship Id="rId14" Type="http://schemas.openxmlformats.org/officeDocument/2006/relationships/hyperlink" Target="VMH-EcoMap-1P_&#22821;&#20276;&#29256;_&#25105;&#22312;&#36889;&#24373;&#34253;&#22294;&#30340;&#21738;&#35041;_v1.0.xlsx" TargetMode="External"/><Relationship Id="rId15" Type="http://schemas.openxmlformats.org/officeDocument/2006/relationships/hyperlink" Target="VMH-EcoMap-1P_&#22821;&#20276;&#29256;_&#25105;&#22312;&#36889;&#24373;&#34253;&#22294;&#30340;&#21738;&#35041;_v1.0.xlsx" TargetMode="External"/><Relationship Id="rId16" Type="http://schemas.openxmlformats.org/officeDocument/2006/relationships/hyperlink" Target="VMH-EcoMap-1P_&#22821;&#20276;&#29256;_&#25105;&#22312;&#36889;&#24373;&#34253;&#22294;&#30340;&#21738;&#35041;_v1.0.xlsx" TargetMode="External"/><Relationship Id="rId17" Type="http://schemas.openxmlformats.org/officeDocument/2006/relationships/hyperlink" Target="VMH-EcoMap-1P_&#22821;&#20276;&#29256;_&#25105;&#22312;&#36889;&#24373;&#34253;&#22294;&#30340;&#21738;&#35041;_v1.0.xlsx" TargetMode="External"/><Relationship Id="rId18" Type="http://schemas.openxmlformats.org/officeDocument/2006/relationships/hyperlink" Target="VMH-EcoMap-1P_&#22821;&#20276;&#29256;_&#25105;&#22312;&#36889;&#24373;&#34253;&#22294;&#30340;&#21738;&#35041;_v1.0.xlsx" TargetMode="External"/><Relationship Id="rId19" Type="http://schemas.openxmlformats.org/officeDocument/2006/relationships/hyperlink" Target="VMH-EcoMap-1P_&#22821;&#20276;&#29256;_&#25105;&#22312;&#36889;&#24373;&#34253;&#22294;&#30340;&#21738;&#35041;_v1.0.xlsx" TargetMode="External"/><Relationship Id="rId20" Type="http://schemas.openxmlformats.org/officeDocument/2006/relationships/hyperlink" Target="VMH-EcoMap-1P_&#22821;&#20276;&#29256;_&#25105;&#22312;&#36889;&#24373;&#34253;&#22294;&#30340;&#21738;&#35041;_v1.0.xlsx" TargetMode="External"/><Relationship Id="rId21" Type="http://schemas.openxmlformats.org/officeDocument/2006/relationships/hyperlink" Target="VMH-EcoMap-1P_&#22821;&#20276;&#29256;_&#25105;&#22312;&#36889;&#24373;&#34253;&#22294;&#30340;&#21738;&#35041;_v1.0.xlsx" TargetMode="External"/><Relationship Id="rId22" Type="http://schemas.openxmlformats.org/officeDocument/2006/relationships/hyperlink" Target="VMH-EcoMap-1P_&#22821;&#20276;&#29256;_&#25105;&#22312;&#36889;&#24373;&#34253;&#22294;&#30340;&#21738;&#35041;_v1.0.xlsx" TargetMode="External"/><Relationship Id="rId23" Type="http://schemas.openxmlformats.org/officeDocument/2006/relationships/hyperlink" Target="VMH-EcoMap-1P_&#22821;&#20276;&#29256;_&#25105;&#22312;&#36889;&#24373;&#34253;&#22294;&#30340;&#21738;&#35041;_v1.0.xlsx" TargetMode="External"/><Relationship Id="rId24" Type="http://schemas.openxmlformats.org/officeDocument/2006/relationships/hyperlink" Target="VMH-EcoMap-1P_&#22821;&#20276;&#29256;_&#25105;&#22312;&#36889;&#24373;&#34253;&#22294;&#30340;&#21738;&#35041;_v1.0.xlsx" TargetMode="External"/><Relationship Id="rId25" Type="http://schemas.openxmlformats.org/officeDocument/2006/relationships/hyperlink" Target="VMH-EcoMap-1P_&#22821;&#20276;&#29256;_&#25105;&#22312;&#36889;&#24373;&#34253;&#22294;&#30340;&#21738;&#35041;_v1.0.xlsx" TargetMode="External"/><Relationship Id="rId26" Type="http://schemas.openxmlformats.org/officeDocument/2006/relationships/hyperlink" Target="VMH-EcoMap-1P_&#22821;&#20276;&#29256;_&#25105;&#22312;&#36889;&#24373;&#34253;&#22294;&#30340;&#21738;&#35041;_v1.0.xlsx" TargetMode="External"/><Relationship Id="rId27" Type="http://schemas.openxmlformats.org/officeDocument/2006/relationships/hyperlink" Target="VMH-EcoMap-1P_&#22821;&#20276;&#29256;_&#25105;&#22312;&#36889;&#24373;&#34253;&#22294;&#30340;&#21738;&#35041;_v1.0.xlsx" TargetMode="External"/><Relationship Id="rId28" Type="http://schemas.openxmlformats.org/officeDocument/2006/relationships/hyperlink" Target="VMH-EcoMap-1P_&#22821;&#20276;&#29256;_&#25105;&#22312;&#36889;&#24373;&#34253;&#22294;&#30340;&#21738;&#35041;_v1.0.xlsx" TargetMode="External"/><Relationship Id="rId29" Type="http://schemas.openxmlformats.org/officeDocument/2006/relationships/hyperlink" Target="VMH-EcoMap-1P_&#22821;&#20276;&#29256;_&#25105;&#22312;&#36889;&#24373;&#34253;&#22294;&#30340;&#21738;&#35041;_v1.0.xlsx" TargetMode="External"/><Relationship Id="rId30" Type="http://schemas.openxmlformats.org/officeDocument/2006/relationships/hyperlink" Target="VMH-EcoMap-1P_&#22821;&#20276;&#29256;_&#25105;&#22312;&#36889;&#24373;&#34253;&#22294;&#30340;&#21738;&#35041;_v1.0.xlsx" TargetMode="External"/><Relationship Id="rId31" Type="http://schemas.openxmlformats.org/officeDocument/2006/relationships/hyperlink" Target="VMH-EcoMap-1P_&#22821;&#20276;&#29256;_&#25105;&#22312;&#36889;&#24373;&#34253;&#22294;&#30340;&#21738;&#35041;_v1.0.xlsx" TargetMode="External"/><Relationship Id="rId32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<Relationship Id="rId2" Type="http://schemas.openxmlformats.org/officeDocument/2006/relationships/drawing" Target="../drawings/drawing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<Relationship Id="rId2" Type="http://schemas.openxmlformats.org/officeDocument/2006/relationships/drawing" Target="../drawings/drawing5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<Relationship Id="rId2" Type="http://schemas.openxmlformats.org/officeDocument/2006/relationships/drawing" Target="../drawings/drawing6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<Relationship Id="rId2" Type="http://schemas.openxmlformats.org/officeDocument/2006/relationships/drawing" Target="../drawings/drawing7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<Relationship Id="rId2" Type="http://schemas.openxmlformats.org/officeDocument/2006/relationships/drawing" Target="../drawings/drawing8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<Relationship Id="rId2" Type="http://schemas.openxmlformats.org/officeDocument/2006/relationships/drawing" Target="../drawings/drawing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<Relationship Id="rId2" Type="http://schemas.openxmlformats.org/officeDocument/2006/relationships/drawing" Target="../drawings/drawing1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hyperlink" Target="https://www.trade.gov/country-commercial-guides/vietnam-healthcare" TargetMode="External"/><Relationship Id="rId2" Type="http://schemas.openxmlformats.org/officeDocument/2006/relationships/hyperlink" Target="https://en.vietnamplus.vn/master-plan-on-healthcare-network-by-2050-approved/280091.vnp" TargetMode="External"/><Relationship Id="rId3" Type="http://schemas.openxmlformats.org/officeDocument/2006/relationships/hyperlink" Target="https://www.dfdl.com/insights/legal-and-tax-updates/legal-update-on-amendments-and-supplements-to-the-decree-detailing-and-guiding-the-implementation-of-the-law-on-investment-in-the-form-of-public-private-partnership/" TargetMode="External"/><Relationship Id="rId4" Type="http://schemas.openxmlformats.org/officeDocument/2006/relationships/hyperlink" Target="https://www.allenandgledhill.com/publication/articles/29956/introduces-simplified-processes-and-expands-investment-opportunities" TargetMode="External"/><Relationship Id="rId5" Type="http://schemas.openxmlformats.org/officeDocument/2006/relationships/hyperlink" Target="https://en.vietnamplus.vn/vietnam-embraces-ppp-to-transform-healthcare-services-post292306.vnp" TargetMode="External"/><Relationship Id="rId6" Type="http://schemas.openxmlformats.org/officeDocument/2006/relationships/hyperlink" Target="https://www.health365.sg/thomson-medical-acquires-fv-hospital/" TargetMode="External"/><Relationship Id="rId7" Type="http://schemas.openxmlformats.org/officeDocument/2006/relationships/hyperlink" Target="https://vietanlaw.com/conditions-for-establishing-a-foreign-invested-hospital-in-vietnam/" TargetMode="External"/><Relationship Id="rId8" Type="http://schemas.openxmlformats.org/officeDocument/2006/relationships/hyperlink" Target="https://vietnamnet.vn/en/hospital-projects-to-resume-after-years-of-delay-pm-pledges-full-support-2404326.html" TargetMode="External"/><Relationship Id="rId9" Type="http://schemas.openxmlformats.org/officeDocument/2006/relationships/hyperlink" Target="https://globalreferral.group/hospital-construction-standards-in-2025-a-comprehensive-guide-for-investors/" TargetMode="External"/><Relationship Id="rId10" Type="http://schemas.openxmlformats.org/officeDocument/2006/relationships/hyperlink" Target="https://blogs.duanemorris.com/vietnam/2025/08/27/vietnam-decree-58-on-development-of-renewable-energy-power-mechanisms-and-policies-for-self-production-and-self-consumption-rooftop-solar-power-systems/" TargetMode="External"/><Relationship Id="rId11" Type="http://schemas.openxmlformats.org/officeDocument/2006/relationships/hyperlink" Target="https://www.thema-med.com/en/2025/06/16/vietnam-end-of-derogations-for-import-licences-as-of-july-1-2025/" TargetMode="External"/><Relationship Id="rId12" Type="http://schemas.openxmlformats.org/officeDocument/2006/relationships/hyperlink" Target="https://eurochamvn.org/vietnam-passes-new-law-on-tender-an-advocacy-success-for-the-eurocham-medical-devices-and-diagnostics-sector-committee/" TargetMode="External"/><Relationship Id="rId13" Type="http://schemas.openxmlformats.org/officeDocument/2006/relationships/hyperlink" Target="https://ascopubs.org/doi/10.1200/GO-24-00530" TargetMode="External"/><Relationship Id="rId14" Type="http://schemas.openxmlformats.org/officeDocument/2006/relationships/hyperlink" Target="https://pmc.ncbi.nlm.nih.gov/articles/PMC8815609/" TargetMode="External"/><Relationship Id="rId15" Type="http://schemas.openxmlformats.org/officeDocument/2006/relationships/hyperlink" Target="https://vietnamnews.vn/society/1716334/infertility-treatment-challenges-and-opportunities.html" TargetMode="External"/><Relationship Id="rId16" Type="http://schemas.openxmlformats.org/officeDocument/2006/relationships/hyperlink" Target="https://thuvienphapluat.vn/van-ban/EN/Cong-nghe-thong-tin/Circular-13-2025-TT-BYT-providing-guidance-on-adoption-of-electronic-medical-records/662324/tieng-anh.aspx" TargetMode="External"/><Relationship Id="rId17" Type="http://schemas.openxmlformats.org/officeDocument/2006/relationships/hyperlink" Target="https://www.vietnamplus.vn/tien-do-trien-khai-benh-an-dien-tu-tren-toan-quoc-van-chua-dat-yeu-cau-post1068289.vnp" TargetMode="External"/><Relationship Id="rId18" Type="http://schemas.openxmlformats.org/officeDocument/2006/relationships/hyperlink" Target="https://thuvienphapluat.vn/chinh-sach-phap-luat-moi/vn/ho-tro-phap-luat/chinh-sach-moi/89231/tu-01-10-2025-tat-ca-cac-benh-vien-bat-buoc-ke-don-thuoc-dien-tu" TargetMode="External"/><Relationship Id="rId19" Type="http://schemas.openxmlformats.org/officeDocument/2006/relationships/hyperlink" Target="https://www.tilleke.com/insights/vietnams-new-personal-data-protection-law-a-closer-look/" TargetMode="External"/><Relationship Id="rId20" Type="http://schemas.openxmlformats.org/officeDocument/2006/relationships/hyperlink" Target="https://kpmg.com/vn/en/insights/2024/12/vietnam-enacts-its-first-ever-data-law.html" TargetMode="External"/><Relationship Id="rId21" Type="http://schemas.openxmlformats.org/officeDocument/2006/relationships/hyperlink" Target="https://www.trade.gov/market-intelligence/vietnam-data-centers" TargetMode="External"/><Relationship Id="rId22" Type="http://schemas.openxmlformats.org/officeDocument/2006/relationships/hyperlink" Target="https://baochinhphu.vn/lien-thong-so-suc-khoe-dien-tu-toi-tat-ca-co-so-kham-chua-benh-trong-nam-2025-102250720150929958.htm" TargetMode="External"/><Relationship Id="rId23" Type="http://schemas.openxmlformats.org/officeDocument/2006/relationships/hyperlink" Target="https://healthtechasia.co/vietnam-allows-vneid-electronic-health-records-to-replace-paper-medical-files/" TargetMode="External"/><Relationship Id="rId24" Type="http://schemas.openxmlformats.org/officeDocument/2006/relationships/hyperlink" Target="https://www.ghspjournal.org/content/12/3/e2400024" TargetMode="External"/><Relationship Id="rId25" Type="http://schemas.openxmlformats.org/officeDocument/2006/relationships/hyperlink" Target="https://www.malaymail.com/news/money/mediaoutreach/2024/02/29/vinbrain-and-global-fund-continue-joining-forces-to-tackle-vietnams-tuberculosis-challenge-through-ai-in-2024/280779" TargetMode="External"/><Relationship Id="rId26" Type="http://schemas.openxmlformats.org/officeDocument/2006/relationships/hyperlink" Target="https://www.dfdl.com/insights/legal-and-tax-updates/vietnam-landmark-law-on-digital-technology-industry-new-frameworks-for-ai-digital-assets/" TargetMode="External"/><Relationship Id="rId27" Type="http://schemas.openxmlformats.org/officeDocument/2006/relationships/hyperlink" Target="https://iapp.org/news/a/vietnam-s-draft-ai-law-racing-toward-regulation-with-eu-inspirations" TargetMode="External"/><Relationship Id="rId28" Type="http://schemas.openxmlformats.org/officeDocument/2006/relationships/hyperlink" Target="https://global.ecovis.com/telemedicine-in-vietnam-regulations-and-their-impact-on-healthcare-service-providers/" TargetMode="External"/><Relationship Id="rId29" Type="http://schemas.openxmlformats.org/officeDocument/2006/relationships/hyperlink" Target="https://www.vietnam.vn/en/bo-y-te-thua-nhan-bo-tieu-chuan-chat-luong-quoc-te-cua-jci" TargetMode="External"/><Relationship Id="rId30" Type="http://schemas.openxmlformats.org/officeDocument/2006/relationships/hyperlink" Target="https://vnexpress.net/benh-vien-cong-dau-tien-dat-chuan-quoc-te-jci-4842164.html" TargetMode="External"/><Relationship Id="rId31" Type="http://schemas.openxmlformats.org/officeDocument/2006/relationships/hyperlink" Target="https://www.boa.gov.vn/en/vilas-med" TargetMode="External"/><Relationship Id="rId32" Type="http://schemas.openxmlformats.org/officeDocument/2006/relationships/hyperlink" Target="https://www.clearhq.org/news/vietname-to-establish-licensure-examination-for-health-professionals-6-25-25" TargetMode="External"/><Relationship Id="rId33" Type="http://schemas.openxmlformats.org/officeDocument/2006/relationships/hyperlink" Target="https://www.vietnam.vn/en/bao-phu-bao-hiem-y-te-diem-sang-noi-bat-trong-thuc-hien-nghi-quyet-dai-hoi-xiii-cua-dang" TargetMode="External"/><Relationship Id="rId34" Type="http://schemas.openxmlformats.org/officeDocument/2006/relationships/hyperlink" Target="https://www.peah.it/2026/05/healthcare-provider-payment-reform-in-vietnam-current-policy-directions-and-potential-solutions/" TargetMode="External"/><Relationship Id="rId35" Type="http://schemas.openxmlformats.org/officeDocument/2006/relationships/hyperlink" Target="https://vietnamnet.vn/en/cashless-payment-navigates-vietnam-s-hospitals-2505946.html" TargetMode="External"/><Relationship Id="rId36" Type="http://schemas.openxmlformats.org/officeDocument/2006/relationships/hyperlink" Target="https://dtinews.dantri.com.vn/lifestyle/vietnam-targets-750000-medical-tourists-by-2030-20260812071810418.htm" TargetMode="External"/><Relationship Id="rId37" Type="http://schemas.openxmlformats.org/officeDocument/2006/relationships/hyperlink" Target="https://www.vietnam.vn/en/ly-do-moi-nam-40-000-nguoi-viet-co-thu-nhap-cao-ra-nuoc-ngoai-kham-chua-benh" TargetMode="External"/><Relationship Id="rId38" Type="http://schemas.openxmlformats.org/officeDocument/2006/relationships/hyperlink" Target="https://www.imarcgroup.com/vietnam-health-insurance-market" TargetMode="External"/><Relationship Id="rId39" Type="http://schemas.openxmlformats.org/officeDocument/2006/relationships/hyperlink" Target="https://e.vnexpress.net/news/news/vietnam-aims-for-15-doctors-per-10-000-people-4716651.html" TargetMode="External"/><Relationship Id="rId40" Type="http://schemas.openxmlformats.org/officeDocument/2006/relationships/hyperlink" Target="https://www.techsciresearch.com/news/8597-vietnam-cold-chain-logistics-market.html" TargetMode="External"/><Relationship Id="rId41" Type="http://schemas.openxmlformats.org/officeDocument/2006/relationships/hyperlink" Target="https://www.kenresearch.com/vietnam-facility-management-outsourcing-market" TargetMode="External"/><Relationship Id="rId42" Type="http://schemas.openxmlformats.org/officeDocument/2006/relationships/hyperlink" Target="https://pmc.ncbi.nlm.nih.gov/articles/PMC9589545/" TargetMode="External"/><Relationship Id="rId43" Type="http://schemas.openxmlformats.org/officeDocument/2006/relationships/hyperlink" Target="https://vietnam.unfpa.org/en/news/population-ageing-viet-nam-demographic-transition-development-opportunity" TargetMode="External"/><Relationship Id="rId44" Type="http://schemas.openxmlformats.org/officeDocument/2006/relationships/hyperlink" Target="https://www.databridgemarketresearch.com/reports/vietnam-interventional-cardiology-market" TargetMode="External"/><Relationship Id="rId45" Type="http://schemas.openxmlformats.org/officeDocument/2006/relationships/hyperlink" Target="https://www.imarcgroup.com/vietnam-digital-health-market" TargetMode="Externa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hyperlink" Target="VMH-EcoMap-1P_&#22821;&#20276;&#29256;_&#25105;&#22312;&#36889;&#24373;&#34253;&#22294;&#30340;&#21738;&#35041;_v1.0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22"/>
    <col collapsed="false" customWidth="true" hidden="false" outlineLevel="0" max="5" min="5" style="0" width="26"/>
    <col collapsed="false" customWidth="true" hidden="true" outlineLevel="0" max="21" min="16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P1" s="2" t="s">
        <v>1</v>
      </c>
      <c r="R1" s="3" t="s">
        <v>2</v>
      </c>
      <c r="S1" s="3" t="s">
        <v>3</v>
      </c>
      <c r="T1" s="3" t="s">
        <v>4</v>
      </c>
      <c r="U1" s="3" t="s">
        <v>5</v>
      </c>
    </row>
    <row r="2" customFormat="false" ht="25.5" hidden="false" customHeight="true" outlineLevel="0" collapsed="false">
      <c r="A2" s="4" t="s">
        <v>6</v>
      </c>
      <c r="B2" s="4"/>
      <c r="C2" s="4"/>
      <c r="D2" s="4"/>
      <c r="E2" s="4"/>
      <c r="P2" s="3" t="s">
        <v>7</v>
      </c>
      <c r="R2" s="2" t="s">
        <v>8</v>
      </c>
      <c r="S2" s="3" t="s">
        <v>9</v>
      </c>
      <c r="T2" s="3" t="s">
        <v>10</v>
      </c>
      <c r="U2" s="3" t="s">
        <v>11</v>
      </c>
    </row>
    <row r="3" customFormat="false" ht="17.15" hidden="false" customHeight="false" outlineLevel="0" collapsed="false">
      <c r="A3" s="5" t="s">
        <v>12</v>
      </c>
      <c r="P3" s="3" t="s">
        <v>13</v>
      </c>
      <c r="R3" s="2" t="s">
        <v>8</v>
      </c>
      <c r="S3" s="3" t="s">
        <v>14</v>
      </c>
      <c r="T3" s="3" t="s">
        <v>10</v>
      </c>
      <c r="U3" s="3" t="s">
        <v>15</v>
      </c>
    </row>
    <row r="4" customFormat="false" ht="25.5" hidden="false" customHeight="true" outlineLevel="0" collapsed="false">
      <c r="A4" s="6" t="s">
        <v>16</v>
      </c>
      <c r="B4" s="7" t="s">
        <v>17</v>
      </c>
      <c r="C4" s="7"/>
      <c r="D4" s="8" t="s">
        <v>18</v>
      </c>
      <c r="E4" s="8"/>
      <c r="P4" s="3" t="s">
        <v>19</v>
      </c>
      <c r="R4" s="2" t="s">
        <v>20</v>
      </c>
      <c r="S4" s="3" t="s">
        <v>21</v>
      </c>
      <c r="T4" s="3" t="s">
        <v>22</v>
      </c>
      <c r="U4" s="3" t="s">
        <v>23</v>
      </c>
    </row>
    <row r="5" customFormat="false" ht="17.15" hidden="false" customHeight="false" outlineLevel="0" collapsed="false">
      <c r="P5" s="3" t="s">
        <v>24</v>
      </c>
      <c r="R5" s="0" t="s">
        <v>25</v>
      </c>
      <c r="S5" s="3" t="s">
        <v>26</v>
      </c>
      <c r="T5" s="3" t="s">
        <v>10</v>
      </c>
      <c r="U5" s="3" t="s">
        <v>27</v>
      </c>
    </row>
    <row r="6" customFormat="false" ht="27.75" hidden="false" customHeight="true" outlineLevel="0" collapsed="false">
      <c r="A6" s="9" t="s">
        <v>28</v>
      </c>
      <c r="B6" s="9" t="s">
        <v>29</v>
      </c>
      <c r="C6" s="9" t="s">
        <v>30</v>
      </c>
      <c r="D6" s="9" t="s">
        <v>31</v>
      </c>
      <c r="E6" s="9" t="s">
        <v>5</v>
      </c>
      <c r="P6" s="3" t="s">
        <v>32</v>
      </c>
      <c r="R6" s="3" t="s">
        <v>33</v>
      </c>
      <c r="S6" s="3" t="s">
        <v>34</v>
      </c>
      <c r="T6" s="3" t="s">
        <v>10</v>
      </c>
      <c r="U6" s="3" t="s">
        <v>35</v>
      </c>
    </row>
    <row r="7" customFormat="false" ht="61.5" hidden="false" customHeight="true" outlineLevel="0" collapsed="false">
      <c r="A7" s="10" t="s">
        <v>36</v>
      </c>
      <c r="B7" s="11" t="str">
        <f aca="false">IFERROR(INDEX($R$2:$R$200,MATCH($B$4&amp;"-1",$P$2:$P$200,0)),"")</f>
        <v>15_商機字典_OppLibrary</v>
      </c>
      <c r="C7" s="12" t="str">
        <f aca="false">IFERROR(INDEX($S$2:$S$200,MATCH($B$4&amp;"-1",$P$2:$P$200,0)),"")</f>
        <v>先看這 85 門越南醫院市場可以做的生意，分成 A~J 十個族群。只看「在賣什麼／誰付錢／大概多少錢／越南現況」四欄，找跟你本業有關的。</v>
      </c>
      <c r="D7" s="13" t="str">
        <f aca="false">IFERROR(INDEX($T$2:$T$200,MATCH($B$4&amp;"-1",$P$2:$P$200,0)),"")</f>
        <v>不用改任何格子</v>
      </c>
      <c r="E7" s="12" t="str">
        <f aca="false">IFERROR(INDEX($U$2:$U$200,MATCH($B$4&amp;"-1",$P$2:$P$200,0)),"")</f>
        <v>圈出 3–5 個你做得到的商機</v>
      </c>
      <c r="P7" s="3" t="s">
        <v>37</v>
      </c>
      <c r="R7" s="2" t="s">
        <v>38</v>
      </c>
      <c r="S7" s="3" t="s">
        <v>39</v>
      </c>
      <c r="T7" s="3" t="s">
        <v>22</v>
      </c>
      <c r="U7" s="3" t="s">
        <v>40</v>
      </c>
    </row>
    <row r="8" customFormat="false" ht="61.5" hidden="false" customHeight="true" outlineLevel="0" collapsed="false">
      <c r="A8" s="10" t="s">
        <v>41</v>
      </c>
      <c r="B8" s="11" t="str">
        <f aca="false">IFERROR(INDEX($R$2:$R$200,MATCH($B$4&amp;"-2",$P$2:$P$200,0)),"")</f>
        <v>15_商機字典_OppLibrary</v>
      </c>
      <c r="C8" s="12" t="str">
        <f aca="false">IFERROR(INDEX($S$2:$S$200,MATCH($B$4&amp;"-2",$P$2:$P$200,0)),"")</f>
        <v>看 L 欄「★白地商機」——越南有這門生意，但聯盟目前沒有能力接。那是最歡迎你補位的位置。</v>
      </c>
      <c r="D8" s="13" t="str">
        <f aca="false">IFERROR(INDEX($T$2:$T$200,MATCH($B$4&amp;"-2",$P$2:$P$200,0)),"")</f>
        <v>不用改任何格子</v>
      </c>
      <c r="E8" s="12" t="str">
        <f aca="false">IFERROR(INDEX($U$2:$U$200,MATCH($B$4&amp;"-2",$P$2:$P$200,0)),"")</f>
        <v>確認裡面有沒有你的位置</v>
      </c>
      <c r="P8" s="3" t="s">
        <v>42</v>
      </c>
      <c r="R8" s="2" t="s">
        <v>20</v>
      </c>
      <c r="S8" s="3" t="s">
        <v>43</v>
      </c>
      <c r="T8" s="3" t="s">
        <v>22</v>
      </c>
      <c r="U8" s="3" t="s">
        <v>44</v>
      </c>
    </row>
    <row r="9" customFormat="false" ht="61.5" hidden="false" customHeight="true" outlineLevel="0" collapsed="false">
      <c r="A9" s="10" t="s">
        <v>45</v>
      </c>
      <c r="B9" s="11" t="str">
        <f aca="false">IFERROR(INDEX($R$2:$R$200,MATCH($B$4&amp;"-3",$P$2:$P$200,0)),"")</f>
        <v>17_商機作戰卡_OppView</v>
      </c>
      <c r="C9" s="12" t="str">
        <f aca="false">IFERROR(INDEX($S$2:$S$200,MATCH($B$4&amp;"-3",$P$2:$P$200,0)),"")</f>
        <v>在最上面的下拉選單挑一個你圈出來的商機，這一頁會自動組出作戰卡：需要哪些能力、誰在做、還缺什麼、對手是誰。</v>
      </c>
      <c r="D9" s="13" t="str">
        <f aca="false">IFERROR(INDEX($T$2:$T$200,MATCH($B$4&amp;"-3",$P$2:$P$200,0)),"")</f>
        <v>只改下拉那一格</v>
      </c>
      <c r="E9" s="12" t="str">
        <f aca="false">IFERROR(INDEX($U$2:$U$200,MATCH($B$4&amp;"-3",$P$2:$P$200,0)),"")</f>
        <v>知道你要補的是哪一塊</v>
      </c>
      <c r="P9" s="3" t="s">
        <v>46</v>
      </c>
      <c r="R9" s="2" t="s">
        <v>25</v>
      </c>
      <c r="S9" s="3" t="s">
        <v>47</v>
      </c>
      <c r="T9" s="3" t="s">
        <v>10</v>
      </c>
      <c r="U9" s="3" t="s">
        <v>48</v>
      </c>
    </row>
    <row r="10" customFormat="false" ht="61.5" hidden="false" customHeight="true" outlineLevel="0" collapsed="false">
      <c r="A10" s="10" t="s">
        <v>49</v>
      </c>
      <c r="B10" s="11" t="str">
        <f aca="false">IFERROR(INDEX($R$2:$R$200,MATCH($B$4&amp;"-4",$P$2:$P$200,0)),"")</f>
        <v>11_缺口招募_GapRFI</v>
      </c>
      <c r="C10" s="12" t="str">
        <f aca="false">IFERROR(INDEX($S$2:$S$200,MATCH($B$4&amp;"-4",$P$2:$P$200,0)),"")</f>
        <v>看紅底的那幾列——那是「牽動 ≥3 個商機」的缺口，補一個能同時解鎖好幾門生意，聯盟最急著找人。</v>
      </c>
      <c r="D10" s="13" t="str">
        <f aca="false">IFERROR(INDEX($T$2:$T$200,MATCH($B$4&amp;"-4",$P$2:$P$200,0)),"")</f>
        <v>不用改任何格子</v>
      </c>
      <c r="E10" s="12" t="str">
        <f aca="false">IFERROR(INDEX($U$2:$U$200,MATCH($B$4&amp;"-4",$P$2:$P$200,0)),"")</f>
        <v>選出你要認領的缺口</v>
      </c>
      <c r="P10" s="3" t="s">
        <v>50</v>
      </c>
      <c r="R10" s="2" t="s">
        <v>8</v>
      </c>
      <c r="S10" s="3" t="s">
        <v>51</v>
      </c>
      <c r="T10" s="3" t="s">
        <v>10</v>
      </c>
      <c r="U10" s="3" t="s">
        <v>52</v>
      </c>
    </row>
    <row r="11" customFormat="false" ht="61.5" hidden="false" customHeight="true" outlineLevel="0" collapsed="false">
      <c r="A11" s="10" t="s">
        <v>53</v>
      </c>
      <c r="B11" s="11" t="str">
        <f aca="false">IFERROR(INDEX($R$2:$R$200,MATCH($B$4&amp;"-5",$P$2:$P$200,0)),"")</f>
        <v>（回報給 PI，不用動這個檔）</v>
      </c>
      <c r="C11" s="12" t="str">
        <f aca="false">IFERROR(INDEX($S$2:$S$200,MATCH($B$4&amp;"-5",$P$2:$P$200,0)),"")</f>
        <v>把你能做的商機與想認領的缺口，填進 VMH-EcoMap-3 夥伴提案回覆表交回來。這個主檔由 PI 統一維護。</v>
      </c>
      <c r="D11" s="13" t="str">
        <f aca="false">IFERROR(INDEX($T$2:$T$200,MATCH($B$4&amp;"-5",$P$2:$P$200,0)),"")</f>
        <v>不用改任何格子</v>
      </c>
      <c r="E11" s="12" t="str">
        <f aca="false">IFERROR(INDEX($U$2:$U$200,MATCH($B$4&amp;"-5",$P$2:$P$200,0)),"")</f>
        <v>提案回覆表已寄出</v>
      </c>
      <c r="P11" s="3" t="s">
        <v>54</v>
      </c>
      <c r="R11" s="3" t="s">
        <v>33</v>
      </c>
      <c r="S11" s="3" t="s">
        <v>55</v>
      </c>
      <c r="T11" s="3" t="s">
        <v>10</v>
      </c>
      <c r="U11" s="3" t="s">
        <v>56</v>
      </c>
    </row>
    <row r="12" customFormat="false" ht="17.15" hidden="false" customHeight="false" outlineLevel="0" collapsed="false">
      <c r="P12" s="3" t="s">
        <v>57</v>
      </c>
      <c r="R12" s="3" t="s">
        <v>58</v>
      </c>
      <c r="S12" s="3" t="s">
        <v>59</v>
      </c>
      <c r="T12" s="3" t="s">
        <v>10</v>
      </c>
      <c r="U12" s="3" t="s">
        <v>60</v>
      </c>
    </row>
    <row r="13" customFormat="false" ht="17.15" hidden="false" customHeight="false" outlineLevel="0" collapsed="false">
      <c r="A13" s="14" t="s">
        <v>61</v>
      </c>
      <c r="P13" s="3" t="s">
        <v>62</v>
      </c>
      <c r="R13" s="3" t="s">
        <v>58</v>
      </c>
      <c r="S13" s="3" t="s">
        <v>63</v>
      </c>
      <c r="T13" s="3" t="s">
        <v>10</v>
      </c>
      <c r="U13" s="3" t="s">
        <v>64</v>
      </c>
    </row>
    <row r="14" customFormat="false" ht="30" hidden="false" customHeight="true" outlineLevel="0" collapsed="false">
      <c r="A14" s="15" t="s">
        <v>65</v>
      </c>
      <c r="B14" s="12" t="s">
        <v>66</v>
      </c>
      <c r="C14" s="12"/>
      <c r="D14" s="12"/>
      <c r="E14" s="12"/>
      <c r="P14" s="3" t="s">
        <v>67</v>
      </c>
      <c r="R14" s="2" t="s">
        <v>68</v>
      </c>
      <c r="S14" s="2" t="s">
        <v>69</v>
      </c>
      <c r="T14" s="3" t="s">
        <v>70</v>
      </c>
      <c r="U14" s="3" t="s">
        <v>71</v>
      </c>
    </row>
    <row r="15" customFormat="false" ht="30" hidden="false" customHeight="true" outlineLevel="0" collapsed="false">
      <c r="A15" s="15" t="s">
        <v>72</v>
      </c>
      <c r="B15" s="12" t="s">
        <v>73</v>
      </c>
      <c r="C15" s="12"/>
      <c r="D15" s="12"/>
      <c r="E15" s="12"/>
      <c r="P15" s="3" t="s">
        <v>74</v>
      </c>
      <c r="R15" s="2" t="s">
        <v>20</v>
      </c>
      <c r="S15" s="3" t="s">
        <v>75</v>
      </c>
      <c r="T15" s="3" t="s">
        <v>22</v>
      </c>
      <c r="U15" s="3" t="s">
        <v>76</v>
      </c>
    </row>
    <row r="16" customFormat="false" ht="30" hidden="false" customHeight="true" outlineLevel="0" collapsed="false">
      <c r="A16" s="15" t="s">
        <v>77</v>
      </c>
      <c r="B16" s="16" t="s">
        <v>78</v>
      </c>
      <c r="C16" s="16"/>
      <c r="D16" s="16"/>
      <c r="E16" s="16"/>
      <c r="P16" s="3" t="s">
        <v>79</v>
      </c>
      <c r="R16" s="3" t="s">
        <v>80</v>
      </c>
      <c r="S16" s="3" t="s">
        <v>81</v>
      </c>
      <c r="T16" s="3" t="s">
        <v>10</v>
      </c>
      <c r="U16" s="3" t="s">
        <v>82</v>
      </c>
    </row>
    <row r="17" customFormat="false" ht="30" hidden="false" customHeight="true" outlineLevel="0" collapsed="false">
      <c r="A17" s="15" t="s">
        <v>83</v>
      </c>
      <c r="B17" s="12" t="s">
        <v>84</v>
      </c>
      <c r="C17" s="12"/>
      <c r="D17" s="12"/>
      <c r="E17" s="12"/>
      <c r="P17" s="2" t="s">
        <v>85</v>
      </c>
      <c r="R17" s="2" t="s">
        <v>86</v>
      </c>
      <c r="S17" s="3" t="s">
        <v>87</v>
      </c>
      <c r="T17" s="3" t="s">
        <v>10</v>
      </c>
      <c r="U17" s="3" t="s">
        <v>88</v>
      </c>
    </row>
    <row r="18" customFormat="false" ht="30" hidden="false" customHeight="true" outlineLevel="0" collapsed="false">
      <c r="A18" s="15" t="s">
        <v>89</v>
      </c>
      <c r="B18" s="12" t="s">
        <v>90</v>
      </c>
      <c r="C18" s="12"/>
      <c r="D18" s="12"/>
      <c r="E18" s="12"/>
      <c r="P18" s="2" t="s">
        <v>91</v>
      </c>
      <c r="R18" s="2" t="s">
        <v>92</v>
      </c>
      <c r="S18" s="3" t="s">
        <v>93</v>
      </c>
      <c r="T18" s="3" t="s">
        <v>10</v>
      </c>
      <c r="U18" s="3" t="s">
        <v>94</v>
      </c>
    </row>
    <row r="19" customFormat="false" ht="17.15" hidden="false" customHeight="false" outlineLevel="0" collapsed="false">
      <c r="P19" s="0" t="s">
        <v>95</v>
      </c>
      <c r="R19" s="0" t="s">
        <v>96</v>
      </c>
      <c r="S19" s="3" t="s">
        <v>97</v>
      </c>
      <c r="T19" s="3" t="s">
        <v>98</v>
      </c>
      <c r="U19" s="3" t="s">
        <v>99</v>
      </c>
    </row>
    <row r="20" customFormat="false" ht="17.15" hidden="false" customHeight="false" outlineLevel="0" collapsed="false">
      <c r="A20" s="14" t="s">
        <v>100</v>
      </c>
      <c r="P20" s="2" t="s">
        <v>101</v>
      </c>
      <c r="R20" s="2" t="s">
        <v>102</v>
      </c>
      <c r="S20" s="3" t="s">
        <v>103</v>
      </c>
      <c r="T20" s="3" t="s">
        <v>98</v>
      </c>
      <c r="U20" s="3" t="s">
        <v>104</v>
      </c>
    </row>
    <row r="21" customFormat="false" ht="21.75" hidden="false" customHeight="true" outlineLevel="0" collapsed="false">
      <c r="A21" s="17" t="s">
        <v>17</v>
      </c>
      <c r="B21" s="17"/>
      <c r="C21" s="18" t="s">
        <v>105</v>
      </c>
      <c r="D21" s="18"/>
      <c r="E21" s="18"/>
      <c r="P21" s="2" t="s">
        <v>106</v>
      </c>
      <c r="R21" s="2" t="s">
        <v>107</v>
      </c>
      <c r="S21" s="3" t="s">
        <v>108</v>
      </c>
      <c r="T21" s="3" t="s">
        <v>109</v>
      </c>
      <c r="U21" s="3" t="s">
        <v>110</v>
      </c>
    </row>
    <row r="22" customFormat="false" ht="21.75" hidden="false" customHeight="true" outlineLevel="0" collapsed="false">
      <c r="A22" s="17" t="s">
        <v>111</v>
      </c>
      <c r="B22" s="17"/>
      <c r="C22" s="18" t="s">
        <v>112</v>
      </c>
      <c r="D22" s="18"/>
      <c r="E22" s="18"/>
      <c r="P22" s="3" t="s">
        <v>113</v>
      </c>
      <c r="R22" s="2" t="s">
        <v>96</v>
      </c>
      <c r="S22" s="3" t="s">
        <v>114</v>
      </c>
      <c r="T22" s="3" t="s">
        <v>98</v>
      </c>
      <c r="U22" s="3" t="s">
        <v>115</v>
      </c>
    </row>
    <row r="23" customFormat="false" ht="21.75" hidden="false" customHeight="true" outlineLevel="0" collapsed="false">
      <c r="A23" s="17" t="s">
        <v>116</v>
      </c>
      <c r="B23" s="17"/>
      <c r="C23" s="18" t="s">
        <v>117</v>
      </c>
      <c r="D23" s="18"/>
      <c r="E23" s="18"/>
      <c r="P23" s="3" t="s">
        <v>118</v>
      </c>
      <c r="R23" s="2" t="s">
        <v>119</v>
      </c>
      <c r="S23" s="3" t="s">
        <v>120</v>
      </c>
      <c r="T23" s="3" t="s">
        <v>121</v>
      </c>
      <c r="U23" s="3" t="s">
        <v>122</v>
      </c>
    </row>
    <row r="24" customFormat="false" ht="21.75" hidden="false" customHeight="true" outlineLevel="0" collapsed="false">
      <c r="A24" s="19" t="s">
        <v>123</v>
      </c>
      <c r="B24" s="19"/>
      <c r="C24" s="18" t="s">
        <v>124</v>
      </c>
      <c r="D24" s="18"/>
      <c r="E24" s="18"/>
      <c r="P24" s="3" t="s">
        <v>125</v>
      </c>
      <c r="R24" s="2" t="s">
        <v>126</v>
      </c>
      <c r="S24" s="3" t="s">
        <v>127</v>
      </c>
      <c r="T24" s="3" t="s">
        <v>128</v>
      </c>
      <c r="U24" s="3" t="s">
        <v>129</v>
      </c>
    </row>
    <row r="25" customFormat="false" ht="21.75" hidden="false" customHeight="true" outlineLevel="0" collapsed="false">
      <c r="A25" s="17" t="s">
        <v>130</v>
      </c>
      <c r="B25" s="17"/>
      <c r="C25" s="18" t="s">
        <v>131</v>
      </c>
      <c r="D25" s="18"/>
      <c r="E25" s="18"/>
      <c r="P25" s="3" t="s">
        <v>132</v>
      </c>
      <c r="R25" s="2" t="s">
        <v>133</v>
      </c>
      <c r="S25" s="3" t="s">
        <v>134</v>
      </c>
      <c r="T25" s="3" t="s">
        <v>98</v>
      </c>
      <c r="U25" s="3" t="s">
        <v>135</v>
      </c>
    </row>
    <row r="26" customFormat="false" ht="17.15" hidden="false" customHeight="false" outlineLevel="0" collapsed="false">
      <c r="P26" s="3" t="s">
        <v>136</v>
      </c>
      <c r="R26" s="0" t="s">
        <v>137</v>
      </c>
      <c r="S26" s="3" t="s">
        <v>138</v>
      </c>
      <c r="T26" s="3" t="s">
        <v>98</v>
      </c>
      <c r="U26" s="3" t="s">
        <v>139</v>
      </c>
    </row>
    <row r="27" customFormat="false" ht="30" hidden="false" customHeight="true" outlineLevel="0" collapsed="false">
      <c r="A27" s="20" t="s">
        <v>140</v>
      </c>
      <c r="B27" s="20"/>
      <c r="C27" s="20"/>
      <c r="D27" s="20"/>
      <c r="E27" s="20"/>
    </row>
  </sheetData>
  <sheetProtection sheet="true" formatColumns="false" formatRows="false"/>
  <mergeCells count="20">
    <mergeCell ref="A1:E1"/>
    <mergeCell ref="A2:E2"/>
    <mergeCell ref="B4:C4"/>
    <mergeCell ref="D4:E4"/>
    <mergeCell ref="B14:E14"/>
    <mergeCell ref="B15:E15"/>
    <mergeCell ref="B16:E16"/>
    <mergeCell ref="B17:E17"/>
    <mergeCell ref="B18:E18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7:E27"/>
  </mergeCells>
  <dataValidations count="1">
    <dataValidation allowBlank="false" errorStyle="stop" operator="between" showDropDown="false" showErrorMessage="true" showInputMessage="false" sqref="B4" type="list">
      <formula1>"① 夥伴｜第一次打開這個檔,② 夥伴｜我已經在夥伴名單上,③ 業主／老闆｜我要看整體與該打哪一個,④ PI／專案經理｜我要跑週會、追進度,⑤ 顧問／分析師｜我要更新盤點資料"</formula1>
      <formula2>0</formula2>
    </dataValidation>
  </dataValidations>
  <hyperlinks>
    <hyperlink ref="A3" r:id="rId1" location="'00A_從這裡開始_Start'!A1" display="⌂ 回導引頁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5"/>
    <col collapsed="false" customWidth="true" hidden="false" outlineLevel="0" max="3" min="3" style="0" width="8.5"/>
    <col collapsed="false" customWidth="true" hidden="false" outlineLevel="0" max="4" min="4" style="0" width="15"/>
    <col collapsed="false" customWidth="true" hidden="false" outlineLevel="0" max="5" min="5" style="0" width="8.5"/>
    <col collapsed="false" customWidth="true" hidden="false" outlineLevel="0" max="6" min="6" style="0" width="15"/>
    <col collapsed="false" customWidth="true" hidden="false" outlineLevel="0" max="7" min="7" style="0" width="8.5"/>
    <col collapsed="false" customWidth="true" hidden="false" outlineLevel="0" max="8" min="8" style="0" width="2.5"/>
    <col collapsed="false" customWidth="true" hidden="false" outlineLevel="0" max="9" min="9" style="0" width="20"/>
    <col collapsed="false" customWidth="true" hidden="false" outlineLevel="0" max="10" min="10" style="0" width="8.5"/>
    <col collapsed="false" customWidth="true" hidden="false" outlineLevel="0" max="11" min="11" style="0" width="2.5"/>
    <col collapsed="false" customWidth="true" hidden="false" outlineLevel="0" max="12" min="12" style="0" width="20"/>
    <col collapsed="false" customWidth="true" hidden="false" outlineLevel="0" max="13" min="13" style="0" width="8.5"/>
    <col collapsed="false" customWidth="true" hidden="false" outlineLevel="0" max="14" min="14" style="0" width="2.5"/>
    <col collapsed="false" customWidth="true" hidden="true" outlineLevel="0" max="25" min="18" style="0" width="13"/>
  </cols>
  <sheetData>
    <row r="1" customFormat="false" ht="30" hidden="false" customHeight="true" outlineLevel="0" collapsed="false">
      <c r="A1" s="21" t="s">
        <v>141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customFormat="false" ht="25.5" hidden="false" customHeight="true" outlineLevel="0" collapsed="false">
      <c r="A2" s="4" t="s">
        <v>142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customFormat="false" ht="15" hidden="false" customHeight="false" outlineLevel="0" collapsed="false">
      <c r="A3" s="5" t="s">
        <v>12</v>
      </c>
      <c r="R3" s="22" t="s">
        <v>143</v>
      </c>
      <c r="T3" s="22" t="s">
        <v>144</v>
      </c>
      <c r="V3" s="22" t="s">
        <v>145</v>
      </c>
      <c r="X3" s="22" t="s">
        <v>146</v>
      </c>
    </row>
    <row r="4" customFormat="false" ht="15" hidden="false" customHeight="false" outlineLevel="0" collapsed="false">
      <c r="B4" s="23" t="s">
        <v>147</v>
      </c>
      <c r="C4" s="23"/>
      <c r="D4" s="24" t="s">
        <v>148</v>
      </c>
      <c r="E4" s="24"/>
      <c r="F4" s="25" t="s">
        <v>149</v>
      </c>
      <c r="G4" s="25"/>
      <c r="R4" s="26" t="s">
        <v>150</v>
      </c>
      <c r="S4" s="26" t="n">
        <f aca="false">COUNTIF(15_商機字典_OppLibrary!$D$5:$D$94,"A 規劃投資與交易架構")</f>
        <v>5</v>
      </c>
      <c r="T4" s="26" t="s">
        <v>151</v>
      </c>
      <c r="U4" s="26" t="n">
        <f aca="false">COUNTIF(15_商機字典_OppLibrary!$F$5:$F$94,"①*")</f>
        <v>3</v>
      </c>
      <c r="V4" s="27" t="s">
        <v>152</v>
      </c>
      <c r="W4" s="26" t="n">
        <f aca="false">COUNTIFS(03_能力總表_Master!$B$5:$B$154,"D01*",03_能力總表_Master!$H$5:$H$154,"缺口*")</f>
        <v>0</v>
      </c>
      <c r="X4" s="27" t="s">
        <v>153</v>
      </c>
      <c r="Y4" s="26" t="n">
        <f aca="false">COUNTIF(14_商機清單_Pipeline!$P$5:$P$24,"Lead*")</f>
        <v>4</v>
      </c>
    </row>
    <row r="5" customFormat="false" ht="30" hidden="false" customHeight="true" outlineLevel="0" collapsed="false">
      <c r="B5" s="28" t="n">
        <f aca="false">COUNTA(03_能力總表_Master!$A$5:$A$154)</f>
        <v>60</v>
      </c>
      <c r="C5" s="28"/>
      <c r="D5" s="29" t="n">
        <f aca="false">COUNTIF(03_能力總表_Master!$H$5:$H$154,"缺口*")</f>
        <v>9</v>
      </c>
      <c r="E5" s="29"/>
      <c r="F5" s="30" t="n">
        <f aca="false">COUNTIF(03_能力總表_Master!$W$5:$W$154,"立即推進*")</f>
        <v>19</v>
      </c>
      <c r="G5" s="30"/>
      <c r="R5" s="26" t="s">
        <v>154</v>
      </c>
      <c r="S5" s="26" t="n">
        <f aca="false">COUNTIF(15_商機字典_OppLibrary!$D$5:$D$94,"B 建築工程與設施")</f>
        <v>8</v>
      </c>
      <c r="T5" s="26" t="s">
        <v>155</v>
      </c>
      <c r="U5" s="26" t="n">
        <f aca="false">COUNTIF(15_商機字典_OppLibrary!$F$5:$F$94,"②*")</f>
        <v>42</v>
      </c>
      <c r="V5" s="27" t="s">
        <v>156</v>
      </c>
      <c r="W5" s="26" t="n">
        <f aca="false">COUNTIFS(03_能力總表_Master!$B$5:$B$154,"D02*",03_能力總表_Master!$H$5:$H$154,"缺口*")</f>
        <v>0</v>
      </c>
      <c r="X5" s="27" t="s">
        <v>157</v>
      </c>
      <c r="Y5" s="26" t="n">
        <f aca="false">COUNTIF(14_商機清單_Pipeline!$P$5:$P$24,"Qualified*")</f>
        <v>2</v>
      </c>
    </row>
    <row r="6" customFormat="false" ht="15" hidden="false" customHeight="false" outlineLevel="0" collapsed="false">
      <c r="R6" s="26" t="s">
        <v>158</v>
      </c>
      <c r="S6" s="26" t="n">
        <f aca="false">COUNTIF(15_商機字典_OppLibrary!$D$5:$D$94,"C 醫材與臨床設備")</f>
        <v>10</v>
      </c>
      <c r="T6" s="26" t="s">
        <v>159</v>
      </c>
      <c r="U6" s="26" t="n">
        <f aca="false">COUNTIF(15_商機字典_OppLibrary!$F$5:$F$94,"③*")</f>
        <v>40</v>
      </c>
      <c r="V6" s="27" t="s">
        <v>160</v>
      </c>
      <c r="W6" s="26" t="n">
        <f aca="false">COUNTIFS(03_能力總表_Master!$B$5:$B$154,"D03*",03_能力總表_Master!$H$5:$H$154,"缺口*")</f>
        <v>0</v>
      </c>
      <c r="X6" s="27" t="s">
        <v>161</v>
      </c>
      <c r="Y6" s="26" t="n">
        <f aca="false">COUNTIF(14_商機清單_Pipeline!$P$5:$P$24,"Proposal*")</f>
        <v>1</v>
      </c>
    </row>
    <row r="7" customFormat="false" ht="15" hidden="false" customHeight="false" outlineLevel="0" collapsed="false">
      <c r="B7" s="31" t="s">
        <v>162</v>
      </c>
      <c r="C7" s="31"/>
      <c r="D7" s="32" t="s">
        <v>163</v>
      </c>
      <c r="E7" s="32"/>
      <c r="F7" s="24" t="s">
        <v>164</v>
      </c>
      <c r="G7" s="24"/>
      <c r="R7" s="26" t="s">
        <v>165</v>
      </c>
      <c r="S7" s="26" t="n">
        <f aca="false">COUNTIF(15_商機字典_OppLibrary!$D$5:$D$94,"D 數位基建與資安")</f>
        <v>7</v>
      </c>
      <c r="V7" s="27" t="s">
        <v>166</v>
      </c>
      <c r="W7" s="26" t="n">
        <f aca="false">COUNTIFS(03_能力總表_Master!$B$5:$B$154,"D04*",03_能力總表_Master!$H$5:$H$154,"缺口*")</f>
        <v>0</v>
      </c>
      <c r="X7" s="27" t="s">
        <v>167</v>
      </c>
      <c r="Y7" s="26" t="n">
        <f aca="false">COUNTIF(14_商機清單_Pipeline!$P$5:$P$24,"Negotiation*")</f>
        <v>1</v>
      </c>
    </row>
    <row r="8" customFormat="false" ht="30" hidden="false" customHeight="true" outlineLevel="0" collapsed="false">
      <c r="B8" s="33" t="n">
        <f aca="false">COUNTA(15_商機字典_OppLibrary!$B$5:$B$94)</f>
        <v>85</v>
      </c>
      <c r="C8" s="33"/>
      <c r="D8" s="34" t="n">
        <f aca="false">COUNTIF(15_商機字典_OppLibrary!$F$5:$F$94,"③*")</f>
        <v>40</v>
      </c>
      <c r="E8" s="34"/>
      <c r="F8" s="29" t="n">
        <f aca="false">COUNTIF(15_商機字典_OppLibrary!$L$5:$L$94,"★*")</f>
        <v>6</v>
      </c>
      <c r="G8" s="29"/>
      <c r="R8" s="26" t="s">
        <v>168</v>
      </c>
      <c r="S8" s="26" t="n">
        <f aca="false">COUNTIF(15_商機字典_OppLibrary!$D$5:$D$94,"E 醫療資訊與資料")</f>
        <v>12</v>
      </c>
      <c r="V8" s="27" t="s">
        <v>169</v>
      </c>
      <c r="W8" s="26" t="n">
        <f aca="false">COUNTIFS(03_能力總表_Master!$B$5:$B$154,"D05*",03_能力總表_Master!$H$5:$H$154,"缺口*")</f>
        <v>3</v>
      </c>
      <c r="X8" s="27" t="s">
        <v>170</v>
      </c>
      <c r="Y8" s="26" t="n">
        <f aca="false">COUNTIF(14_商機清單_Pipeline!$P$5:$P$24,"Won*")</f>
        <v>0</v>
      </c>
    </row>
    <row r="9" customFormat="false" ht="15" hidden="false" customHeight="false" outlineLevel="0" collapsed="false">
      <c r="R9" s="27" t="s">
        <v>171</v>
      </c>
      <c r="S9" s="26" t="n">
        <f aca="false">COUNTIF(15_商機字典_OppLibrary!$D$5:$D$94,"F AI與智慧醫療")</f>
        <v>17</v>
      </c>
      <c r="V9" s="27" t="s">
        <v>172</v>
      </c>
      <c r="W9" s="26" t="n">
        <f aca="false">COUNTIFS(03_能力總表_Master!$B$5:$B$154,"D06*",03_能力總表_Master!$H$5:$H$154,"缺口*")</f>
        <v>2</v>
      </c>
    </row>
    <row r="10" customFormat="false" ht="15" hidden="false" customHeight="false" outlineLevel="0" collapsed="false">
      <c r="R10" s="26" t="s">
        <v>173</v>
      </c>
      <c r="S10" s="26" t="n">
        <f aca="false">COUNTIF(15_商機字典_OppLibrary!$D$5:$D$94,"G 品質認證與人才")</f>
        <v>4</v>
      </c>
      <c r="V10" s="27" t="s">
        <v>174</v>
      </c>
      <c r="W10" s="26" t="n">
        <f aca="false">COUNTIFS(03_能力總表_Master!$B$5:$B$154,"D07*",03_能力總表_Master!$H$5:$H$154,"缺口*")</f>
        <v>0</v>
      </c>
    </row>
    <row r="11" customFormat="false" ht="15" hidden="false" customHeight="false" outlineLevel="0" collapsed="false">
      <c r="R11" s="26" t="s">
        <v>175</v>
      </c>
      <c r="S11" s="26" t="n">
        <f aca="false">COUNTIF(15_商機字典_OppLibrary!$D$5:$D$94,"H 供應鏈與維運服務")</f>
        <v>7</v>
      </c>
      <c r="V11" s="27" t="s">
        <v>176</v>
      </c>
      <c r="W11" s="26" t="n">
        <f aca="false">COUNTIFS(03_能力總表_Master!$B$5:$B$154,"D08*",03_能力總表_Master!$H$5:$H$154,"缺口*")</f>
        <v>1</v>
      </c>
    </row>
    <row r="12" customFormat="false" ht="15" hidden="false" customHeight="false" outlineLevel="0" collapsed="false">
      <c r="R12" s="26" t="s">
        <v>177</v>
      </c>
      <c r="S12" s="26" t="n">
        <f aca="false">COUNTIF(15_商機字典_OppLibrary!$D$5:$D$94,"I 照護服務新業態")</f>
        <v>10</v>
      </c>
      <c r="V12" s="27" t="s">
        <v>178</v>
      </c>
      <c r="W12" s="26" t="n">
        <f aca="false">COUNTIFS(03_能力總表_Master!$B$5:$B$154,"D09*",03_能力總表_Master!$H$5:$H$154,"缺口*")</f>
        <v>0</v>
      </c>
    </row>
    <row r="13" customFormat="false" ht="15" hidden="false" customHeight="false" outlineLevel="0" collapsed="false">
      <c r="R13" s="26" t="s">
        <v>179</v>
      </c>
      <c r="S13" s="26" t="n">
        <f aca="false">COUNTIF(15_商機字典_OppLibrary!$D$5:$D$94,"J 商模支付與病人生態")</f>
        <v>5</v>
      </c>
      <c r="V13" s="27" t="s">
        <v>180</v>
      </c>
      <c r="W13" s="26" t="n">
        <f aca="false">COUNTIFS(03_能力總表_Master!$B$5:$B$154,"D10*",03_能力總表_Master!$H$5:$H$154,"缺口*")</f>
        <v>3</v>
      </c>
    </row>
    <row r="51" customFormat="false" ht="17.15" hidden="false" customHeight="false" outlineLevel="0" collapsed="false">
      <c r="B51" s="35" t="s">
        <v>181</v>
      </c>
    </row>
    <row r="52" customFormat="false" ht="19.5" hidden="false" customHeight="true" outlineLevel="0" collapsed="false">
      <c r="B52" s="36" t="s">
        <v>182</v>
      </c>
      <c r="C52" s="36" t="s">
        <v>183</v>
      </c>
      <c r="G52" s="36" t="s">
        <v>184</v>
      </c>
      <c r="I52" s="36" t="s">
        <v>144</v>
      </c>
      <c r="J52" s="36" t="s">
        <v>185</v>
      </c>
    </row>
    <row r="53" customFormat="false" ht="19.5" hidden="false" customHeight="true" outlineLevel="0" collapsed="false">
      <c r="B53" s="37" t="n">
        <v>1</v>
      </c>
      <c r="C53" s="38" t="str">
        <f aca="false">IFERROR(INDEX(15_商機字典_OppLibrary!$U$5:$U$94,MATCH(1,15_商機字典_OppLibrary!$Z$5:$Z$94,0)),"")</f>
        <v>OPP-78 居家醫療、居家護理與安寧</v>
      </c>
      <c r="D53" s="38"/>
      <c r="E53" s="38"/>
      <c r="F53" s="38"/>
      <c r="G53" s="39" t="n">
        <f aca="false">IFERROR(INDEX(15_商機字典_OppLibrary!$Y$5:$Y$94,MATCH(1,15_商機字典_OppLibrary!$Z$5:$Z$94,0)),"")</f>
        <v>4.20082</v>
      </c>
      <c r="I53" s="40" t="str">
        <f aca="false">IFERROR(LEFT(INDEX(15_商機字典_OppLibrary!$F$5:$F$94,MATCH(1,15_商機字典_OppLibrary!$Z$5:$Z$94,0)),7),"")</f>
        <v>③ 尚未出現：</v>
      </c>
      <c r="J53" s="41" t="n">
        <f aca="false">IFERROR(INDEX(15_商機字典_OppLibrary!$K$5:$K$94,MATCH(1,15_商機字典_OppLibrary!$Z$5:$Z$94,0)),"")</f>
        <v>0</v>
      </c>
    </row>
    <row r="54" customFormat="false" ht="19.5" hidden="false" customHeight="true" outlineLevel="0" collapsed="false">
      <c r="B54" s="37" t="n">
        <v>2</v>
      </c>
      <c r="C54" s="38" t="str">
        <f aca="false">IFERROR(INDEX(15_商機字典_OppLibrary!$U$5:$U$94,MATCH(2,15_商機字典_OppLibrary!$Z$5:$Z$94,0)),"")</f>
        <v>OPP-79 復健與亞急性照護中心</v>
      </c>
      <c r="D54" s="38"/>
      <c r="E54" s="38"/>
      <c r="F54" s="38"/>
      <c r="G54" s="39" t="n">
        <f aca="false">IFERROR(INDEX(15_商機字典_OppLibrary!$Y$5:$Y$94,MATCH(2,15_商機字典_OppLibrary!$Z$5:$Z$94,0)),"")</f>
        <v>4.15083</v>
      </c>
      <c r="I54" s="40" t="str">
        <f aca="false">IFERROR(LEFT(INDEX(15_商機字典_OppLibrary!$F$5:$F$94,MATCH(2,15_商機字典_OppLibrary!$Z$5:$Z$94,0)),7),"")</f>
        <v>③ 尚未出現：</v>
      </c>
      <c r="J54" s="41" t="n">
        <f aca="false">IFERROR(INDEX(15_商機字典_OppLibrary!$K$5:$K$94,MATCH(2,15_商機字典_OppLibrary!$Z$5:$Z$94,0)),"")</f>
        <v>0</v>
      </c>
    </row>
    <row r="55" customFormat="false" ht="19.5" hidden="false" customHeight="true" outlineLevel="0" collapsed="false">
      <c r="B55" s="37" t="n">
        <v>3</v>
      </c>
      <c r="C55" s="38" t="str">
        <f aca="false">IFERROR(INDEX(15_商機字典_OppLibrary!$U$5:$U$94,MATCH(3,15_商機字典_OppLibrary!$Z$5:$Z$94,0)),"")</f>
        <v>OPP-42 閉環給藥與條碼用藥安全</v>
      </c>
      <c r="D55" s="38"/>
      <c r="E55" s="38"/>
      <c r="F55" s="38"/>
      <c r="G55" s="39" t="n">
        <f aca="false">IFERROR(INDEX(15_商機字典_OppLibrary!$Y$5:$Y$94,MATCH(3,15_商機字典_OppLibrary!$Z$5:$Z$94,0)),"")</f>
        <v>4.15046</v>
      </c>
      <c r="I55" s="40" t="str">
        <f aca="false">IFERROR(LEFT(INDEX(15_商機字典_OppLibrary!$F$5:$F$94,MATCH(3,15_商機字典_OppLibrary!$Z$5:$Z$94,0)),7),"")</f>
        <v>③ 尚未出現：</v>
      </c>
      <c r="J55" s="41" t="n">
        <f aca="false">IFERROR(INDEX(15_商機字典_OppLibrary!$K$5:$K$94,MATCH(3,15_商機字典_OppLibrary!$Z$5:$Z$94,0)),"")</f>
        <v>0</v>
      </c>
    </row>
    <row r="56" customFormat="false" ht="19.5" hidden="false" customHeight="true" outlineLevel="0" collapsed="false">
      <c r="B56" s="37" t="n">
        <v>4</v>
      </c>
      <c r="C56" s="38" t="str">
        <f aca="false">IFERROR(INDEX(15_商機字典_OppLibrary!$U$5:$U$94,MATCH(4,15_商機字典_OppLibrary!$Z$5:$Z$94,0)),"")</f>
        <v>OPP-35 臨床術語與編碼服務</v>
      </c>
      <c r="D56" s="38"/>
      <c r="E56" s="38"/>
      <c r="F56" s="38"/>
      <c r="G56" s="39" t="n">
        <f aca="false">IFERROR(INDEX(15_商機字典_OppLibrary!$Y$5:$Y$94,MATCH(4,15_商機字典_OppLibrary!$Z$5:$Z$94,0)),"")</f>
        <v>4.09039</v>
      </c>
      <c r="I56" s="40" t="str">
        <f aca="false">IFERROR(LEFT(INDEX(15_商機字典_OppLibrary!$F$5:$F$94,MATCH(4,15_商機字典_OppLibrary!$Z$5:$Z$94,0)),7),"")</f>
        <v>③ 尚未出現：</v>
      </c>
      <c r="J56" s="41" t="n">
        <f aca="false">IFERROR(INDEX(15_商機字典_OppLibrary!$K$5:$K$94,MATCH(4,15_商機字典_OppLibrary!$Z$5:$Z$94,0)),"")</f>
        <v>0</v>
      </c>
    </row>
    <row r="57" customFormat="false" ht="19.5" hidden="false" customHeight="true" outlineLevel="0" collapsed="false">
      <c r="B57" s="37" t="n">
        <v>5</v>
      </c>
      <c r="C57" s="38" t="str">
        <f aca="false">IFERROR(INDEX(15_商機字典_OppLibrary!$U$5:$U$94,MATCH(5,15_商機字典_OppLibrary!$Z$5:$Z$94,0)),"")</f>
        <v>OPP-29 災難復原與營運持續(DR/BCM)</v>
      </c>
      <c r="D57" s="38"/>
      <c r="E57" s="38"/>
      <c r="F57" s="38"/>
      <c r="G57" s="39" t="n">
        <f aca="false">IFERROR(INDEX(15_商機字典_OppLibrary!$Y$5:$Y$94,MATCH(5,15_商機字典_OppLibrary!$Z$5:$Z$94,0)),"")</f>
        <v>4.04033</v>
      </c>
      <c r="I57" s="40" t="str">
        <f aca="false">IFERROR(LEFT(INDEX(15_商機字典_OppLibrary!$F$5:$F$94,MATCH(5,15_商機字典_OppLibrary!$Z$5:$Z$94,0)),7),"")</f>
        <v>③ 尚未出現：</v>
      </c>
      <c r="J57" s="41" t="n">
        <f aca="false">IFERROR(INDEX(15_商機字典_OppLibrary!$K$5:$K$94,MATCH(5,15_商機字典_OppLibrary!$Z$5:$Z$94,0)),"")</f>
        <v>0</v>
      </c>
    </row>
    <row r="58" customFormat="false" ht="19.5" hidden="false" customHeight="true" outlineLevel="0" collapsed="false">
      <c r="B58" s="37" t="n">
        <v>6</v>
      </c>
      <c r="C58" s="38" t="str">
        <f aca="false">IFERROR(INDEX(15_商機字典_OppLibrary!$U$5:$U$94,MATCH(6,15_商機字典_OppLibrary!$Z$5:$Z$94,0)),"")</f>
        <v>OPP-63 開院前臨床安全驗證與試營運</v>
      </c>
      <c r="D58" s="38"/>
      <c r="E58" s="38"/>
      <c r="F58" s="38"/>
      <c r="G58" s="39" t="n">
        <f aca="false">IFERROR(INDEX(15_商機字典_OppLibrary!$Y$5:$Y$94,MATCH(6,15_商機字典_OppLibrary!$Z$5:$Z$94,0)),"")</f>
        <v>4.03067</v>
      </c>
      <c r="I58" s="40" t="str">
        <f aca="false">IFERROR(LEFT(INDEX(15_商機字典_OppLibrary!$F$5:$F$94,MATCH(6,15_商機字典_OppLibrary!$Z$5:$Z$94,0)),7),"")</f>
        <v>③ 尚未出現：</v>
      </c>
      <c r="J58" s="41" t="n">
        <f aca="false">IFERROR(INDEX(15_商機字典_OppLibrary!$K$5:$K$94,MATCH(6,15_商機字典_OppLibrary!$Z$5:$Z$94,0)),"")</f>
        <v>0</v>
      </c>
    </row>
    <row r="59" customFormat="false" ht="19.5" hidden="false" customHeight="true" outlineLevel="0" collapsed="false">
      <c r="B59" s="37" t="n">
        <v>7</v>
      </c>
      <c r="C59" s="38" t="str">
        <f aca="false">IFERROR(INDEX(15_商機字典_OppLibrary!$U$5:$U$94,MATCH(7,15_商機字典_OppLibrary!$Z$5:$Z$94,0)),"")</f>
        <v>OPP-71 洗腎連鎖（衛星洗腎中心）</v>
      </c>
      <c r="D59" s="38"/>
      <c r="E59" s="38"/>
      <c r="F59" s="38"/>
      <c r="G59" s="39" t="n">
        <f aca="false">IFERROR(INDEX(15_商機字典_OppLibrary!$Y$5:$Y$94,MATCH(7,15_商機字典_OppLibrary!$Z$5:$Z$94,0)),"")</f>
        <v>3.96075</v>
      </c>
      <c r="I59" s="40" t="str">
        <f aca="false">IFERROR(LEFT(INDEX(15_商機字典_OppLibrary!$F$5:$F$94,MATCH(7,15_商機字典_OppLibrary!$Z$5:$Z$94,0)),7),"")</f>
        <v>③ 尚未出現：</v>
      </c>
      <c r="J59" s="41" t="n">
        <f aca="false">IFERROR(INDEX(15_商機字典_OppLibrary!$K$5:$K$94,MATCH(7,15_商機字典_OppLibrary!$Z$5:$Z$94,0)),"")</f>
        <v>0</v>
      </c>
    </row>
    <row r="60" customFormat="false" ht="19.5" hidden="false" customHeight="true" outlineLevel="0" collapsed="false">
      <c r="B60" s="37" t="n">
        <v>8</v>
      </c>
      <c r="C60" s="38" t="str">
        <f aca="false">IFERROR(INDEX(15_商機字典_OppLibrary!$U$5:$U$94,MATCH(8,15_商機字典_OppLibrary!$Z$5:$Z$94,0)),"")</f>
        <v>OPP-65 消毒供應外包（區域CSSD服務化）</v>
      </c>
      <c r="D60" s="38"/>
      <c r="E60" s="38"/>
      <c r="F60" s="38"/>
      <c r="G60" s="39" t="n">
        <f aca="false">IFERROR(INDEX(15_商機字典_OppLibrary!$Y$5:$Y$94,MATCH(8,15_商機字典_OppLibrary!$Z$5:$Z$94,0)),"")</f>
        <v>3.96069</v>
      </c>
      <c r="I60" s="40" t="str">
        <f aca="false">IFERROR(LEFT(INDEX(15_商機字典_OppLibrary!$F$5:$F$94,MATCH(8,15_商機字典_OppLibrary!$Z$5:$Z$94,0)),7),"")</f>
        <v>③ 尚未出現：</v>
      </c>
      <c r="J60" s="41" t="n">
        <f aca="false">IFERROR(INDEX(15_商機字典_OppLibrary!$K$5:$K$94,MATCH(8,15_商機字典_OppLibrary!$Z$5:$Z$94,0)),"")</f>
        <v>0</v>
      </c>
    </row>
    <row r="61" customFormat="false" ht="19.5" hidden="false" customHeight="true" outlineLevel="0" collapsed="false">
      <c r="B61" s="37" t="n">
        <v>9</v>
      </c>
      <c r="C61" s="38" t="str">
        <f aca="false">IFERROR(INDEX(15_商機字典_OppLibrary!$U$5:$U$94,MATCH(9,15_商機字典_OppLibrary!$Z$5:$Z$94,0)),"")</f>
        <v>OPP-46 內視鏡AI息肉偵測</v>
      </c>
      <c r="D61" s="38"/>
      <c r="E61" s="38"/>
      <c r="F61" s="38"/>
      <c r="G61" s="39" t="n">
        <f aca="false">IFERROR(INDEX(15_商機字典_OppLibrary!$Y$5:$Y$94,MATCH(9,15_商機字典_OppLibrary!$Z$5:$Z$94,0)),"")</f>
        <v>3.9605</v>
      </c>
      <c r="I61" s="40" t="str">
        <f aca="false">IFERROR(LEFT(INDEX(15_商機字典_OppLibrary!$F$5:$F$94,MATCH(9,15_商機字典_OppLibrary!$Z$5:$Z$94,0)),7),"")</f>
        <v>③ 尚未出現：</v>
      </c>
      <c r="J61" s="41" t="n">
        <f aca="false">IFERROR(INDEX(15_商機字典_OppLibrary!$K$5:$K$94,MATCH(9,15_商機字典_OppLibrary!$Z$5:$Z$94,0)),"")</f>
        <v>0</v>
      </c>
    </row>
    <row r="62" customFormat="false" ht="19.5" hidden="false" customHeight="true" outlineLevel="0" collapsed="false">
      <c r="B62" s="37" t="n">
        <v>10</v>
      </c>
      <c r="C62" s="38" t="str">
        <f aca="false">IFERROR(INDEX(15_商機字典_OppLibrary!$U$5:$U$94,MATCH(10,15_商機字典_OppLibrary!$Z$5:$Z$94,0)),"")</f>
        <v>OPP-38 醫材資料介接與床邊自動擷取</v>
      </c>
      <c r="D62" s="38"/>
      <c r="E62" s="38"/>
      <c r="F62" s="38"/>
      <c r="G62" s="39" t="n">
        <f aca="false">IFERROR(INDEX(15_商機字典_OppLibrary!$Y$5:$Y$94,MATCH(10,15_商機字典_OppLibrary!$Z$5:$Z$94,0)),"")</f>
        <v>3.96042</v>
      </c>
      <c r="I62" s="40" t="str">
        <f aca="false">IFERROR(LEFT(INDEX(15_商機字典_OppLibrary!$F$5:$F$94,MATCH(10,15_商機字典_OppLibrary!$Z$5:$Z$94,0)),7),"")</f>
        <v>③ 尚未出現：</v>
      </c>
      <c r="J62" s="41" t="n">
        <f aca="false">IFERROR(INDEX(15_商機字典_OppLibrary!$K$5:$K$94,MATCH(10,15_商機字典_OppLibrary!$Z$5:$Z$94,0)),"")</f>
        <v>0</v>
      </c>
    </row>
    <row r="64" customFormat="false" ht="15" hidden="false" customHeight="false" outlineLevel="0" collapsed="false">
      <c r="B64" s="42" t="s">
        <v>186</v>
      </c>
    </row>
  </sheetData>
  <sheetProtection sheet="true" formatColumns="false" formatRows="false" autoFilter="false"/>
  <mergeCells count="24">
    <mergeCell ref="A1:N1"/>
    <mergeCell ref="A2:N2"/>
    <mergeCell ref="B4:C4"/>
    <mergeCell ref="D4:E4"/>
    <mergeCell ref="F4:G4"/>
    <mergeCell ref="B5:C5"/>
    <mergeCell ref="D5:E5"/>
    <mergeCell ref="F5:G5"/>
    <mergeCell ref="B7:C7"/>
    <mergeCell ref="D7:E7"/>
    <mergeCell ref="F7:G7"/>
    <mergeCell ref="B8:C8"/>
    <mergeCell ref="D8:E8"/>
    <mergeCell ref="F8:G8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</mergeCells>
  <conditionalFormatting sqref="J53:J62">
    <cfRule type="cellIs" priority="2" operator="greaterThan" aboveAverage="0" equalAverage="0" bottom="0" percent="0" rank="0" text="" dxfId="0">
      <formula>0</formula>
    </cfRule>
  </conditionalFormatting>
  <hyperlinks>
    <hyperlink ref="A3" r:id="rId1" location="'00A_從這裡開始_Start'!A1" display="⌂ 回導引頁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6"/>
    <col collapsed="false" customWidth="true" hidden="false" outlineLevel="0" max="4" min="4" style="0" width="17"/>
    <col collapsed="false" customWidth="true" hidden="false" outlineLevel="0" max="5" min="5" style="0" width="44"/>
    <col collapsed="false" customWidth="true" hidden="false" outlineLevel="0" max="6" min="6" style="0" width="17"/>
    <col collapsed="false" customWidth="true" hidden="false" outlineLevel="0" max="7" min="7" style="0" width="14"/>
    <col collapsed="false" customWidth="true" hidden="false" outlineLevel="0" max="11" min="8" style="0" width="8"/>
    <col collapsed="false" customWidth="true" hidden="false" outlineLevel="0" max="12" min="12" style="0" width="30"/>
    <col collapsed="false" customWidth="true" hidden="false" outlineLevel="0" max="13" min="13" style="0" width="8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6" min="16" style="0" width="15"/>
    <col collapsed="false" customWidth="true" hidden="false" outlineLevel="0" max="17" min="17" style="0" width="10"/>
    <col collapsed="false" customWidth="true" hidden="false" outlineLevel="0" max="18" min="18" style="0" width="20"/>
    <col collapsed="false" customWidth="true" hidden="false" outlineLevel="0" max="19" min="19" style="0" width="44"/>
    <col collapsed="false" customWidth="true" hidden="false" outlineLevel="0" max="20" min="20" style="0" width="9"/>
    <col collapsed="false" customWidth="true" hidden="true" outlineLevel="0" max="21" min="21" style="0" width="30"/>
    <col collapsed="false" customWidth="true" hidden="false" outlineLevel="0" max="23" min="22" style="0" width="40"/>
    <col collapsed="false" customWidth="true" hidden="false" outlineLevel="0" max="25" min="24" style="0" width="10"/>
    <col collapsed="false" customWidth="true" hidden="false" outlineLevel="0" max="26" min="26" style="0" width="9"/>
    <col collapsed="false" customWidth="true" hidden="false" outlineLevel="0" max="27" min="27" style="0" width="17"/>
    <col collapsed="false" customWidth="true" hidden="false" outlineLevel="0" max="28" min="28" style="0" width="62"/>
    <col collapsed="false" customWidth="true" hidden="false" outlineLevel="0" max="29" min="29" style="0" width="7"/>
    <col collapsed="false" customWidth="true" hidden="false" outlineLevel="0" max="30" min="30" style="0" width="62"/>
  </cols>
  <sheetData>
    <row r="1" customFormat="false" ht="30" hidden="false" customHeight="true" outlineLevel="0" collapsed="false">
      <c r="A1" s="1" t="s">
        <v>187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5.5" hidden="false" customHeight="true" outlineLevel="0" collapsed="false">
      <c r="A2" s="4" t="s">
        <v>188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21.75" hidden="false" customHeight="true" outlineLevel="0" collapsed="false">
      <c r="A3" s="43" t="s">
        <v>189</v>
      </c>
      <c r="B3" s="43"/>
      <c r="C3" s="43"/>
      <c r="D3" s="43"/>
      <c r="E3" s="43"/>
      <c r="F3" s="43"/>
      <c r="G3" s="44" t="str">
        <f aca="false">"全部 "&amp;COUNTA($B$5:$B$94)&amp;" 個商機　｜　③尚未出現（越南幾乎空白）"&amp;COUNTIF($F$5:$F$94,"③*")&amp;" 個　｜　★白地商機（聯盟目前無對應能力）"&amp;COUNTIF($L$5:$L$94,"★*")&amp;" 個　｜　有缺口可對外招募 "&amp;COUNTIF($L$5:$L$94,"有缺口*")&amp;" 個　｜　已列入14商機清單 "&amp;COUNTIF($T$5:$T$94,"&gt;0")&amp;" 個"</f>
        <v>全部 85 個商機　｜　③尚未出現（越南幾乎空白）40 個　｜　★白地商機（聯盟目前無對應能力）6 個　｜　有缺口可對外招募 26 個　｜　已列入14商機清單 8 個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5" t="s">
        <v>12</v>
      </c>
    </row>
    <row r="4" customFormat="false" ht="43.5" hidden="false" customHeight="true" outlineLevel="0" collapsed="false">
      <c r="A4" s="9" t="s">
        <v>190</v>
      </c>
      <c r="B4" s="9" t="s">
        <v>191</v>
      </c>
      <c r="C4" s="45" t="s">
        <v>192</v>
      </c>
      <c r="D4" s="9" t="s">
        <v>193</v>
      </c>
      <c r="E4" s="9" t="s">
        <v>194</v>
      </c>
      <c r="F4" s="9" t="s">
        <v>195</v>
      </c>
      <c r="G4" s="46" t="s">
        <v>196</v>
      </c>
      <c r="H4" s="46" t="s">
        <v>197</v>
      </c>
      <c r="I4" s="46" t="s">
        <v>198</v>
      </c>
      <c r="J4" s="46" t="s">
        <v>199</v>
      </c>
      <c r="K4" s="46" t="s">
        <v>200</v>
      </c>
      <c r="L4" s="47" t="s">
        <v>201</v>
      </c>
      <c r="M4" s="9" t="s">
        <v>202</v>
      </c>
      <c r="N4" s="9" t="s">
        <v>203</v>
      </c>
      <c r="O4" s="9" t="s">
        <v>204</v>
      </c>
      <c r="P4" s="9" t="s">
        <v>205</v>
      </c>
      <c r="Q4" s="9" t="s">
        <v>206</v>
      </c>
      <c r="R4" s="9" t="s">
        <v>207</v>
      </c>
      <c r="S4" s="9" t="s">
        <v>208</v>
      </c>
      <c r="T4" s="46" t="s">
        <v>209</v>
      </c>
      <c r="U4" s="9" t="s">
        <v>210</v>
      </c>
      <c r="V4" s="48" t="s">
        <v>211</v>
      </c>
      <c r="W4" s="48" t="s">
        <v>212</v>
      </c>
      <c r="X4" s="36" t="s">
        <v>213</v>
      </c>
      <c r="Y4" s="36" t="s">
        <v>214</v>
      </c>
      <c r="Z4" s="36" t="s">
        <v>215</v>
      </c>
      <c r="AA4" s="49" t="s">
        <v>216</v>
      </c>
      <c r="AB4" s="49" t="s">
        <v>217</v>
      </c>
      <c r="AC4" s="49" t="s">
        <v>218</v>
      </c>
      <c r="AD4" s="49" t="s">
        <v>219</v>
      </c>
    </row>
    <row r="5" customFormat="false" ht="49.5" hidden="false" customHeight="true" outlineLevel="0" collapsed="false">
      <c r="A5" s="50" t="s">
        <v>220</v>
      </c>
      <c r="B5" s="51" t="s">
        <v>221</v>
      </c>
      <c r="C5" s="52" t="s">
        <v>222</v>
      </c>
      <c r="D5" s="52" t="s">
        <v>223</v>
      </c>
      <c r="E5" s="53" t="s">
        <v>224</v>
      </c>
      <c r="F5" s="53" t="s">
        <v>225</v>
      </c>
      <c r="G5" s="54" t="str">
        <f aca="false">IF($A5="","",IF($H5=0,"（尚無對應能力）",IFERROR(INDEX(16_能力商機矩陣_CapOppMap!$D$160:$CO$160,MATCH($A5,16_能力商機矩陣_CapOppMap!$D$4:$CO$4,0)),"")))</f>
        <v>D01; D10</v>
      </c>
      <c r="H5" s="55" t="n">
        <f aca="false">IF($A5="","",IFERROR(INDEX(16_能力商機矩陣_CapOppMap!$D$156:$CO$156,MATCH($A5,16_能力商機矩陣_CapOppMap!$D$4:$CO$4,0)),""))</f>
        <v>9</v>
      </c>
      <c r="I5" s="56" t="n">
        <f aca="false">IF($A5="","",IFERROR(INDEX(16_能力商機矩陣_CapOppMap!$D$157:$CO$157,MATCH($A5,16_能力商機矩陣_CapOppMap!$D$4:$CO$4,0)),""))</f>
        <v>3.7</v>
      </c>
      <c r="J5" s="56" t="n">
        <f aca="false">IF($A5="","",IFERROR(INDEX(16_能力商機矩陣_CapOppMap!$D$158:$CO$158,MATCH($A5,16_能力商機矩陣_CapOppMap!$D$4:$CO$4,0)),""))</f>
        <v>2</v>
      </c>
      <c r="K5" s="57" t="n">
        <f aca="false">IF($A5="","",IFERROR(INDEX(16_能力商機矩陣_CapOppMap!$D$159:$CO$159,MATCH($A5,16_能力商機矩陣_CapOppMap!$D$4:$CO$4,0)),""))</f>
        <v>0</v>
      </c>
      <c r="L5" s="58" t="str">
        <f aca="false">IF($A5="","",IF($H5=0,"★白地商機：目前無對應能力，需新增能力或找新夥伴",IF($K5&gt;0,"有缺口："&amp;$K5&amp;"項可對外招募","已有能力可承接")))</f>
        <v>已有能力可承接</v>
      </c>
      <c r="M5" s="59" t="s">
        <v>226</v>
      </c>
      <c r="N5" s="60" t="s">
        <v>227</v>
      </c>
      <c r="O5" s="60" t="s">
        <v>228</v>
      </c>
      <c r="P5" s="59" t="s">
        <v>229</v>
      </c>
      <c r="Q5" s="60" t="s">
        <v>230</v>
      </c>
      <c r="R5" s="59" t="s">
        <v>231</v>
      </c>
      <c r="S5" s="52" t="s">
        <v>232</v>
      </c>
      <c r="T5" s="55" t="n">
        <f aca="false">IF($A5="","",COUNTIF(14_商機清單_Pipeline!$A$5:$A$34,$U5))</f>
        <v>1</v>
      </c>
      <c r="U5" s="54" t="str">
        <f aca="false">IF($B5="","",$A5&amp;" "&amp;$B5)</f>
        <v>OPP-01 醫院投資規劃與PPP交易架構顧問</v>
      </c>
      <c r="V5" s="53" t="s">
        <v>233</v>
      </c>
      <c r="W5" s="53" t="s">
        <v>234</v>
      </c>
      <c r="X5" s="55" t="n">
        <f aca="false">IF($A5="","",IFERROR(INDEX(16_能力商機矩陣_CapOppMap!$D$162:$CO$162,MATCH($A5,16_能力商機矩陣_CapOppMap!$D$4:$CO$4,0)),""))</f>
        <v>0</v>
      </c>
      <c r="Y5" s="61" t="n">
        <f aca="false">IF(OR($A5="",$H5=""),"",IF($H5=0,"",ROUND(0.45*$I5+0.35*$J5+0.2*IF(LEFT($F5,1)="③",5,IF(LEFT($F5,1)="②",3,1))-IF($K5&gt;0,0.3,0),2)+ROW()/100000))</f>
        <v>2.97005</v>
      </c>
      <c r="Z5" s="62" t="n">
        <f aca="false">IF($Y5="","",RANK($Y5,$Y$5:$Y$94))</f>
        <v>73</v>
      </c>
      <c r="AA5" s="63" t="s">
        <v>235</v>
      </c>
      <c r="AB5" s="64" t="s">
        <v>236</v>
      </c>
      <c r="AC5" s="65" t="s">
        <v>237</v>
      </c>
      <c r="AD5" s="66" t="s">
        <v>238</v>
      </c>
    </row>
    <row r="6" customFormat="false" ht="49.5" hidden="false" customHeight="true" outlineLevel="0" collapsed="false">
      <c r="A6" s="50" t="s">
        <v>239</v>
      </c>
      <c r="B6" s="51" t="s">
        <v>240</v>
      </c>
      <c r="C6" s="52" t="s">
        <v>241</v>
      </c>
      <c r="D6" s="52" t="s">
        <v>223</v>
      </c>
      <c r="E6" s="53" t="s">
        <v>242</v>
      </c>
      <c r="F6" s="53" t="s">
        <v>225</v>
      </c>
      <c r="G6" s="54" t="str">
        <f aca="false">IF($A6="","",IF($H6=0,"（尚無對應能力）",IFERROR(INDEX(16_能力商機矩陣_CapOppMap!$D$160:$CO$160,MATCH($A6,16_能力商機矩陣_CapOppMap!$D$4:$CO$4,0)),"")))</f>
        <v>D02</v>
      </c>
      <c r="H6" s="55" t="n">
        <f aca="false">IF($A6="","",IFERROR(INDEX(16_能力商機矩陣_CapOppMap!$D$156:$CO$156,MATCH($A6,16_能力商機矩陣_CapOppMap!$D$4:$CO$4,0)),""))</f>
        <v>6</v>
      </c>
      <c r="I6" s="56" t="n">
        <f aca="false">IF($A6="","",IFERROR(INDEX(16_能力商機矩陣_CapOppMap!$D$157:$CO$157,MATCH($A6,16_能力商機矩陣_CapOppMap!$D$4:$CO$4,0)),""))</f>
        <v>4.7</v>
      </c>
      <c r="J6" s="56" t="n">
        <f aca="false">IF($A6="","",IFERROR(INDEX(16_能力商機矩陣_CapOppMap!$D$158:$CO$158,MATCH($A6,16_能力商機矩陣_CapOppMap!$D$4:$CO$4,0)),""))</f>
        <v>2.7</v>
      </c>
      <c r="K6" s="57" t="n">
        <f aca="false">IF($A6="","",IFERROR(INDEX(16_能力商機矩陣_CapOppMap!$D$159:$CO$159,MATCH($A6,16_能力商機矩陣_CapOppMap!$D$4:$CO$4,0)),""))</f>
        <v>0</v>
      </c>
      <c r="L6" s="58" t="str">
        <f aca="false">IF($A6="","",IF($H6=0,"★白地商機：目前無對應能力，需新增能力或找新夥伴",IF($K6&gt;0,"有缺口："&amp;$K6&amp;"項可對外招募","已有能力可承接")))</f>
        <v>已有能力可承接</v>
      </c>
      <c r="M6" s="59" t="s">
        <v>243</v>
      </c>
      <c r="N6" s="60" t="s">
        <v>244</v>
      </c>
      <c r="O6" s="60" t="s">
        <v>228</v>
      </c>
      <c r="P6" s="59" t="s">
        <v>245</v>
      </c>
      <c r="Q6" s="60" t="s">
        <v>230</v>
      </c>
      <c r="R6" s="59" t="s">
        <v>246</v>
      </c>
      <c r="S6" s="53" t="s">
        <v>247</v>
      </c>
      <c r="T6" s="55" t="n">
        <f aca="false">IF($A6="","",COUNTIF(14_商機清單_Pipeline!$A$5:$A$34,$U6))</f>
        <v>0</v>
      </c>
      <c r="U6" s="54" t="str">
        <f aca="false">IF($B6="","",$A6&amp;" "&amp;$B6)</f>
        <v>OPP-02 臨床服務定位與營運模式規劃</v>
      </c>
      <c r="V6" s="53" t="s">
        <v>248</v>
      </c>
      <c r="W6" s="53" t="s">
        <v>249</v>
      </c>
      <c r="X6" s="55" t="n">
        <f aca="false">IF($A6="","",IFERROR(INDEX(16_能力商機矩陣_CapOppMap!$D$162:$CO$162,MATCH($A6,16_能力商機矩陣_CapOppMap!$D$4:$CO$4,0)),""))</f>
        <v>0</v>
      </c>
      <c r="Y6" s="61" t="n">
        <f aca="false">IF(OR($A6="",$H6=""),"",IF($H6=0,"",ROUND(0.45*$I6+0.35*$J6+0.2*IF(LEFT($F6,1)="③",5,IF(LEFT($F6,1)="②",3,1))-IF($K6&gt;0,0.3,0),2)+ROW()/100000))</f>
        <v>3.66006</v>
      </c>
      <c r="Z6" s="62" t="n">
        <f aca="false">IF($Y6="","",RANK($Y6,$Y$5:$Y$94))</f>
        <v>36</v>
      </c>
      <c r="AA6" s="63" t="s">
        <v>235</v>
      </c>
      <c r="AB6" s="64" t="s">
        <v>250</v>
      </c>
      <c r="AC6" s="67" t="s">
        <v>251</v>
      </c>
      <c r="AD6" s="66" t="s">
        <v>238</v>
      </c>
    </row>
    <row r="7" customFormat="false" ht="49.5" hidden="false" customHeight="true" outlineLevel="0" collapsed="false">
      <c r="A7" s="50" t="s">
        <v>252</v>
      </c>
      <c r="B7" s="51" t="s">
        <v>253</v>
      </c>
      <c r="C7" s="52" t="s">
        <v>254</v>
      </c>
      <c r="D7" s="52" t="s">
        <v>223</v>
      </c>
      <c r="E7" s="53" t="s">
        <v>255</v>
      </c>
      <c r="F7" s="53" t="s">
        <v>225</v>
      </c>
      <c r="G7" s="54" t="str">
        <f aca="false">IF($A7="","",IF($H7=0,"（尚無對應能力）",IFERROR(INDEX(16_能力商機矩陣_CapOppMap!$D$160:$CO$160,MATCH($A7,16_能力商機矩陣_CapOppMap!$D$4:$CO$4,0)),"")))</f>
        <v>D01; D02; D10</v>
      </c>
      <c r="H7" s="55" t="n">
        <f aca="false">IF($A7="","",IFERROR(INDEX(16_能力商機矩陣_CapOppMap!$D$156:$CO$156,MATCH($A7,16_能力商機矩陣_CapOppMap!$D$4:$CO$4,0)),""))</f>
        <v>4</v>
      </c>
      <c r="I7" s="56" t="n">
        <f aca="false">IF($A7="","",IFERROR(INDEX(16_能力商機矩陣_CapOppMap!$D$157:$CO$157,MATCH($A7,16_能力商機矩陣_CapOppMap!$D$4:$CO$4,0)),""))</f>
        <v>4.2</v>
      </c>
      <c r="J7" s="56" t="n">
        <f aca="false">IF($A7="","",IFERROR(INDEX(16_能力商機矩陣_CapOppMap!$D$158:$CO$158,MATCH($A7,16_能力商機矩陣_CapOppMap!$D$4:$CO$4,0)),""))</f>
        <v>2.2</v>
      </c>
      <c r="K7" s="57" t="n">
        <f aca="false">IF($A7="","",IFERROR(INDEX(16_能力商機矩陣_CapOppMap!$D$159:$CO$159,MATCH($A7,16_能力商機矩陣_CapOppMap!$D$4:$CO$4,0)),""))</f>
        <v>0</v>
      </c>
      <c r="L7" s="58" t="str">
        <f aca="false">IF($A7="","",IF($H7=0,"★白地商機：目前無對應能力，需新增能力或找新夥伴",IF($K7&gt;0,"有缺口："&amp;$K7&amp;"項可對外招募","已有能力可承接")))</f>
        <v>已有能力可承接</v>
      </c>
      <c r="M7" s="59" t="s">
        <v>226</v>
      </c>
      <c r="N7" s="60" t="s">
        <v>256</v>
      </c>
      <c r="O7" s="60" t="s">
        <v>257</v>
      </c>
      <c r="P7" s="59" t="s">
        <v>258</v>
      </c>
      <c r="Q7" s="60" t="s">
        <v>230</v>
      </c>
      <c r="R7" s="59" t="s">
        <v>259</v>
      </c>
      <c r="S7" s="53" t="s">
        <v>260</v>
      </c>
      <c r="T7" s="55" t="n">
        <f aca="false">IF($A7="","",COUNTIF(14_商機清單_Pipeline!$A$5:$A$34,$U7))</f>
        <v>0</v>
      </c>
      <c r="U7" s="54" t="str">
        <f aca="false">IF($B7="","",$A7&amp;" "&amp;$B7)</f>
        <v>OPP-03 外資醫院綠地投資與經營</v>
      </c>
      <c r="V7" s="52" t="s">
        <v>261</v>
      </c>
      <c r="W7" s="53" t="s">
        <v>262</v>
      </c>
      <c r="X7" s="55" t="n">
        <f aca="false">IF($A7="","",IFERROR(INDEX(16_能力商機矩陣_CapOppMap!$D$162:$CO$162,MATCH($A7,16_能力商機矩陣_CapOppMap!$D$4:$CO$4,0)),""))</f>
        <v>0</v>
      </c>
      <c r="Y7" s="61" t="n">
        <f aca="false">IF(OR($A7="",$H7=""),"",IF($H7=0,"",ROUND(0.45*$I7+0.35*$J7+0.2*IF(LEFT($F7,1)="③",5,IF(LEFT($F7,1)="②",3,1))-IF($K7&gt;0,0.3,0),2)+ROW()/100000))</f>
        <v>3.26007</v>
      </c>
      <c r="Z7" s="62" t="n">
        <f aca="false">IF($Y7="","",RANK($Y7,$Y$5:$Y$94))</f>
        <v>64</v>
      </c>
      <c r="AA7" s="68" t="s">
        <v>263</v>
      </c>
      <c r="AB7" s="69" t="s">
        <v>264</v>
      </c>
      <c r="AC7" s="65" t="s">
        <v>237</v>
      </c>
      <c r="AD7" s="66" t="s">
        <v>238</v>
      </c>
    </row>
    <row r="8" customFormat="false" ht="49.5" hidden="false" customHeight="true" outlineLevel="0" collapsed="false">
      <c r="A8" s="50" t="s">
        <v>265</v>
      </c>
      <c r="B8" s="51" t="s">
        <v>266</v>
      </c>
      <c r="C8" s="52" t="s">
        <v>267</v>
      </c>
      <c r="D8" s="52" t="s">
        <v>223</v>
      </c>
      <c r="E8" s="53" t="s">
        <v>268</v>
      </c>
      <c r="F8" s="53" t="s">
        <v>225</v>
      </c>
      <c r="G8" s="54" t="str">
        <f aca="false">IF($A8="","",IF($H8=0,"（尚無對應能力）",IFERROR(INDEX(16_能力商機矩陣_CapOppMap!$D$160:$CO$160,MATCH($A8,16_能力商機矩陣_CapOppMap!$D$4:$CO$4,0)),"")))</f>
        <v>D01; D02; D10</v>
      </c>
      <c r="H8" s="55" t="n">
        <f aca="false">IF($A8="","",IFERROR(INDEX(16_能力商機矩陣_CapOppMap!$D$156:$CO$156,MATCH($A8,16_能力商機矩陣_CapOppMap!$D$4:$CO$4,0)),""))</f>
        <v>4</v>
      </c>
      <c r="I8" s="56" t="n">
        <f aca="false">IF($A8="","",IFERROR(INDEX(16_能力商機矩陣_CapOppMap!$D$157:$CO$157,MATCH($A8,16_能力商機矩陣_CapOppMap!$D$4:$CO$4,0)),""))</f>
        <v>4.2</v>
      </c>
      <c r="J8" s="56" t="n">
        <f aca="false">IF($A8="","",IFERROR(INDEX(16_能力商機矩陣_CapOppMap!$D$158:$CO$158,MATCH($A8,16_能力商機矩陣_CapOppMap!$D$4:$CO$4,0)),""))</f>
        <v>2.2</v>
      </c>
      <c r="K8" s="57" t="n">
        <f aca="false">IF($A8="","",IFERROR(INDEX(16_能力商機矩陣_CapOppMap!$D$159:$CO$159,MATCH($A8,16_能力商機矩陣_CapOppMap!$D$4:$CO$4,0)),""))</f>
        <v>0</v>
      </c>
      <c r="L8" s="58" t="str">
        <f aca="false">IF($A8="","",IF($H8=0,"★白地商機：目前無對應能力，需新增能力或找新夥伴",IF($K8&gt;0,"有缺口："&amp;$K8&amp;"項可對外招募","已有能力可承接")))</f>
        <v>已有能力可承接</v>
      </c>
      <c r="M8" s="59" t="s">
        <v>269</v>
      </c>
      <c r="N8" s="60" t="s">
        <v>256</v>
      </c>
      <c r="O8" s="60" t="s">
        <v>270</v>
      </c>
      <c r="P8" s="59" t="s">
        <v>271</v>
      </c>
      <c r="Q8" s="60" t="s">
        <v>272</v>
      </c>
      <c r="R8" s="59" t="s">
        <v>273</v>
      </c>
      <c r="S8" s="53" t="s">
        <v>274</v>
      </c>
      <c r="T8" s="55" t="n">
        <f aca="false">IF($A8="","",COUNTIF(14_商機清單_Pipeline!$A$5:$A$34,$U8))</f>
        <v>0</v>
      </c>
      <c r="U8" s="54" t="str">
        <f aca="false">IF($B8="","",$A8&amp;" "&amp;$B8)</f>
        <v>OPP-04 公立醫院合作經營高端診區</v>
      </c>
      <c r="V8" s="70" t="s">
        <v>275</v>
      </c>
      <c r="W8" s="52"/>
      <c r="X8" s="55" t="n">
        <f aca="false">IF($A8="","",IFERROR(INDEX(16_能力商機矩陣_CapOppMap!$D$162:$CO$162,MATCH($A8,16_能力商機矩陣_CapOppMap!$D$4:$CO$4,0)),""))</f>
        <v>0</v>
      </c>
      <c r="Y8" s="61" t="n">
        <f aca="false">IF(OR($A8="",$H8=""),"",IF($H8=0,"",ROUND(0.45*$I8+0.35*$J8+0.2*IF(LEFT($F8,1)="③",5,IF(LEFT($F8,1)="②",3,1))-IF($K8&gt;0,0.3,0),2)+ROW()/100000))</f>
        <v>3.26008</v>
      </c>
      <c r="Z8" s="62" t="n">
        <f aca="false">IF($Y8="","",RANK($Y8,$Y$5:$Y$94))</f>
        <v>63</v>
      </c>
      <c r="AA8" s="68" t="s">
        <v>263</v>
      </c>
      <c r="AB8" s="64" t="s">
        <v>250</v>
      </c>
      <c r="AC8" s="67" t="s">
        <v>251</v>
      </c>
      <c r="AD8" s="66" t="s">
        <v>238</v>
      </c>
    </row>
    <row r="9" customFormat="false" ht="49.5" hidden="false" customHeight="true" outlineLevel="0" collapsed="false">
      <c r="A9" s="50" t="s">
        <v>276</v>
      </c>
      <c r="B9" s="51" t="s">
        <v>277</v>
      </c>
      <c r="C9" s="52" t="s">
        <v>278</v>
      </c>
      <c r="D9" s="52" t="s">
        <v>223</v>
      </c>
      <c r="E9" s="53" t="s">
        <v>279</v>
      </c>
      <c r="F9" s="53" t="s">
        <v>280</v>
      </c>
      <c r="G9" s="54" t="str">
        <f aca="false">IF($A9="","",IF($H9=0,"（尚無對應能力）",IFERROR(INDEX(16_能力商機矩陣_CapOppMap!$D$160:$CO$160,MATCH($A9,16_能力商機矩陣_CapOppMap!$D$4:$CO$4,0)),"")))</f>
        <v>D03; D05</v>
      </c>
      <c r="H9" s="55" t="n">
        <f aca="false">IF($A9="","",IFERROR(INDEX(16_能力商機矩陣_CapOppMap!$D$156:$CO$156,MATCH($A9,16_能力商機矩陣_CapOppMap!$D$4:$CO$4,0)),""))</f>
        <v>4</v>
      </c>
      <c r="I9" s="56" t="n">
        <f aca="false">IF($A9="","",IFERROR(INDEX(16_能力商機矩陣_CapOppMap!$D$157:$CO$157,MATCH($A9,16_能力商機矩陣_CapOppMap!$D$4:$CO$4,0)),""))</f>
        <v>4.6</v>
      </c>
      <c r="J9" s="56" t="n">
        <f aca="false">IF($A9="","",IFERROR(INDEX(16_能力商機矩陣_CapOppMap!$D$158:$CO$158,MATCH($A9,16_能力商機矩陣_CapOppMap!$D$4:$CO$4,0)),""))</f>
        <v>2.4</v>
      </c>
      <c r="K9" s="57" t="n">
        <f aca="false">IF($A9="","",IFERROR(INDEX(16_能力商機矩陣_CapOppMap!$D$159:$CO$159,MATCH($A9,16_能力商機矩陣_CapOppMap!$D$4:$CO$4,0)),""))</f>
        <v>1</v>
      </c>
      <c r="L9" s="58" t="str">
        <f aca="false">IF($A9="","",IF($H9=0,"★白地商機：目前無對應能力，需新增能力或找新夥伴",IF($K9&gt;0,"有缺口："&amp;$K9&amp;"項可對外招募","已有能力可承接")))</f>
        <v>有缺口：1項可對外招募</v>
      </c>
      <c r="M9" s="59" t="s">
        <v>269</v>
      </c>
      <c r="N9" s="60" t="s">
        <v>281</v>
      </c>
      <c r="O9" s="60" t="s">
        <v>282</v>
      </c>
      <c r="P9" s="59" t="s">
        <v>258</v>
      </c>
      <c r="Q9" s="60" t="s">
        <v>230</v>
      </c>
      <c r="R9" s="59" t="s">
        <v>283</v>
      </c>
      <c r="S9" s="52" t="s">
        <v>284</v>
      </c>
      <c r="T9" s="55" t="n">
        <f aca="false">IF($A9="","",COUNTIF(14_商機清單_Pipeline!$A$5:$A$34,$U9))</f>
        <v>0</v>
      </c>
      <c r="U9" s="54" t="str">
        <f aca="false">IF($B9="","",$A9&amp;" "&amp;$B9)</f>
        <v>OPP-05 省級醫院升級改造整案</v>
      </c>
      <c r="V9" s="53" t="s">
        <v>285</v>
      </c>
      <c r="W9" s="53" t="s">
        <v>286</v>
      </c>
      <c r="X9" s="55" t="n">
        <f aca="false">IF($A9="","",IFERROR(INDEX(16_能力商機矩陣_CapOppMap!$D$162:$CO$162,MATCH($A9,16_能力商機矩陣_CapOppMap!$D$4:$CO$4,0)),""))</f>
        <v>0</v>
      </c>
      <c r="Y9" s="61" t="n">
        <f aca="false">IF(OR($A9="",$H9=""),"",IF($H9=0,"",ROUND(0.45*$I9+0.35*$J9+0.2*IF(LEFT($F9,1)="③",5,IF(LEFT($F9,1)="②",3,1))-IF($K9&gt;0,0.3,0),2)+ROW()/100000))</f>
        <v>2.81009</v>
      </c>
      <c r="Z9" s="62" t="n">
        <f aca="false">IF($Y9="","",RANK($Y9,$Y$5:$Y$94))</f>
        <v>76</v>
      </c>
      <c r="AA9" s="71" t="s">
        <v>287</v>
      </c>
      <c r="AB9" s="64" t="s">
        <v>288</v>
      </c>
      <c r="AC9" s="65" t="s">
        <v>237</v>
      </c>
      <c r="AD9" s="66" t="s">
        <v>238</v>
      </c>
    </row>
    <row r="10" customFormat="false" ht="49.5" hidden="false" customHeight="true" outlineLevel="0" collapsed="false">
      <c r="A10" s="50" t="s">
        <v>289</v>
      </c>
      <c r="B10" s="51" t="s">
        <v>290</v>
      </c>
      <c r="C10" s="52" t="s">
        <v>291</v>
      </c>
      <c r="D10" s="52" t="s">
        <v>292</v>
      </c>
      <c r="E10" s="53" t="s">
        <v>293</v>
      </c>
      <c r="F10" s="53" t="s">
        <v>225</v>
      </c>
      <c r="G10" s="54" t="str">
        <f aca="false">IF($A10="","",IF($H10=0,"（尚無對應能力）",IFERROR(INDEX(16_能力商機矩陣_CapOppMap!$D$160:$CO$160,MATCH($A10,16_能力商機矩陣_CapOppMap!$D$4:$CO$4,0)),"")))</f>
        <v>D03</v>
      </c>
      <c r="H10" s="55" t="n">
        <f aca="false">IF($A10="","",IFERROR(INDEX(16_能力商機矩陣_CapOppMap!$D$156:$CO$156,MATCH($A10,16_能力商機矩陣_CapOppMap!$D$4:$CO$4,0)),""))</f>
        <v>4</v>
      </c>
      <c r="I10" s="56" t="n">
        <f aca="false">IF($A10="","",IFERROR(INDEX(16_能力商機矩陣_CapOppMap!$D$157:$CO$157,MATCH($A10,16_能力商機矩陣_CapOppMap!$D$4:$CO$4,0)),""))</f>
        <v>4.4</v>
      </c>
      <c r="J10" s="56" t="n">
        <f aca="false">IF($A10="","",IFERROR(INDEX(16_能力商機矩陣_CapOppMap!$D$158:$CO$158,MATCH($A10,16_能力商機矩陣_CapOppMap!$D$4:$CO$4,0)),""))</f>
        <v>2.4</v>
      </c>
      <c r="K10" s="57" t="n">
        <f aca="false">IF($A10="","",IFERROR(INDEX(16_能力商機矩陣_CapOppMap!$D$159:$CO$159,MATCH($A10,16_能力商機矩陣_CapOppMap!$D$4:$CO$4,0)),""))</f>
        <v>0</v>
      </c>
      <c r="L10" s="58" t="str">
        <f aca="false">IF($A10="","",IF($H10=0,"★白地商機：目前無對應能力，需新增能力或找新夥伴",IF($K10&gt;0,"有缺口："&amp;$K10&amp;"項可對外招募","已有能力可承接")))</f>
        <v>已有能力可承接</v>
      </c>
      <c r="M10" s="59" t="s">
        <v>269</v>
      </c>
      <c r="N10" s="60" t="s">
        <v>244</v>
      </c>
      <c r="O10" s="60" t="s">
        <v>228</v>
      </c>
      <c r="P10" s="59" t="s">
        <v>229</v>
      </c>
      <c r="Q10" s="60" t="s">
        <v>230</v>
      </c>
      <c r="R10" s="59" t="s">
        <v>283</v>
      </c>
      <c r="S10" s="53" t="s">
        <v>294</v>
      </c>
      <c r="T10" s="55" t="n">
        <f aca="false">IF($A10="","",COUNTIF(14_商機清單_Pipeline!$A$5:$A$34,$U10))</f>
        <v>0</v>
      </c>
      <c r="U10" s="54" t="str">
        <f aca="false">IF($B10="","",$A10&amp;" "&amp;$B10)</f>
        <v>OPP-06 醫院建築與院區總體規劃設計</v>
      </c>
      <c r="V10" s="53" t="s">
        <v>295</v>
      </c>
      <c r="W10" s="53" t="s">
        <v>296</v>
      </c>
      <c r="X10" s="55" t="n">
        <f aca="false">IF($A10="","",IFERROR(INDEX(16_能力商機矩陣_CapOppMap!$D$162:$CO$162,MATCH($A10,16_能力商機矩陣_CapOppMap!$D$4:$CO$4,0)),""))</f>
        <v>0</v>
      </c>
      <c r="Y10" s="61" t="n">
        <f aca="false">IF(OR($A10="",$H10=""),"",IF($H10=0,"",ROUND(0.45*$I10+0.35*$J10+0.2*IF(LEFT($F10,1)="③",5,IF(LEFT($F10,1)="②",3,1))-IF($K10&gt;0,0.3,0),2)+ROW()/100000))</f>
        <v>3.4201</v>
      </c>
      <c r="Z10" s="62" t="n">
        <f aca="false">IF($Y10="","",RANK($Y10,$Y$5:$Y$94))</f>
        <v>51</v>
      </c>
      <c r="AA10" s="71" t="s">
        <v>287</v>
      </c>
      <c r="AB10" s="64" t="s">
        <v>250</v>
      </c>
      <c r="AC10" s="67" t="s">
        <v>251</v>
      </c>
      <c r="AD10" s="72" t="s">
        <v>297</v>
      </c>
    </row>
    <row r="11" customFormat="false" ht="49.5" hidden="false" customHeight="true" outlineLevel="0" collapsed="false">
      <c r="A11" s="50" t="s">
        <v>298</v>
      </c>
      <c r="B11" s="51" t="s">
        <v>299</v>
      </c>
      <c r="C11" s="52" t="s">
        <v>300</v>
      </c>
      <c r="D11" s="52" t="s">
        <v>292</v>
      </c>
      <c r="E11" s="53" t="s">
        <v>301</v>
      </c>
      <c r="F11" s="53" t="s">
        <v>280</v>
      </c>
      <c r="G11" s="54" t="str">
        <f aca="false">IF($A11="","",IF($H11=0,"（尚無對應能力）",IFERROR(INDEX(16_能力商機矩陣_CapOppMap!$D$160:$CO$160,MATCH($A11,16_能力商機矩陣_CapOppMap!$D$4:$CO$4,0)),"")))</f>
        <v>D03</v>
      </c>
      <c r="H11" s="55" t="n">
        <f aca="false">IF($A11="","",IFERROR(INDEX(16_能力商機矩陣_CapOppMap!$D$156:$CO$156,MATCH($A11,16_能力商機矩陣_CapOppMap!$D$4:$CO$4,0)),""))</f>
        <v>5</v>
      </c>
      <c r="I11" s="56" t="n">
        <f aca="false">IF($A11="","",IFERROR(INDEX(16_能力商機矩陣_CapOppMap!$D$157:$CO$157,MATCH($A11,16_能力商機矩陣_CapOppMap!$D$4:$CO$4,0)),""))</f>
        <v>4.3</v>
      </c>
      <c r="J11" s="56" t="n">
        <f aca="false">IF($A11="","",IFERROR(INDEX(16_能力商機矩陣_CapOppMap!$D$158:$CO$158,MATCH($A11,16_能力商機矩陣_CapOppMap!$D$4:$CO$4,0)),""))</f>
        <v>2.5</v>
      </c>
      <c r="K11" s="57" t="n">
        <f aca="false">IF($A11="","",IFERROR(INDEX(16_能力商機矩陣_CapOppMap!$D$159:$CO$159,MATCH($A11,16_能力商機矩陣_CapOppMap!$D$4:$CO$4,0)),""))</f>
        <v>0</v>
      </c>
      <c r="L11" s="58" t="str">
        <f aca="false">IF($A11="","",IF($H11=0,"★白地商機：目前無對應能力，需新增能力或找新夥伴",IF($K11&gt;0,"有缺口："&amp;$K11&amp;"項可對外招募","已有能力可承接")))</f>
        <v>已有能力可承接</v>
      </c>
      <c r="M11" s="59" t="s">
        <v>302</v>
      </c>
      <c r="N11" s="60" t="s">
        <v>244</v>
      </c>
      <c r="O11" s="60" t="s">
        <v>303</v>
      </c>
      <c r="P11" s="59" t="s">
        <v>258</v>
      </c>
      <c r="Q11" s="60" t="s">
        <v>230</v>
      </c>
      <c r="R11" s="59" t="s">
        <v>304</v>
      </c>
      <c r="S11" s="53" t="s">
        <v>305</v>
      </c>
      <c r="T11" s="55" t="n">
        <f aca="false">IF($A11="","",COUNTIF(14_商機清單_Pipeline!$A$5:$A$34,$U11))</f>
        <v>0</v>
      </c>
      <c r="U11" s="54" t="str">
        <f aca="false">IF($B11="","",$A11&amp;" "&amp;$B11)</f>
        <v>OPP-07 千床級醫院統包工程(EPC)</v>
      </c>
      <c r="V11" s="70" t="s">
        <v>275</v>
      </c>
      <c r="W11" s="52"/>
      <c r="X11" s="55" t="n">
        <f aca="false">IF($A11="","",IFERROR(INDEX(16_能力商機矩陣_CapOppMap!$D$162:$CO$162,MATCH($A11,16_能力商機矩陣_CapOppMap!$D$4:$CO$4,0)),""))</f>
        <v>1</v>
      </c>
      <c r="Y11" s="61" t="n">
        <f aca="false">IF(OR($A11="",$H11=""),"",IF($H11=0,"",ROUND(0.45*$I11+0.35*$J11+0.2*IF(LEFT($F11,1)="③",5,IF(LEFT($F11,1)="②",3,1))-IF($K11&gt;0,0.3,0),2)+ROW()/100000))</f>
        <v>3.01011</v>
      </c>
      <c r="Z11" s="62" t="n">
        <f aca="false">IF($Y11="","",RANK($Y11,$Y$5:$Y$94))</f>
        <v>72</v>
      </c>
      <c r="AA11" s="71" t="s">
        <v>287</v>
      </c>
      <c r="AB11" s="64" t="s">
        <v>306</v>
      </c>
      <c r="AC11" s="65" t="s">
        <v>237</v>
      </c>
      <c r="AD11" s="72" t="s">
        <v>297</v>
      </c>
    </row>
    <row r="12" customFormat="false" ht="49.5" hidden="false" customHeight="true" outlineLevel="0" collapsed="false">
      <c r="A12" s="50" t="s">
        <v>307</v>
      </c>
      <c r="B12" s="51" t="s">
        <v>308</v>
      </c>
      <c r="C12" s="52" t="s">
        <v>309</v>
      </c>
      <c r="D12" s="52" t="s">
        <v>292</v>
      </c>
      <c r="E12" s="53" t="s">
        <v>310</v>
      </c>
      <c r="F12" s="53" t="s">
        <v>225</v>
      </c>
      <c r="G12" s="54" t="str">
        <f aca="false">IF($A12="","",IF($H12=0,"（尚無對應能力）",IFERROR(INDEX(16_能力商機矩陣_CapOppMap!$D$160:$CO$160,MATCH($A12,16_能力商機矩陣_CapOppMap!$D$4:$CO$4,0)),"")))</f>
        <v>D03; D05</v>
      </c>
      <c r="H12" s="55" t="n">
        <f aca="false">IF($A12="","",IFERROR(INDEX(16_能力商機矩陣_CapOppMap!$D$156:$CO$156,MATCH($A12,16_能力商機矩陣_CapOppMap!$D$4:$CO$4,0)),""))</f>
        <v>3</v>
      </c>
      <c r="I12" s="56" t="n">
        <f aca="false">IF($A12="","",IFERROR(INDEX(16_能力商機矩陣_CapOppMap!$D$157:$CO$157,MATCH($A12,16_能力商機矩陣_CapOppMap!$D$4:$CO$4,0)),""))</f>
        <v>4.6</v>
      </c>
      <c r="J12" s="56" t="n">
        <f aca="false">IF($A12="","",IFERROR(INDEX(16_能力商機矩陣_CapOppMap!$D$158:$CO$158,MATCH($A12,16_能力商機矩陣_CapOppMap!$D$4:$CO$4,0)),""))</f>
        <v>2.4</v>
      </c>
      <c r="K12" s="57" t="n">
        <f aca="false">IF($A12="","",IFERROR(INDEX(16_能力商機矩陣_CapOppMap!$D$159:$CO$159,MATCH($A12,16_能力商機矩陣_CapOppMap!$D$4:$CO$4,0)),""))</f>
        <v>1</v>
      </c>
      <c r="L12" s="58" t="str">
        <f aca="false">IF($A12="","",IF($H12=0,"★白地商機：目前無對應能力，需新增能力或找新夥伴",IF($K12&gt;0,"有缺口："&amp;$K12&amp;"項可對外招募","已有能力可承接")))</f>
        <v>有缺口：1項可對外招募</v>
      </c>
      <c r="M12" s="59" t="s">
        <v>302</v>
      </c>
      <c r="N12" s="60" t="s">
        <v>244</v>
      </c>
      <c r="O12" s="60" t="s">
        <v>303</v>
      </c>
      <c r="P12" s="59" t="s">
        <v>271</v>
      </c>
      <c r="Q12" s="60" t="s">
        <v>230</v>
      </c>
      <c r="R12" s="59" t="s">
        <v>304</v>
      </c>
      <c r="S12" s="53" t="s">
        <v>311</v>
      </c>
      <c r="T12" s="55" t="n">
        <f aca="false">IF($A12="","",COUNTIF(14_商機清單_Pipeline!$A$5:$A$34,$U12))</f>
        <v>0</v>
      </c>
      <c r="U12" s="54" t="str">
        <f aca="false">IF($B12="","",$A12&amp;" "&amp;$B12)</f>
        <v>OPP-08 手術室與加護病房潔淨空調（模組化OR）</v>
      </c>
      <c r="V12" s="53" t="s">
        <v>312</v>
      </c>
      <c r="W12" s="53" t="s">
        <v>313</v>
      </c>
      <c r="X12" s="55" t="n">
        <f aca="false">IF($A12="","",IFERROR(INDEX(16_能力商機矩陣_CapOppMap!$D$162:$CO$162,MATCH($A12,16_能力商機矩陣_CapOppMap!$D$4:$CO$4,0)),""))</f>
        <v>0</v>
      </c>
      <c r="Y12" s="61" t="n">
        <f aca="false">IF(OR($A12="",$H12=""),"",IF($H12=0,"",ROUND(0.45*$I12+0.35*$J12+0.2*IF(LEFT($F12,1)="③",5,IF(LEFT($F12,1)="②",3,1))-IF($K12&gt;0,0.3,0),2)+ROW()/100000))</f>
        <v>3.21012</v>
      </c>
      <c r="Z12" s="62" t="n">
        <f aca="false">IF($Y12="","",RANK($Y12,$Y$5:$Y$94))</f>
        <v>68</v>
      </c>
      <c r="AA12" s="71" t="s">
        <v>287</v>
      </c>
      <c r="AB12" s="64" t="s">
        <v>314</v>
      </c>
      <c r="AC12" s="65" t="s">
        <v>237</v>
      </c>
      <c r="AD12" s="72" t="s">
        <v>297</v>
      </c>
    </row>
    <row r="13" customFormat="false" ht="49.5" hidden="false" customHeight="true" outlineLevel="0" collapsed="false">
      <c r="A13" s="50" t="s">
        <v>315</v>
      </c>
      <c r="B13" s="51" t="s">
        <v>316</v>
      </c>
      <c r="C13" s="52" t="s">
        <v>317</v>
      </c>
      <c r="D13" s="52" t="s">
        <v>292</v>
      </c>
      <c r="E13" s="53" t="s">
        <v>318</v>
      </c>
      <c r="F13" s="53" t="s">
        <v>225</v>
      </c>
      <c r="G13" s="54" t="str">
        <f aca="false">IF($A13="","",IF($H13=0,"（尚無對應能力）",IFERROR(INDEX(16_能力商機矩陣_CapOppMap!$D$160:$CO$160,MATCH($A13,16_能力商機矩陣_CapOppMap!$D$4:$CO$4,0)),"")))</f>
        <v>D03</v>
      </c>
      <c r="H13" s="55" t="n">
        <f aca="false">IF($A13="","",IFERROR(INDEX(16_能力商機矩陣_CapOppMap!$D$156:$CO$156,MATCH($A13,16_能力商機矩陣_CapOppMap!$D$4:$CO$4,0)),""))</f>
        <v>1</v>
      </c>
      <c r="I13" s="56" t="n">
        <f aca="false">IF($A13="","",IFERROR(INDEX(16_能力商機矩陣_CapOppMap!$D$157:$CO$157,MATCH($A13,16_能力商機矩陣_CapOppMap!$D$4:$CO$4,0)),""))</f>
        <v>4.4</v>
      </c>
      <c r="J13" s="56" t="n">
        <f aca="false">IF($A13="","",IFERROR(INDEX(16_能力商機矩陣_CapOppMap!$D$158:$CO$158,MATCH($A13,16_能力商機矩陣_CapOppMap!$D$4:$CO$4,0)),""))</f>
        <v>2.4</v>
      </c>
      <c r="K13" s="57" t="n">
        <f aca="false">IF($A13="","",IFERROR(INDEX(16_能力商機矩陣_CapOppMap!$D$159:$CO$159,MATCH($A13,16_能力商機矩陣_CapOppMap!$D$4:$CO$4,0)),""))</f>
        <v>0</v>
      </c>
      <c r="L13" s="58" t="str">
        <f aca="false">IF($A13="","",IF($H13=0,"★白地商機：目前無對應能力，需新增能力或找新夥伴",IF($K13&gt;0,"有缺口："&amp;$K13&amp;"項可對外招募","已有能力可承接")))</f>
        <v>已有能力可承接</v>
      </c>
      <c r="M13" s="59" t="s">
        <v>302</v>
      </c>
      <c r="N13" s="60" t="s">
        <v>244</v>
      </c>
      <c r="O13" s="60" t="s">
        <v>303</v>
      </c>
      <c r="P13" s="59" t="s">
        <v>229</v>
      </c>
      <c r="Q13" s="60" t="s">
        <v>230</v>
      </c>
      <c r="R13" s="59" t="s">
        <v>304</v>
      </c>
      <c r="S13" s="53" t="s">
        <v>319</v>
      </c>
      <c r="T13" s="55" t="n">
        <f aca="false">IF($A13="","",COUNTIF(14_商機清單_Pipeline!$A$5:$A$34,$U13))</f>
        <v>0</v>
      </c>
      <c r="U13" s="54" t="str">
        <f aca="false">IF($B13="","",$A13&amp;" "&amp;$B13)</f>
        <v>OPP-09 醫用氣體與真空系統（含竣工確效）</v>
      </c>
      <c r="V13" s="70" t="s">
        <v>275</v>
      </c>
      <c r="W13" s="52"/>
      <c r="X13" s="55" t="n">
        <f aca="false">IF($A13="","",IFERROR(INDEX(16_能力商機矩陣_CapOppMap!$D$162:$CO$162,MATCH($A13,16_能力商機矩陣_CapOppMap!$D$4:$CO$4,0)),""))</f>
        <v>0</v>
      </c>
      <c r="Y13" s="61" t="n">
        <f aca="false">IF(OR($A13="",$H13=""),"",IF($H13=0,"",ROUND(0.45*$I13+0.35*$J13+0.2*IF(LEFT($F13,1)="③",5,IF(LEFT($F13,1)="②",3,1))-IF($K13&gt;0,0.3,0),2)+ROW()/100000))</f>
        <v>3.42013</v>
      </c>
      <c r="Z13" s="62" t="n">
        <f aca="false">IF($Y13="","",RANK($Y13,$Y$5:$Y$94))</f>
        <v>50</v>
      </c>
      <c r="AA13" s="71" t="s">
        <v>287</v>
      </c>
      <c r="AB13" s="69" t="s">
        <v>320</v>
      </c>
      <c r="AC13" s="65" t="s">
        <v>237</v>
      </c>
      <c r="AD13" s="72" t="s">
        <v>297</v>
      </c>
    </row>
    <row r="14" customFormat="false" ht="49.5" hidden="false" customHeight="true" outlineLevel="0" collapsed="false">
      <c r="A14" s="50" t="s">
        <v>321</v>
      </c>
      <c r="B14" s="51" t="s">
        <v>322</v>
      </c>
      <c r="C14" s="52" t="s">
        <v>323</v>
      </c>
      <c r="D14" s="52" t="s">
        <v>292</v>
      </c>
      <c r="E14" s="53" t="s">
        <v>324</v>
      </c>
      <c r="F14" s="53" t="s">
        <v>225</v>
      </c>
      <c r="G14" s="54" t="str">
        <f aca="false">IF($A14="","",IF($H14=0,"（尚無對應能力）",IFERROR(INDEX(16_能力商機矩陣_CapOppMap!$D$160:$CO$160,MATCH($A14,16_能力商機矩陣_CapOppMap!$D$4:$CO$4,0)),"")))</f>
        <v>D03</v>
      </c>
      <c r="H14" s="55" t="n">
        <f aca="false">IF($A14="","",IFERROR(INDEX(16_能力商機矩陣_CapOppMap!$D$156:$CO$156,MATCH($A14,16_能力商機矩陣_CapOppMap!$D$4:$CO$4,0)),""))</f>
        <v>1</v>
      </c>
      <c r="I14" s="56" t="n">
        <f aca="false">IF($A14="","",IFERROR(INDEX(16_能力商機矩陣_CapOppMap!$D$157:$CO$157,MATCH($A14,16_能力商機矩陣_CapOppMap!$D$4:$CO$4,0)),""))</f>
        <v>4.4</v>
      </c>
      <c r="J14" s="56" t="n">
        <f aca="false">IF($A14="","",IFERROR(INDEX(16_能力商機矩陣_CapOppMap!$D$158:$CO$158,MATCH($A14,16_能力商機矩陣_CapOppMap!$D$4:$CO$4,0)),""))</f>
        <v>2.7</v>
      </c>
      <c r="K14" s="57" t="n">
        <f aca="false">IF($A14="","",IFERROR(INDEX(16_能力商機矩陣_CapOppMap!$D$159:$CO$159,MATCH($A14,16_能力商機矩陣_CapOppMap!$D$4:$CO$4,0)),""))</f>
        <v>0</v>
      </c>
      <c r="L14" s="58" t="str">
        <f aca="false">IF($A14="","",IF($H14=0,"★白地商機：目前無對應能力，需新增能力或找新夥伴",IF($K14&gt;0,"有缺口："&amp;$K14&amp;"項可對外招募","已有能力可承接")))</f>
        <v>已有能力可承接</v>
      </c>
      <c r="M14" s="59" t="s">
        <v>302</v>
      </c>
      <c r="N14" s="60" t="s">
        <v>244</v>
      </c>
      <c r="O14" s="60" t="s">
        <v>303</v>
      </c>
      <c r="P14" s="59" t="s">
        <v>229</v>
      </c>
      <c r="Q14" s="60" t="s">
        <v>230</v>
      </c>
      <c r="R14" s="59" t="s">
        <v>304</v>
      </c>
      <c r="S14" s="52" t="s">
        <v>325</v>
      </c>
      <c r="T14" s="55" t="n">
        <f aca="false">IF($A14="","",COUNTIF(14_商機清單_Pipeline!$A$5:$A$34,$U14))</f>
        <v>0</v>
      </c>
      <c r="U14" s="54" t="str">
        <f aca="false">IF($B14="","",$A14&amp;" "&amp;$B14)</f>
        <v>OPP-10 醫院供電韌性與隔離電源系統</v>
      </c>
      <c r="V14" s="70" t="s">
        <v>275</v>
      </c>
      <c r="W14" s="52"/>
      <c r="X14" s="55" t="n">
        <f aca="false">IF($A14="","",IFERROR(INDEX(16_能力商機矩陣_CapOppMap!$D$162:$CO$162,MATCH($A14,16_能力商機矩陣_CapOppMap!$D$4:$CO$4,0)),""))</f>
        <v>1</v>
      </c>
      <c r="Y14" s="61" t="n">
        <f aca="false">IF(OR($A14="",$H14=""),"",IF($H14=0,"",ROUND(0.45*$I14+0.35*$J14+0.2*IF(LEFT($F14,1)="③",5,IF(LEFT($F14,1)="②",3,1))-IF($K14&gt;0,0.3,0),2)+ROW()/100000))</f>
        <v>3.53014</v>
      </c>
      <c r="Z14" s="62" t="n">
        <f aca="false">IF($Y14="","",RANK($Y14,$Y$5:$Y$94))</f>
        <v>45</v>
      </c>
      <c r="AA14" s="71" t="s">
        <v>287</v>
      </c>
      <c r="AB14" s="64" t="s">
        <v>326</v>
      </c>
      <c r="AC14" s="73" t="s">
        <v>327</v>
      </c>
      <c r="AD14" s="72" t="s">
        <v>297</v>
      </c>
    </row>
    <row r="15" customFormat="false" ht="49.5" hidden="false" customHeight="true" outlineLevel="0" collapsed="false">
      <c r="A15" s="50" t="s">
        <v>328</v>
      </c>
      <c r="B15" s="51" t="s">
        <v>329</v>
      </c>
      <c r="C15" s="52" t="s">
        <v>330</v>
      </c>
      <c r="D15" s="52" t="s">
        <v>292</v>
      </c>
      <c r="E15" s="53" t="s">
        <v>331</v>
      </c>
      <c r="F15" s="53" t="s">
        <v>225</v>
      </c>
      <c r="G15" s="54" t="str">
        <f aca="false">IF($A15="","",IF($H15=0,"（尚無對應能力）",IFERROR(INDEX(16_能力商機矩陣_CapOppMap!$D$160:$CO$160,MATCH($A15,16_能力商機矩陣_CapOppMap!$D$4:$CO$4,0)),"")))</f>
        <v>D03</v>
      </c>
      <c r="H15" s="55" t="n">
        <f aca="false">IF($A15="","",IFERROR(INDEX(16_能力商機矩陣_CapOppMap!$D$156:$CO$156,MATCH($A15,16_能力商機矩陣_CapOppMap!$D$4:$CO$4,0)),""))</f>
        <v>1</v>
      </c>
      <c r="I15" s="56" t="n">
        <f aca="false">IF($A15="","",IFERROR(INDEX(16_能力商機矩陣_CapOppMap!$D$157:$CO$157,MATCH($A15,16_能力商機矩陣_CapOppMap!$D$4:$CO$4,0)),""))</f>
        <v>4.1</v>
      </c>
      <c r="J15" s="56" t="n">
        <f aca="false">IF($A15="","",IFERROR(INDEX(16_能力商機矩陣_CapOppMap!$D$158:$CO$158,MATCH($A15,16_能力商機矩陣_CapOppMap!$D$4:$CO$4,0)),""))</f>
        <v>2.4</v>
      </c>
      <c r="K15" s="57" t="n">
        <f aca="false">IF($A15="","",IFERROR(INDEX(16_能力商機矩陣_CapOppMap!$D$159:$CO$159,MATCH($A15,16_能力商機矩陣_CapOppMap!$D$4:$CO$4,0)),""))</f>
        <v>0</v>
      </c>
      <c r="L15" s="58" t="str">
        <f aca="false">IF($A15="","",IF($H15=0,"★白地商機：目前無對應能力，需新增能力或找新夥伴",IF($K15&gt;0,"有缺口："&amp;$K15&amp;"項可對外招募","已有能力可承接")))</f>
        <v>已有能力可承接</v>
      </c>
      <c r="M15" s="59" t="s">
        <v>302</v>
      </c>
      <c r="N15" s="60" t="s">
        <v>332</v>
      </c>
      <c r="O15" s="60" t="s">
        <v>333</v>
      </c>
      <c r="P15" s="59" t="s">
        <v>229</v>
      </c>
      <c r="Q15" s="60" t="s">
        <v>230</v>
      </c>
      <c r="R15" s="59" t="s">
        <v>334</v>
      </c>
      <c r="S15" s="53" t="s">
        <v>335</v>
      </c>
      <c r="T15" s="55" t="n">
        <f aca="false">IF($A15="","",COUNTIF(14_商機清單_Pipeline!$A$5:$A$34,$U15))</f>
        <v>0</v>
      </c>
      <c r="U15" s="54" t="str">
        <f aca="false">IF($B15="","",$A15&amp;" "&amp;$B15)</f>
        <v>OPP-11 醫療廢水與廢棄物處理廠</v>
      </c>
      <c r="V15" s="53" t="s">
        <v>336</v>
      </c>
      <c r="W15" s="53" t="s">
        <v>337</v>
      </c>
      <c r="X15" s="55" t="n">
        <f aca="false">IF($A15="","",IFERROR(INDEX(16_能力商機矩陣_CapOppMap!$D$162:$CO$162,MATCH($A15,16_能力商機矩陣_CapOppMap!$D$4:$CO$4,0)),""))</f>
        <v>0</v>
      </c>
      <c r="Y15" s="61" t="n">
        <f aca="false">IF(OR($A15="",$H15=""),"",IF($H15=0,"",ROUND(0.45*$I15+0.35*$J15+0.2*IF(LEFT($F15,1)="③",5,IF(LEFT($F15,1)="②",3,1))-IF($K15&gt;0,0.3,0),2)+ROW()/100000))</f>
        <v>3.29015</v>
      </c>
      <c r="Z15" s="62" t="n">
        <f aca="false">IF($Y15="","",RANK($Y15,$Y$5:$Y$94))</f>
        <v>57</v>
      </c>
      <c r="AA15" s="71" t="s">
        <v>287</v>
      </c>
      <c r="AB15" s="64" t="s">
        <v>338</v>
      </c>
      <c r="AC15" s="65" t="s">
        <v>237</v>
      </c>
      <c r="AD15" s="72" t="s">
        <v>297</v>
      </c>
    </row>
    <row r="16" customFormat="false" ht="49.5" hidden="false" customHeight="true" outlineLevel="0" collapsed="false">
      <c r="A16" s="50" t="s">
        <v>339</v>
      </c>
      <c r="B16" s="51" t="s">
        <v>340</v>
      </c>
      <c r="C16" s="52" t="s">
        <v>341</v>
      </c>
      <c r="D16" s="52" t="s">
        <v>292</v>
      </c>
      <c r="E16" s="53" t="s">
        <v>342</v>
      </c>
      <c r="F16" s="53" t="s">
        <v>343</v>
      </c>
      <c r="G16" s="54" t="str">
        <f aca="false">IF($A16="","",IF($H16=0,"（尚無對應能力）",IFERROR(INDEX(16_能力商機矩陣_CapOppMap!$D$160:$CO$160,MATCH($A16,16_能力商機矩陣_CapOppMap!$D$4:$CO$4,0)),"")))</f>
        <v>D03</v>
      </c>
      <c r="H16" s="55" t="n">
        <f aca="false">IF($A16="","",IFERROR(INDEX(16_能力商機矩陣_CapOppMap!$D$156:$CO$156,MATCH($A16,16_能力商機矩陣_CapOppMap!$D$4:$CO$4,0)),""))</f>
        <v>2</v>
      </c>
      <c r="I16" s="56" t="n">
        <f aca="false">IF($A16="","",IFERROR(INDEX(16_能力商機矩陣_CapOppMap!$D$157:$CO$157,MATCH($A16,16_能力商機矩陣_CapOppMap!$D$4:$CO$4,0)),""))</f>
        <v>4.3</v>
      </c>
      <c r="J16" s="56" t="n">
        <f aca="false">IF($A16="","",IFERROR(INDEX(16_能力商機矩陣_CapOppMap!$D$158:$CO$158,MATCH($A16,16_能力商機矩陣_CapOppMap!$D$4:$CO$4,0)),""))</f>
        <v>2.6</v>
      </c>
      <c r="K16" s="57" t="n">
        <f aca="false">IF($A16="","",IFERROR(INDEX(16_能力商機矩陣_CapOppMap!$D$159:$CO$159,MATCH($A16,16_能力商機矩陣_CapOppMap!$D$4:$CO$4,0)),""))</f>
        <v>0</v>
      </c>
      <c r="L16" s="58" t="str">
        <f aca="false">IF($A16="","",IF($H16=0,"★白地商機：目前無對應能力，需新增能力或找新夥伴",IF($K16&gt;0,"有缺口："&amp;$K16&amp;"項可對外招募","已有能力可承接")))</f>
        <v>已有能力可承接</v>
      </c>
      <c r="M16" s="59" t="s">
        <v>344</v>
      </c>
      <c r="N16" s="60" t="s">
        <v>332</v>
      </c>
      <c r="O16" s="60" t="s">
        <v>345</v>
      </c>
      <c r="P16" s="59" t="s">
        <v>229</v>
      </c>
      <c r="Q16" s="60" t="s">
        <v>272</v>
      </c>
      <c r="R16" s="59" t="s">
        <v>346</v>
      </c>
      <c r="S16" s="53" t="s">
        <v>347</v>
      </c>
      <c r="T16" s="55" t="n">
        <f aca="false">IF($A16="","",COUNTIF(14_商機清單_Pipeline!$A$5:$A$34,$U16))</f>
        <v>0</v>
      </c>
      <c r="U16" s="54" t="str">
        <f aca="false">IF($B16="","",$A16&amp;" "&amp;$B16)</f>
        <v>OPP-12 綠色醫院能源績效合約與屋頂光電</v>
      </c>
      <c r="V16" s="70" t="s">
        <v>275</v>
      </c>
      <c r="W16" s="52"/>
      <c r="X16" s="55" t="n">
        <f aca="false">IF($A16="","",IFERROR(INDEX(16_能力商機矩陣_CapOppMap!$D$162:$CO$162,MATCH($A16,16_能力商機矩陣_CapOppMap!$D$4:$CO$4,0)),""))</f>
        <v>1</v>
      </c>
      <c r="Y16" s="61" t="n">
        <f aca="false">IF(OR($A16="",$H16=""),"",IF($H16=0,"",ROUND(0.45*$I16+0.35*$J16+0.2*IF(LEFT($F16,1)="③",5,IF(LEFT($F16,1)="②",3,1))-IF($K16&gt;0,0.3,0),2)+ROW()/100000))</f>
        <v>3.85016</v>
      </c>
      <c r="Z16" s="62" t="n">
        <f aca="false">IF($Y16="","",RANK($Y16,$Y$5:$Y$94))</f>
        <v>17</v>
      </c>
      <c r="AA16" s="71" t="s">
        <v>287</v>
      </c>
      <c r="AB16" s="69" t="s">
        <v>348</v>
      </c>
      <c r="AC16" s="65" t="s">
        <v>237</v>
      </c>
      <c r="AD16" s="72" t="s">
        <v>297</v>
      </c>
    </row>
    <row r="17" customFormat="false" ht="49.5" hidden="false" customHeight="true" outlineLevel="0" collapsed="false">
      <c r="A17" s="50" t="s">
        <v>349</v>
      </c>
      <c r="B17" s="51" t="s">
        <v>350</v>
      </c>
      <c r="C17" s="52" t="s">
        <v>351</v>
      </c>
      <c r="D17" s="52" t="s">
        <v>292</v>
      </c>
      <c r="E17" s="53" t="s">
        <v>352</v>
      </c>
      <c r="F17" s="53" t="s">
        <v>225</v>
      </c>
      <c r="G17" s="54" t="str">
        <f aca="false">IF($A17="","",IF($H17=0,"（尚無對應能力）",IFERROR(INDEX(16_能力商機矩陣_CapOppMap!$D$160:$CO$160,MATCH($A17,16_能力商機矩陣_CapOppMap!$D$4:$CO$4,0)),"")))</f>
        <v>D03; D05</v>
      </c>
      <c r="H17" s="55" t="n">
        <f aca="false">IF($A17="","",IFERROR(INDEX(16_能力商機矩陣_CapOppMap!$D$156:$CO$156,MATCH($A17,16_能力商機矩陣_CapOppMap!$D$4:$CO$4,0)),""))</f>
        <v>2</v>
      </c>
      <c r="I17" s="56" t="n">
        <f aca="false">IF($A17="","",IFERROR(INDEX(16_能力商機矩陣_CapOppMap!$D$157:$CO$157,MATCH($A17,16_能力商機矩陣_CapOppMap!$D$4:$CO$4,0)),""))</f>
        <v>4.7</v>
      </c>
      <c r="J17" s="56" t="n">
        <f aca="false">IF($A17="","",IFERROR(INDEX(16_能力商機矩陣_CapOppMap!$D$158:$CO$158,MATCH($A17,16_能力商機矩陣_CapOppMap!$D$4:$CO$4,0)),""))</f>
        <v>2.4</v>
      </c>
      <c r="K17" s="57" t="n">
        <f aca="false">IF($A17="","",IFERROR(INDEX(16_能力商機矩陣_CapOppMap!$D$159:$CO$159,MATCH($A17,16_能力商機矩陣_CapOppMap!$D$4:$CO$4,0)),""))</f>
        <v>0</v>
      </c>
      <c r="L17" s="58" t="str">
        <f aca="false">IF($A17="","",IF($H17=0,"★白地商機：目前無對應能力，需新增能力或找新夥伴",IF($K17&gt;0,"有缺口："&amp;$K17&amp;"項可對外招募","已有能力可承接")))</f>
        <v>已有能力可承接</v>
      </c>
      <c r="M17" s="59" t="s">
        <v>302</v>
      </c>
      <c r="N17" s="60" t="s">
        <v>244</v>
      </c>
      <c r="O17" s="60" t="s">
        <v>353</v>
      </c>
      <c r="P17" s="59" t="s">
        <v>229</v>
      </c>
      <c r="Q17" s="60" t="s">
        <v>230</v>
      </c>
      <c r="R17" s="59" t="s">
        <v>354</v>
      </c>
      <c r="S17" s="53" t="s">
        <v>355</v>
      </c>
      <c r="T17" s="55" t="n">
        <f aca="false">IF($A17="","",COUNTIF(14_商機清單_Pipeline!$A$5:$A$34,$U17))</f>
        <v>0</v>
      </c>
      <c r="U17" s="54" t="str">
        <f aca="false">IF($B17="","",$A17&amp;" "&amp;$B17)</f>
        <v>OPP-13 消毒供應中心(CSSD)設備整廠</v>
      </c>
      <c r="V17" s="70" t="s">
        <v>275</v>
      </c>
      <c r="W17" s="52"/>
      <c r="X17" s="55" t="n">
        <f aca="false">IF($A17="","",IFERROR(INDEX(16_能力商機矩陣_CapOppMap!$D$162:$CO$162,MATCH($A17,16_能力商機矩陣_CapOppMap!$D$4:$CO$4,0)),""))</f>
        <v>0</v>
      </c>
      <c r="Y17" s="61" t="n">
        <f aca="false">IF(OR($A17="",$H17=""),"",IF($H17=0,"",ROUND(0.45*$I17+0.35*$J17+0.2*IF(LEFT($F17,1)="③",5,IF(LEFT($F17,1)="②",3,1))-IF($K17&gt;0,0.3,0),2)+ROW()/100000))</f>
        <v>3.56017</v>
      </c>
      <c r="Z17" s="62" t="n">
        <f aca="false">IF($Y17="","",RANK($Y17,$Y$5:$Y$94))</f>
        <v>43</v>
      </c>
      <c r="AA17" s="71" t="s">
        <v>287</v>
      </c>
      <c r="AB17" s="64" t="s">
        <v>250</v>
      </c>
      <c r="AC17" s="67" t="s">
        <v>251</v>
      </c>
      <c r="AD17" s="72" t="s">
        <v>297</v>
      </c>
    </row>
    <row r="18" customFormat="false" ht="49.5" hidden="false" customHeight="true" outlineLevel="0" collapsed="false">
      <c r="A18" s="50" t="s">
        <v>356</v>
      </c>
      <c r="B18" s="51" t="s">
        <v>357</v>
      </c>
      <c r="C18" s="52" t="s">
        <v>358</v>
      </c>
      <c r="D18" s="52" t="s">
        <v>359</v>
      </c>
      <c r="E18" s="53" t="s">
        <v>360</v>
      </c>
      <c r="F18" s="53" t="s">
        <v>280</v>
      </c>
      <c r="G18" s="54" t="str">
        <f aca="false">IF($A18="","",IF($H18=0,"（尚無對應能力）",IFERROR(INDEX(16_能力商機矩陣_CapOppMap!$D$160:$CO$160,MATCH($A18,16_能力商機矩陣_CapOppMap!$D$4:$CO$4,0)),"")))</f>
        <v>D05</v>
      </c>
      <c r="H18" s="55" t="n">
        <f aca="false">IF($A18="","",IFERROR(INDEX(16_能力商機矩陣_CapOppMap!$D$156:$CO$156,MATCH($A18,16_能力商機矩陣_CapOppMap!$D$4:$CO$4,0)),""))</f>
        <v>2</v>
      </c>
      <c r="I18" s="56" t="n">
        <f aca="false">IF($A18="","",IFERROR(INDEX(16_能力商機矩陣_CapOppMap!$D$157:$CO$157,MATCH($A18,16_能力商機矩陣_CapOppMap!$D$4:$CO$4,0)),""))</f>
        <v>4.7</v>
      </c>
      <c r="J18" s="56" t="n">
        <f aca="false">IF($A18="","",IFERROR(INDEX(16_能力商機矩陣_CapOppMap!$D$158:$CO$158,MATCH($A18,16_能力商機矩陣_CapOppMap!$D$4:$CO$4,0)),""))</f>
        <v>2.4</v>
      </c>
      <c r="K18" s="57" t="n">
        <f aca="false">IF($A18="","",IFERROR(INDEX(16_能力商機矩陣_CapOppMap!$D$159:$CO$159,MATCH($A18,16_能力商機矩陣_CapOppMap!$D$4:$CO$4,0)),""))</f>
        <v>1</v>
      </c>
      <c r="L18" s="58" t="str">
        <f aca="false">IF($A18="","",IF($H18=0,"★白地商機：目前無對應能力，需新增能力或找新夥伴",IF($K18&gt;0,"有缺口："&amp;$K18&amp;"項可對外招募","已有能力可承接")))</f>
        <v>有缺口：1項可對外招募</v>
      </c>
      <c r="M18" s="59" t="s">
        <v>361</v>
      </c>
      <c r="N18" s="60" t="s">
        <v>244</v>
      </c>
      <c r="O18" s="60" t="s">
        <v>362</v>
      </c>
      <c r="P18" s="59" t="s">
        <v>271</v>
      </c>
      <c r="Q18" s="60" t="s">
        <v>230</v>
      </c>
      <c r="R18" s="59" t="s">
        <v>363</v>
      </c>
      <c r="S18" s="52" t="s">
        <v>364</v>
      </c>
      <c r="T18" s="55" t="n">
        <f aca="false">IF($A18="","",COUNTIF(14_商機清單_Pipeline!$A$5:$A$34,$U18))</f>
        <v>1</v>
      </c>
      <c r="U18" s="54" t="str">
        <f aca="false">IF($B18="","",$A18&amp;" "&amp;$B18)</f>
        <v>OPP-14 影像設備整批交鑰匙（CT/MRI/DSA＋機房）</v>
      </c>
      <c r="V18" s="52" t="s">
        <v>365</v>
      </c>
      <c r="W18" s="53" t="s">
        <v>366</v>
      </c>
      <c r="X18" s="55" t="n">
        <f aca="false">IF($A18="","",IFERROR(INDEX(16_能力商機矩陣_CapOppMap!$D$162:$CO$162,MATCH($A18,16_能力商機矩陣_CapOppMap!$D$4:$CO$4,0)),""))</f>
        <v>0</v>
      </c>
      <c r="Y18" s="61" t="n">
        <f aca="false">IF(OR($A18="",$H18=""),"",IF($H18=0,"",ROUND(0.45*$I18+0.35*$J18+0.2*IF(LEFT($F18,1)="③",5,IF(LEFT($F18,1)="②",3,1))-IF($K18&gt;0,0.3,0),2)+ROW()/100000))</f>
        <v>2.86018</v>
      </c>
      <c r="Z18" s="62" t="n">
        <f aca="false">IF($Y18="","",RANK($Y18,$Y$5:$Y$94))</f>
        <v>75</v>
      </c>
      <c r="AA18" s="74" t="s">
        <v>367</v>
      </c>
      <c r="AB18" s="64" t="s">
        <v>368</v>
      </c>
      <c r="AC18" s="65" t="s">
        <v>237</v>
      </c>
      <c r="AD18" s="72" t="s">
        <v>369</v>
      </c>
    </row>
    <row r="19" customFormat="false" ht="49.5" hidden="false" customHeight="true" outlineLevel="0" collapsed="false">
      <c r="A19" s="50" t="s">
        <v>370</v>
      </c>
      <c r="B19" s="51" t="s">
        <v>371</v>
      </c>
      <c r="C19" s="52" t="s">
        <v>372</v>
      </c>
      <c r="D19" s="52" t="s">
        <v>359</v>
      </c>
      <c r="E19" s="53" t="s">
        <v>373</v>
      </c>
      <c r="F19" s="53" t="s">
        <v>343</v>
      </c>
      <c r="G19" s="54" t="str">
        <f aca="false">IF($A19="","",IF($H19=0,"（尚無對應能力）",IFERROR(INDEX(16_能力商機矩陣_CapOppMap!$D$160:$CO$160,MATCH($A19,16_能力商機矩陣_CapOppMap!$D$4:$CO$4,0)),"")))</f>
        <v>D05</v>
      </c>
      <c r="H19" s="55" t="n">
        <f aca="false">IF($A19="","",IFERROR(INDEX(16_能力商機矩陣_CapOppMap!$D$156:$CO$156,MATCH($A19,16_能力商機矩陣_CapOppMap!$D$4:$CO$4,0)),""))</f>
        <v>3</v>
      </c>
      <c r="I19" s="56" t="n">
        <f aca="false">IF($A19="","",IFERROR(INDEX(16_能力商機矩陣_CapOppMap!$D$157:$CO$157,MATCH($A19,16_能力商機矩陣_CapOppMap!$D$4:$CO$4,0)),""))</f>
        <v>4.7</v>
      </c>
      <c r="J19" s="56" t="n">
        <f aca="false">IF($A19="","",IFERROR(INDEX(16_能力商機矩陣_CapOppMap!$D$158:$CO$158,MATCH($A19,16_能力商機矩陣_CapOppMap!$D$4:$CO$4,0)),""))</f>
        <v>2.4</v>
      </c>
      <c r="K19" s="57" t="n">
        <f aca="false">IF($A19="","",IFERROR(INDEX(16_能力商機矩陣_CapOppMap!$D$159:$CO$159,MATCH($A19,16_能力商機矩陣_CapOppMap!$D$4:$CO$4,0)),""))</f>
        <v>1</v>
      </c>
      <c r="L19" s="58" t="str">
        <f aca="false">IF($A19="","",IF($H19=0,"★白地商機：目前無對應能力，需新增能力或找新夥伴",IF($K19&gt;0,"有缺口："&amp;$K19&amp;"項可對外招募","已有能力可承接")))</f>
        <v>有缺口：1項可對外招募</v>
      </c>
      <c r="M19" s="59" t="s">
        <v>302</v>
      </c>
      <c r="N19" s="60" t="s">
        <v>281</v>
      </c>
      <c r="O19" s="60" t="s">
        <v>282</v>
      </c>
      <c r="P19" s="59" t="s">
        <v>258</v>
      </c>
      <c r="Q19" s="60" t="s">
        <v>230</v>
      </c>
      <c r="R19" s="59" t="s">
        <v>354</v>
      </c>
      <c r="S19" s="53" t="s">
        <v>374</v>
      </c>
      <c r="T19" s="55" t="n">
        <f aca="false">IF($A19="","",COUNTIF(14_商機清單_Pipeline!$A$5:$A$34,$U19))</f>
        <v>0</v>
      </c>
      <c r="U19" s="54" t="str">
        <f aca="false">IF($B19="","",$A19&amp;" "&amp;$B19)</f>
        <v>OPP-15 放射腫瘤與核醫中心整廠</v>
      </c>
      <c r="V19" s="52" t="s">
        <v>375</v>
      </c>
      <c r="W19" s="53" t="s">
        <v>376</v>
      </c>
      <c r="X19" s="55" t="n">
        <f aca="false">IF($A19="","",IFERROR(INDEX(16_能力商機矩陣_CapOppMap!$D$162:$CO$162,MATCH($A19,16_能力商機矩陣_CapOppMap!$D$4:$CO$4,0)),""))</f>
        <v>0</v>
      </c>
      <c r="Y19" s="61" t="n">
        <f aca="false">IF(OR($A19="",$H19=""),"",IF($H19=0,"",ROUND(0.45*$I19+0.35*$J19+0.2*IF(LEFT($F19,1)="③",5,IF(LEFT($F19,1)="②",3,1))-IF($K19&gt;0,0.3,0),2)+ROW()/100000))</f>
        <v>3.66019</v>
      </c>
      <c r="Z19" s="62" t="n">
        <f aca="false">IF($Y19="","",RANK($Y19,$Y$5:$Y$94))</f>
        <v>35</v>
      </c>
      <c r="AA19" s="74" t="s">
        <v>367</v>
      </c>
      <c r="AB19" s="64" t="s">
        <v>377</v>
      </c>
      <c r="AC19" s="65" t="s">
        <v>237</v>
      </c>
      <c r="AD19" s="72" t="s">
        <v>369</v>
      </c>
    </row>
    <row r="20" customFormat="false" ht="49.5" hidden="false" customHeight="true" outlineLevel="0" collapsed="false">
      <c r="A20" s="50" t="s">
        <v>378</v>
      </c>
      <c r="B20" s="51" t="s">
        <v>379</v>
      </c>
      <c r="C20" s="52" t="s">
        <v>380</v>
      </c>
      <c r="D20" s="52" t="s">
        <v>359</v>
      </c>
      <c r="E20" s="53" t="s">
        <v>381</v>
      </c>
      <c r="F20" s="53" t="s">
        <v>225</v>
      </c>
      <c r="G20" s="54" t="str">
        <f aca="false">IF($A20="","",IF($H20=0,"（尚無對應能力）",IFERROR(INDEX(16_能力商機矩陣_CapOppMap!$D$160:$CO$160,MATCH($A20,16_能力商機矩陣_CapOppMap!$D$4:$CO$4,0)),"")))</f>
        <v>D05</v>
      </c>
      <c r="H20" s="55" t="n">
        <f aca="false">IF($A20="","",IFERROR(INDEX(16_能力商機矩陣_CapOppMap!$D$156:$CO$156,MATCH($A20,16_能力商機矩陣_CapOppMap!$D$4:$CO$4,0)),""))</f>
        <v>1</v>
      </c>
      <c r="I20" s="56" t="n">
        <f aca="false">IF($A20="","",IFERROR(INDEX(16_能力商機矩陣_CapOppMap!$D$157:$CO$157,MATCH($A20,16_能力商機矩陣_CapOppMap!$D$4:$CO$4,0)),""))</f>
        <v>4.7</v>
      </c>
      <c r="J20" s="56" t="n">
        <f aca="false">IF($A20="","",IFERROR(INDEX(16_能力商機矩陣_CapOppMap!$D$158:$CO$158,MATCH($A20,16_能力商機矩陣_CapOppMap!$D$4:$CO$4,0)),""))</f>
        <v>2.4</v>
      </c>
      <c r="K20" s="57" t="n">
        <f aca="false">IF($A20="","",IFERROR(INDEX(16_能力商機矩陣_CapOppMap!$D$159:$CO$159,MATCH($A20,16_能力商機矩陣_CapOppMap!$D$4:$CO$4,0)),""))</f>
        <v>1</v>
      </c>
      <c r="L20" s="58" t="str">
        <f aca="false">IF($A20="","",IF($H20=0,"★白地商機：目前無對應能力，需新增能力或找新夥伴",IF($K20&gt;0,"有缺口："&amp;$K20&amp;"項可對外招募","已有能力可承接")))</f>
        <v>有缺口：1項可對外招募</v>
      </c>
      <c r="M20" s="59" t="s">
        <v>302</v>
      </c>
      <c r="N20" s="60" t="s">
        <v>244</v>
      </c>
      <c r="O20" s="60" t="s">
        <v>353</v>
      </c>
      <c r="P20" s="59" t="s">
        <v>271</v>
      </c>
      <c r="Q20" s="60" t="s">
        <v>230</v>
      </c>
      <c r="R20" s="59" t="s">
        <v>354</v>
      </c>
      <c r="S20" s="53" t="s">
        <v>382</v>
      </c>
      <c r="T20" s="55" t="n">
        <f aca="false">IF($A20="","",COUNTIF(14_商機清單_Pipeline!$A$5:$A$34,$U20))</f>
        <v>0</v>
      </c>
      <c r="U20" s="54" t="str">
        <f aca="false">IF($B20="","",$A20&amp;" "&amp;$B20)</f>
        <v>OPP-16 心導管室與複合式手術室</v>
      </c>
      <c r="V20" s="70" t="s">
        <v>275</v>
      </c>
      <c r="W20" s="52"/>
      <c r="X20" s="55" t="n">
        <f aca="false">IF($A20="","",IFERROR(INDEX(16_能力商機矩陣_CapOppMap!$D$162:$CO$162,MATCH($A20,16_能力商機矩陣_CapOppMap!$D$4:$CO$4,0)),""))</f>
        <v>0</v>
      </c>
      <c r="Y20" s="61" t="n">
        <f aca="false">IF(OR($A20="",$H20=""),"",IF($H20=0,"",ROUND(0.45*$I20+0.35*$J20+0.2*IF(LEFT($F20,1)="③",5,IF(LEFT($F20,1)="②",3,1))-IF($K20&gt;0,0.3,0),2)+ROW()/100000))</f>
        <v>3.2602</v>
      </c>
      <c r="Z20" s="62" t="n">
        <f aca="false">IF($Y20="","",RANK($Y20,$Y$5:$Y$94))</f>
        <v>62</v>
      </c>
      <c r="AA20" s="74" t="s">
        <v>367</v>
      </c>
      <c r="AB20" s="64" t="s">
        <v>383</v>
      </c>
      <c r="AC20" s="65" t="s">
        <v>237</v>
      </c>
      <c r="AD20" s="72" t="s">
        <v>369</v>
      </c>
    </row>
    <row r="21" customFormat="false" ht="49.5" hidden="false" customHeight="true" outlineLevel="0" collapsed="false">
      <c r="A21" s="50" t="s">
        <v>384</v>
      </c>
      <c r="B21" s="51" t="s">
        <v>385</v>
      </c>
      <c r="C21" s="52" t="s">
        <v>386</v>
      </c>
      <c r="D21" s="52" t="s">
        <v>359</v>
      </c>
      <c r="E21" s="53" t="s">
        <v>387</v>
      </c>
      <c r="F21" s="53" t="s">
        <v>225</v>
      </c>
      <c r="G21" s="54" t="str">
        <f aca="false">IF($A21="","",IF($H21=0,"（尚無對應能力）",IFERROR(INDEX(16_能力商機矩陣_CapOppMap!$D$160:$CO$160,MATCH($A21,16_能力商機矩陣_CapOppMap!$D$4:$CO$4,0)),"")))</f>
        <v>D05</v>
      </c>
      <c r="H21" s="55" t="n">
        <f aca="false">IF($A21="","",IFERROR(INDEX(16_能力商機矩陣_CapOppMap!$D$156:$CO$156,MATCH($A21,16_能力商機矩陣_CapOppMap!$D$4:$CO$4,0)),""))</f>
        <v>2</v>
      </c>
      <c r="I21" s="56" t="n">
        <f aca="false">IF($A21="","",IFERROR(INDEX(16_能力商機矩陣_CapOppMap!$D$157:$CO$157,MATCH($A21,16_能力商機矩陣_CapOppMap!$D$4:$CO$4,0)),""))</f>
        <v>4.7</v>
      </c>
      <c r="J21" s="56" t="n">
        <f aca="false">IF($A21="","",IFERROR(INDEX(16_能力商機矩陣_CapOppMap!$D$158:$CO$158,MATCH($A21,16_能力商機矩陣_CapOppMap!$D$4:$CO$4,0)),""))</f>
        <v>2.4</v>
      </c>
      <c r="K21" s="57" t="n">
        <f aca="false">IF($A21="","",IFERROR(INDEX(16_能力商機矩陣_CapOppMap!$D$159:$CO$159,MATCH($A21,16_能力商機矩陣_CapOppMap!$D$4:$CO$4,0)),""))</f>
        <v>0</v>
      </c>
      <c r="L21" s="58" t="str">
        <f aca="false">IF($A21="","",IF($H21=0,"★白地商機：目前無對應能力，需新增能力或找新夥伴",IF($K21&gt;0,"有缺口："&amp;$K21&amp;"項可對外招募","已有能力可承接")))</f>
        <v>已有能力可承接</v>
      </c>
      <c r="M21" s="59" t="s">
        <v>302</v>
      </c>
      <c r="N21" s="60" t="s">
        <v>244</v>
      </c>
      <c r="O21" s="60" t="s">
        <v>353</v>
      </c>
      <c r="P21" s="59" t="s">
        <v>229</v>
      </c>
      <c r="Q21" s="60" t="s">
        <v>230</v>
      </c>
      <c r="R21" s="59" t="s">
        <v>354</v>
      </c>
      <c r="S21" s="53" t="s">
        <v>388</v>
      </c>
      <c r="T21" s="55" t="n">
        <f aca="false">IF($A21="","",COUNTIF(14_商機清單_Pipeline!$A$5:$A$34,$U21))</f>
        <v>0</v>
      </c>
      <c r="U21" s="54" t="str">
        <f aca="false">IF($B21="","",$A21&amp;" "&amp;$B21)</f>
        <v>OPP-17 洗腎設備與水處理系統</v>
      </c>
      <c r="V21" s="52" t="s">
        <v>389</v>
      </c>
      <c r="W21" s="53" t="s">
        <v>390</v>
      </c>
      <c r="X21" s="55" t="n">
        <f aca="false">IF($A21="","",IFERROR(INDEX(16_能力商機矩陣_CapOppMap!$D$162:$CO$162,MATCH($A21,16_能力商機矩陣_CapOppMap!$D$4:$CO$4,0)),""))</f>
        <v>0</v>
      </c>
      <c r="Y21" s="61" t="n">
        <f aca="false">IF(OR($A21="",$H21=""),"",IF($H21=0,"",ROUND(0.45*$I21+0.35*$J21+0.2*IF(LEFT($F21,1)="③",5,IF(LEFT($F21,1)="②",3,1))-IF($K21&gt;0,0.3,0),2)+ROW()/100000))</f>
        <v>3.56021</v>
      </c>
      <c r="Z21" s="62" t="n">
        <f aca="false">IF($Y21="","",RANK($Y21,$Y$5:$Y$94))</f>
        <v>42</v>
      </c>
      <c r="AA21" s="74" t="s">
        <v>367</v>
      </c>
      <c r="AB21" s="64" t="s">
        <v>391</v>
      </c>
      <c r="AC21" s="65" t="s">
        <v>237</v>
      </c>
      <c r="AD21" s="72" t="s">
        <v>369</v>
      </c>
    </row>
    <row r="22" customFormat="false" ht="49.5" hidden="false" customHeight="true" outlineLevel="0" collapsed="false">
      <c r="A22" s="50" t="s">
        <v>392</v>
      </c>
      <c r="B22" s="51" t="s">
        <v>393</v>
      </c>
      <c r="C22" s="52" t="s">
        <v>394</v>
      </c>
      <c r="D22" s="52" t="s">
        <v>359</v>
      </c>
      <c r="E22" s="53" t="s">
        <v>395</v>
      </c>
      <c r="F22" s="53" t="s">
        <v>343</v>
      </c>
      <c r="G22" s="54" t="str">
        <f aca="false">IF($A22="","",IF($H22=0,"（尚無對應能力）",IFERROR(INDEX(16_能力商機矩陣_CapOppMap!$D$160:$CO$160,MATCH($A22,16_能力商機矩陣_CapOppMap!$D$4:$CO$4,0)),"")))</f>
        <v>D05</v>
      </c>
      <c r="H22" s="55" t="n">
        <f aca="false">IF($A22="","",IFERROR(INDEX(16_能力商機矩陣_CapOppMap!$D$156:$CO$156,MATCH($A22,16_能力商機矩陣_CapOppMap!$D$4:$CO$4,0)),""))</f>
        <v>1</v>
      </c>
      <c r="I22" s="56" t="n">
        <f aca="false">IF($A22="","",IFERROR(INDEX(16_能力商機矩陣_CapOppMap!$D$157:$CO$157,MATCH($A22,16_能力商機矩陣_CapOppMap!$D$4:$CO$4,0)),""))</f>
        <v>4.7</v>
      </c>
      <c r="J22" s="56" t="n">
        <f aca="false">IF($A22="","",IFERROR(INDEX(16_能力商機矩陣_CapOppMap!$D$158:$CO$158,MATCH($A22,16_能力商機矩陣_CapOppMap!$D$4:$CO$4,0)),""))</f>
        <v>2.4</v>
      </c>
      <c r="K22" s="57" t="n">
        <f aca="false">IF($A22="","",IFERROR(INDEX(16_能力商機矩陣_CapOppMap!$D$159:$CO$159,MATCH($A22,16_能力商機矩陣_CapOppMap!$D$4:$CO$4,0)),""))</f>
        <v>0</v>
      </c>
      <c r="L22" s="58" t="str">
        <f aca="false">IF($A22="","",IF($H22=0,"★白地商機：目前無對應能力，需新增能力或找新夥伴",IF($K22&gt;0,"有缺口："&amp;$K22&amp;"項可對外招募","已有能力可承接")))</f>
        <v>已有能力可承接</v>
      </c>
      <c r="M22" s="59" t="s">
        <v>302</v>
      </c>
      <c r="N22" s="60" t="s">
        <v>244</v>
      </c>
      <c r="O22" s="60" t="s">
        <v>353</v>
      </c>
      <c r="P22" s="59" t="s">
        <v>229</v>
      </c>
      <c r="Q22" s="60" t="s">
        <v>230</v>
      </c>
      <c r="R22" s="59" t="s">
        <v>354</v>
      </c>
      <c r="S22" s="53" t="s">
        <v>396</v>
      </c>
      <c r="T22" s="55" t="n">
        <f aca="false">IF($A22="","",COUNTIF(14_商機清單_Pipeline!$A$5:$A$34,$U22))</f>
        <v>0</v>
      </c>
      <c r="U22" s="54" t="str">
        <f aca="false">IF($B22="","",$A22&amp;" "&amp;$B22)</f>
        <v>OPP-18 內視鏡與自動清洗消毒追溯</v>
      </c>
      <c r="V22" s="70" t="s">
        <v>275</v>
      </c>
      <c r="W22" s="52"/>
      <c r="X22" s="55" t="n">
        <f aca="false">IF($A22="","",IFERROR(INDEX(16_能力商機矩陣_CapOppMap!$D$162:$CO$162,MATCH($A22,16_能力商機矩陣_CapOppMap!$D$4:$CO$4,0)),""))</f>
        <v>0</v>
      </c>
      <c r="Y22" s="61" t="n">
        <f aca="false">IF(OR($A22="",$H22=""),"",IF($H22=0,"",ROUND(0.45*$I22+0.35*$J22+0.2*IF(LEFT($F22,1)="③",5,IF(LEFT($F22,1)="②",3,1))-IF($K22&gt;0,0.3,0),2)+ROW()/100000))</f>
        <v>3.96022</v>
      </c>
      <c r="Z22" s="62" t="n">
        <f aca="false">IF($Y22="","",RANK($Y22,$Y$5:$Y$94))</f>
        <v>11</v>
      </c>
      <c r="AA22" s="74" t="s">
        <v>367</v>
      </c>
      <c r="AB22" s="64" t="s">
        <v>397</v>
      </c>
      <c r="AC22" s="73" t="s">
        <v>327</v>
      </c>
      <c r="AD22" s="72" t="s">
        <v>369</v>
      </c>
    </row>
    <row r="23" customFormat="false" ht="49.5" hidden="false" customHeight="true" outlineLevel="0" collapsed="false">
      <c r="A23" s="50" t="s">
        <v>398</v>
      </c>
      <c r="B23" s="51" t="s">
        <v>399</v>
      </c>
      <c r="C23" s="52" t="s">
        <v>400</v>
      </c>
      <c r="D23" s="52" t="s">
        <v>359</v>
      </c>
      <c r="E23" s="53" t="s">
        <v>401</v>
      </c>
      <c r="F23" s="53" t="s">
        <v>225</v>
      </c>
      <c r="G23" s="54" t="str">
        <f aca="false">IF($A23="","",IF($H23=0,"（尚無對應能力）",IFERROR(INDEX(16_能力商機矩陣_CapOppMap!$D$160:$CO$160,MATCH($A23,16_能力商機矩陣_CapOppMap!$D$4:$CO$4,0)),"")))</f>
        <v>D05</v>
      </c>
      <c r="H23" s="55" t="n">
        <f aca="false">IF($A23="","",IFERROR(INDEX(16_能力商機矩陣_CapOppMap!$D$156:$CO$156,MATCH($A23,16_能力商機矩陣_CapOppMap!$D$4:$CO$4,0)),""))</f>
        <v>2</v>
      </c>
      <c r="I23" s="56" t="n">
        <f aca="false">IF($A23="","",IFERROR(INDEX(16_能力商機矩陣_CapOppMap!$D$157:$CO$157,MATCH($A23,16_能力商機矩陣_CapOppMap!$D$4:$CO$4,0)),""))</f>
        <v>4.5</v>
      </c>
      <c r="J23" s="56" t="n">
        <f aca="false">IF($A23="","",IFERROR(INDEX(16_能力商機矩陣_CapOppMap!$D$158:$CO$158,MATCH($A23,16_能力商機矩陣_CapOppMap!$D$4:$CO$4,0)),""))</f>
        <v>2.4</v>
      </c>
      <c r="K23" s="57" t="n">
        <f aca="false">IF($A23="","",IFERROR(INDEX(16_能力商機矩陣_CapOppMap!$D$159:$CO$159,MATCH($A23,16_能力商機矩陣_CapOppMap!$D$4:$CO$4,0)),""))</f>
        <v>1</v>
      </c>
      <c r="L23" s="58" t="str">
        <f aca="false">IF($A23="","",IF($H23=0,"★白地商機：目前無對應能力，需新增能力或找新夥伴",IF($K23&gt;0,"有缺口："&amp;$K23&amp;"項可對外招募","已有能力可承接")))</f>
        <v>有缺口：1項可對外招募</v>
      </c>
      <c r="M23" s="59" t="s">
        <v>302</v>
      </c>
      <c r="N23" s="60" t="s">
        <v>244</v>
      </c>
      <c r="O23" s="60" t="s">
        <v>353</v>
      </c>
      <c r="P23" s="59" t="s">
        <v>271</v>
      </c>
      <c r="Q23" s="60" t="s">
        <v>230</v>
      </c>
      <c r="R23" s="59" t="s">
        <v>354</v>
      </c>
      <c r="S23" s="53" t="s">
        <v>402</v>
      </c>
      <c r="T23" s="55" t="n">
        <f aca="false">IF($A23="","",COUNTIF(14_商機清單_Pipeline!$A$5:$A$34,$U23))</f>
        <v>0</v>
      </c>
      <c r="U23" s="54" t="str">
        <f aca="false">IF($B23="","",$A23&amp;" "&amp;$B23)</f>
        <v>OPP-19 加護病房與整合手術室設備包</v>
      </c>
      <c r="V23" s="70" t="s">
        <v>275</v>
      </c>
      <c r="W23" s="52"/>
      <c r="X23" s="55" t="n">
        <f aca="false">IF($A23="","",IFERROR(INDEX(16_能力商機矩陣_CapOppMap!$D$162:$CO$162,MATCH($A23,16_能力商機矩陣_CapOppMap!$D$4:$CO$4,0)),""))</f>
        <v>0</v>
      </c>
      <c r="Y23" s="61" t="n">
        <f aca="false">IF(OR($A23="",$H23=""),"",IF($H23=0,"",ROUND(0.45*$I23+0.35*$J23+0.2*IF(LEFT($F23,1)="③",5,IF(LEFT($F23,1)="②",3,1))-IF($K23&gt;0,0.3,0),2)+ROW()/100000))</f>
        <v>3.17023</v>
      </c>
      <c r="Z23" s="62" t="n">
        <f aca="false">IF($Y23="","",RANK($Y23,$Y$5:$Y$94))</f>
        <v>69</v>
      </c>
      <c r="AA23" s="74" t="s">
        <v>367</v>
      </c>
      <c r="AB23" s="64" t="s">
        <v>250</v>
      </c>
      <c r="AC23" s="67" t="s">
        <v>251</v>
      </c>
      <c r="AD23" s="72" t="s">
        <v>369</v>
      </c>
    </row>
    <row r="24" customFormat="false" ht="49.5" hidden="false" customHeight="true" outlineLevel="0" collapsed="false">
      <c r="A24" s="50" t="s">
        <v>403</v>
      </c>
      <c r="B24" s="51" t="s">
        <v>404</v>
      </c>
      <c r="C24" s="52" t="s">
        <v>405</v>
      </c>
      <c r="D24" s="52" t="s">
        <v>359</v>
      </c>
      <c r="E24" s="53" t="s">
        <v>406</v>
      </c>
      <c r="F24" s="53" t="s">
        <v>225</v>
      </c>
      <c r="G24" s="54" t="str">
        <f aca="false">IF($A24="","",IF($H24=0,"（尚無對應能力）",IFERROR(INDEX(16_能力商機矩陣_CapOppMap!$D$160:$CO$160,MATCH($A24,16_能力商機矩陣_CapOppMap!$D$4:$CO$4,0)),"")))</f>
        <v>D05</v>
      </c>
      <c r="H24" s="55" t="n">
        <f aca="false">IF($A24="","",IFERROR(INDEX(16_能力商機矩陣_CapOppMap!$D$156:$CO$156,MATCH($A24,16_能力商機矩陣_CapOppMap!$D$4:$CO$4,0)),""))</f>
        <v>2</v>
      </c>
      <c r="I24" s="56" t="n">
        <f aca="false">IF($A24="","",IFERROR(INDEX(16_能力商機矩陣_CapOppMap!$D$157:$CO$157,MATCH($A24,16_能力商機矩陣_CapOppMap!$D$4:$CO$4,0)),""))</f>
        <v>4.7</v>
      </c>
      <c r="J24" s="56" t="n">
        <f aca="false">IF($A24="","",IFERROR(INDEX(16_能力商機矩陣_CapOppMap!$D$158:$CO$158,MATCH($A24,16_能力商機矩陣_CapOppMap!$D$4:$CO$4,0)),""))</f>
        <v>2.4</v>
      </c>
      <c r="K24" s="57" t="n">
        <f aca="false">IF($A24="","",IFERROR(INDEX(16_能力商機矩陣_CapOppMap!$D$159:$CO$159,MATCH($A24,16_能力商機矩陣_CapOppMap!$D$4:$CO$4,0)),""))</f>
        <v>0</v>
      </c>
      <c r="L24" s="58" t="str">
        <f aca="false">IF($A24="","",IF($H24=0,"★白地商機：目前無對應能力，需新增能力或找新夥伴",IF($K24&gt;0,"有缺口："&amp;$K24&amp;"項可對外招募","已有能力可承接")))</f>
        <v>已有能力可承接</v>
      </c>
      <c r="M24" s="59" t="s">
        <v>302</v>
      </c>
      <c r="N24" s="60" t="s">
        <v>407</v>
      </c>
      <c r="O24" s="60" t="s">
        <v>353</v>
      </c>
      <c r="P24" s="59" t="s">
        <v>229</v>
      </c>
      <c r="Q24" s="60" t="s">
        <v>230</v>
      </c>
      <c r="R24" s="59" t="s">
        <v>354</v>
      </c>
      <c r="S24" s="53" t="s">
        <v>408</v>
      </c>
      <c r="T24" s="55" t="n">
        <f aca="false">IF($A24="","",COUNTIF(14_商機清單_Pipeline!$A$5:$A$34,$U24))</f>
        <v>0</v>
      </c>
      <c r="U24" s="54" t="str">
        <f aca="false">IF($B24="","",$A24&amp;" "&amp;$B24)</f>
        <v>OPP-20 生殖醫學(IVF)實驗室整廠</v>
      </c>
      <c r="V24" s="70" t="s">
        <v>275</v>
      </c>
      <c r="W24" s="52"/>
      <c r="X24" s="55" t="n">
        <f aca="false">IF($A24="","",IFERROR(INDEX(16_能力商機矩陣_CapOppMap!$D$162:$CO$162,MATCH($A24,16_能力商機矩陣_CapOppMap!$D$4:$CO$4,0)),""))</f>
        <v>0</v>
      </c>
      <c r="Y24" s="61" t="n">
        <f aca="false">IF(OR($A24="",$H24=""),"",IF($H24=0,"",ROUND(0.45*$I24+0.35*$J24+0.2*IF(LEFT($F24,1)="③",5,IF(LEFT($F24,1)="②",3,1))-IF($K24&gt;0,0.3,0),2)+ROW()/100000))</f>
        <v>3.56024</v>
      </c>
      <c r="Z24" s="62" t="n">
        <f aca="false">IF($Y24="","",RANK($Y24,$Y$5:$Y$94))</f>
        <v>41</v>
      </c>
      <c r="AA24" s="74" t="s">
        <v>367</v>
      </c>
      <c r="AB24" s="64" t="s">
        <v>409</v>
      </c>
      <c r="AC24" s="65" t="s">
        <v>237</v>
      </c>
      <c r="AD24" s="72" t="s">
        <v>369</v>
      </c>
    </row>
    <row r="25" customFormat="false" ht="49.5" hidden="false" customHeight="true" outlineLevel="0" collapsed="false">
      <c r="A25" s="50" t="s">
        <v>410</v>
      </c>
      <c r="B25" s="51" t="s">
        <v>411</v>
      </c>
      <c r="C25" s="52" t="s">
        <v>412</v>
      </c>
      <c r="D25" s="52" t="s">
        <v>359</v>
      </c>
      <c r="E25" s="53" t="s">
        <v>413</v>
      </c>
      <c r="F25" s="53" t="s">
        <v>343</v>
      </c>
      <c r="G25" s="54" t="str">
        <f aca="false">IF($A25="","",IF($H25=0,"（尚無對應能力）",IFERROR(INDEX(16_能力商機矩陣_CapOppMap!$D$160:$CO$160,MATCH($A25,16_能力商機矩陣_CapOppMap!$D$4:$CO$4,0)),"")))</f>
        <v>D05; D06</v>
      </c>
      <c r="H25" s="55" t="n">
        <f aca="false">IF($A25="","",IFERROR(INDEX(16_能力商機矩陣_CapOppMap!$D$156:$CO$156,MATCH($A25,16_能力商機矩陣_CapOppMap!$D$4:$CO$4,0)),""))</f>
        <v>3</v>
      </c>
      <c r="I25" s="56" t="n">
        <f aca="false">IF($A25="","",IFERROR(INDEX(16_能力商機矩陣_CapOppMap!$D$157:$CO$157,MATCH($A25,16_能力商機矩陣_CapOppMap!$D$4:$CO$4,0)),""))</f>
        <v>4.5</v>
      </c>
      <c r="J25" s="56" t="n">
        <f aca="false">IF($A25="","",IFERROR(INDEX(16_能力商機矩陣_CapOppMap!$D$158:$CO$158,MATCH($A25,16_能力商機矩陣_CapOppMap!$D$4:$CO$4,0)),""))</f>
        <v>2.4</v>
      </c>
      <c r="K25" s="57" t="n">
        <f aca="false">IF($A25="","",IFERROR(INDEX(16_能力商機矩陣_CapOppMap!$D$159:$CO$159,MATCH($A25,16_能力商機矩陣_CapOppMap!$D$4:$CO$4,0)),""))</f>
        <v>1</v>
      </c>
      <c r="L25" s="58" t="str">
        <f aca="false">IF($A25="","",IF($H25=0,"★白地商機：目前無對應能力，需新增能力或找新夥伴",IF($K25&gt;0,"有缺口："&amp;$K25&amp;"項可對外招募","已有能力可承接")))</f>
        <v>有缺口：1項可對外招募</v>
      </c>
      <c r="M25" s="59" t="s">
        <v>361</v>
      </c>
      <c r="N25" s="60" t="s">
        <v>244</v>
      </c>
      <c r="O25" s="60" t="s">
        <v>362</v>
      </c>
      <c r="P25" s="59" t="s">
        <v>271</v>
      </c>
      <c r="Q25" s="60" t="s">
        <v>230</v>
      </c>
      <c r="R25" s="59" t="s">
        <v>414</v>
      </c>
      <c r="S25" s="53" t="s">
        <v>415</v>
      </c>
      <c r="T25" s="55" t="n">
        <f aca="false">IF($A25="","",COUNTIF(14_商機清單_Pipeline!$A$5:$A$34,$U25))</f>
        <v>0</v>
      </c>
      <c r="U25" s="54" t="str">
        <f aca="false">IF($B25="","",$A25&amp;" "&amp;$B25)</f>
        <v>OPP-21 檢驗中心自動化與LIS</v>
      </c>
      <c r="V25" s="52" t="s">
        <v>416</v>
      </c>
      <c r="W25" s="52" t="s">
        <v>417</v>
      </c>
      <c r="X25" s="55" t="n">
        <f aca="false">IF($A25="","",IFERROR(INDEX(16_能力商機矩陣_CapOppMap!$D$162:$CO$162,MATCH($A25,16_能力商機矩陣_CapOppMap!$D$4:$CO$4,0)),""))</f>
        <v>0</v>
      </c>
      <c r="Y25" s="61" t="n">
        <f aca="false">IF(OR($A25="",$H25=""),"",IF($H25=0,"",ROUND(0.45*$I25+0.35*$J25+0.2*IF(LEFT($F25,1)="③",5,IF(LEFT($F25,1)="②",3,1))-IF($K25&gt;0,0.3,0),2)+ROW()/100000))</f>
        <v>3.57025</v>
      </c>
      <c r="Z25" s="62" t="n">
        <f aca="false">IF($Y25="","",RANK($Y25,$Y$5:$Y$94))</f>
        <v>40</v>
      </c>
      <c r="AA25" s="74" t="s">
        <v>367</v>
      </c>
      <c r="AB25" s="69" t="s">
        <v>418</v>
      </c>
      <c r="AC25" s="65" t="s">
        <v>237</v>
      </c>
      <c r="AD25" s="72" t="s">
        <v>369</v>
      </c>
    </row>
    <row r="26" customFormat="false" ht="49.5" hidden="false" customHeight="true" outlineLevel="0" collapsed="false">
      <c r="A26" s="50" t="s">
        <v>419</v>
      </c>
      <c r="B26" s="51" t="s">
        <v>420</v>
      </c>
      <c r="C26" s="52" t="s">
        <v>421</v>
      </c>
      <c r="D26" s="52" t="s">
        <v>359</v>
      </c>
      <c r="E26" s="53" t="s">
        <v>422</v>
      </c>
      <c r="F26" s="53" t="s">
        <v>225</v>
      </c>
      <c r="G26" s="54" t="str">
        <f aca="false">IF($A26="","",IF($H26=0,"（尚無對應能力）",IFERROR(INDEX(16_能力商機矩陣_CapOppMap!$D$160:$CO$160,MATCH($A26,16_能力商機矩陣_CapOppMap!$D$4:$CO$4,0)),"")))</f>
        <v>D01</v>
      </c>
      <c r="H26" s="55" t="n">
        <f aca="false">IF($A26="","",IFERROR(INDEX(16_能力商機矩陣_CapOppMap!$D$156:$CO$156,MATCH($A26,16_能力商機矩陣_CapOppMap!$D$4:$CO$4,0)),""))</f>
        <v>1</v>
      </c>
      <c r="I26" s="56" t="n">
        <f aca="false">IF($A26="","",IFERROR(INDEX(16_能力商機矩陣_CapOppMap!$D$157:$CO$157,MATCH($A26,16_能力商機矩陣_CapOppMap!$D$4:$CO$4,0)),""))</f>
        <v>4.4</v>
      </c>
      <c r="J26" s="56" t="n">
        <f aca="false">IF($A26="","",IFERROR(INDEX(16_能力商機矩陣_CapOppMap!$D$158:$CO$158,MATCH($A26,16_能力商機矩陣_CapOppMap!$D$4:$CO$4,0)),""))</f>
        <v>2</v>
      </c>
      <c r="K26" s="57" t="n">
        <f aca="false">IF($A26="","",IFERROR(INDEX(16_能力商機矩陣_CapOppMap!$D$159:$CO$159,MATCH($A26,16_能力商機矩陣_CapOppMap!$D$4:$CO$4,0)),""))</f>
        <v>0</v>
      </c>
      <c r="L26" s="58" t="str">
        <f aca="false">IF($A26="","",IF($H26=0,"★白地商機：目前無對應能力，需新增能力或找新夥伴",IF($K26&gt;0,"有缺口："&amp;$K26&amp;"項可對外招募","已有能力可承接")))</f>
        <v>已有能力可承接</v>
      </c>
      <c r="M26" s="59" t="s">
        <v>243</v>
      </c>
      <c r="N26" s="60" t="s">
        <v>423</v>
      </c>
      <c r="O26" s="60" t="s">
        <v>228</v>
      </c>
      <c r="P26" s="59" t="s">
        <v>245</v>
      </c>
      <c r="Q26" s="60" t="s">
        <v>230</v>
      </c>
      <c r="R26" s="59" t="s">
        <v>424</v>
      </c>
      <c r="S26" s="52" t="s">
        <v>425</v>
      </c>
      <c r="T26" s="55" t="n">
        <f aca="false">IF($A26="","",COUNTIF(14_商機清單_Pipeline!$A$5:$A$34,$U26))</f>
        <v>0</v>
      </c>
      <c r="U26" s="54" t="str">
        <f aca="false">IF($B26="","",$A26&amp;" "&amp;$B26)</f>
        <v>OPP-22 醫材登記與市場准入代理</v>
      </c>
      <c r="V26" s="52" t="s">
        <v>426</v>
      </c>
      <c r="W26" s="53" t="s">
        <v>427</v>
      </c>
      <c r="X26" s="55" t="n">
        <f aca="false">IF($A26="","",IFERROR(INDEX(16_能力商機矩陣_CapOppMap!$D$162:$CO$162,MATCH($A26,16_能力商機矩陣_CapOppMap!$D$4:$CO$4,0)),""))</f>
        <v>0</v>
      </c>
      <c r="Y26" s="61" t="n">
        <f aca="false">IF(OR($A26="",$H26=""),"",IF($H26=0,"",ROUND(0.45*$I26+0.35*$J26+0.2*IF(LEFT($F26,1)="③",5,IF(LEFT($F26,1)="②",3,1))-IF($K26&gt;0,0.3,0),2)+ROW()/100000))</f>
        <v>3.28026</v>
      </c>
      <c r="Z26" s="62" t="n">
        <f aca="false">IF($Y26="","",RANK($Y26,$Y$5:$Y$94))</f>
        <v>59</v>
      </c>
      <c r="AA26" s="63" t="s">
        <v>235</v>
      </c>
      <c r="AB26" s="69" t="s">
        <v>428</v>
      </c>
      <c r="AC26" s="65" t="s">
        <v>237</v>
      </c>
      <c r="AD26" s="72" t="s">
        <v>369</v>
      </c>
    </row>
    <row r="27" customFormat="false" ht="49.5" hidden="false" customHeight="true" outlineLevel="0" collapsed="false">
      <c r="A27" s="50" t="s">
        <v>429</v>
      </c>
      <c r="B27" s="51" t="s">
        <v>430</v>
      </c>
      <c r="C27" s="52" t="s">
        <v>431</v>
      </c>
      <c r="D27" s="52" t="s">
        <v>359</v>
      </c>
      <c r="E27" s="53" t="s">
        <v>432</v>
      </c>
      <c r="F27" s="53" t="s">
        <v>225</v>
      </c>
      <c r="G27" s="54" t="str">
        <f aca="false">IF($A27="","",IF($H27=0,"（尚無對應能力）",IFERROR(INDEX(16_能力商機矩陣_CapOppMap!$D$160:$CO$160,MATCH($A27,16_能力商機矩陣_CapOppMap!$D$4:$CO$4,0)),"")))</f>
        <v>D05</v>
      </c>
      <c r="H27" s="55" t="n">
        <f aca="false">IF($A27="","",IFERROR(INDEX(16_能力商機矩陣_CapOppMap!$D$156:$CO$156,MATCH($A27,16_能力商機矩陣_CapOppMap!$D$4:$CO$4,0)),""))</f>
        <v>2</v>
      </c>
      <c r="I27" s="56" t="n">
        <f aca="false">IF($A27="","",IFERROR(INDEX(16_能力商機矩陣_CapOppMap!$D$157:$CO$157,MATCH($A27,16_能力商機矩陣_CapOppMap!$D$4:$CO$4,0)),""))</f>
        <v>4.7</v>
      </c>
      <c r="J27" s="56" t="n">
        <f aca="false">IF($A27="","",IFERROR(INDEX(16_能力商機矩陣_CapOppMap!$D$158:$CO$158,MATCH($A27,16_能力商機矩陣_CapOppMap!$D$4:$CO$4,0)),""))</f>
        <v>2.4</v>
      </c>
      <c r="K27" s="57" t="n">
        <f aca="false">IF($A27="","",IFERROR(INDEX(16_能力商機矩陣_CapOppMap!$D$159:$CO$159,MATCH($A27,16_能力商機矩陣_CapOppMap!$D$4:$CO$4,0)),""))</f>
        <v>1</v>
      </c>
      <c r="L27" s="58" t="str">
        <f aca="false">IF($A27="","",IF($H27=0,"★白地商機：目前無對應能力，需新增能力或找新夥伴",IF($K27&gt;0,"有缺口："&amp;$K27&amp;"項可對外招募","已有能力可承接")))</f>
        <v>有缺口：1項可對外招募</v>
      </c>
      <c r="M27" s="59" t="s">
        <v>302</v>
      </c>
      <c r="N27" s="60" t="s">
        <v>281</v>
      </c>
      <c r="O27" s="60" t="s">
        <v>282</v>
      </c>
      <c r="P27" s="59" t="s">
        <v>229</v>
      </c>
      <c r="Q27" s="60" t="s">
        <v>230</v>
      </c>
      <c r="R27" s="59" t="s">
        <v>363</v>
      </c>
      <c r="S27" s="52" t="s">
        <v>433</v>
      </c>
      <c r="T27" s="55" t="n">
        <f aca="false">IF($A27="","",COUNTIF(14_商機清單_Pipeline!$A$5:$A$34,$U27))</f>
        <v>0</v>
      </c>
      <c r="U27" s="54" t="str">
        <f aca="false">IF($B27="","",$A27&amp;" "&amp;$B27)</f>
        <v>OPP-23 行動篩檢車與定點篩檢設備</v>
      </c>
      <c r="V27" s="70" t="s">
        <v>275</v>
      </c>
      <c r="W27" s="52"/>
      <c r="X27" s="55" t="n">
        <f aca="false">IF($A27="","",IFERROR(INDEX(16_能力商機矩陣_CapOppMap!$D$162:$CO$162,MATCH($A27,16_能力商機矩陣_CapOppMap!$D$4:$CO$4,0)),""))</f>
        <v>0</v>
      </c>
      <c r="Y27" s="61" t="n">
        <f aca="false">IF(OR($A27="",$H27=""),"",IF($H27=0,"",ROUND(0.45*$I27+0.35*$J27+0.2*IF(LEFT($F27,1)="③",5,IF(LEFT($F27,1)="②",3,1))-IF($K27&gt;0,0.3,0),2)+ROW()/100000))</f>
        <v>3.26027</v>
      </c>
      <c r="Z27" s="62" t="n">
        <f aca="false">IF($Y27="","",RANK($Y27,$Y$5:$Y$94))</f>
        <v>61</v>
      </c>
      <c r="AA27" s="74" t="s">
        <v>367</v>
      </c>
      <c r="AB27" s="64" t="s">
        <v>250</v>
      </c>
      <c r="AC27" s="67" t="s">
        <v>251</v>
      </c>
      <c r="AD27" s="72" t="s">
        <v>369</v>
      </c>
    </row>
    <row r="28" customFormat="false" ht="49.5" hidden="false" customHeight="true" outlineLevel="0" collapsed="false">
      <c r="A28" s="50" t="s">
        <v>434</v>
      </c>
      <c r="B28" s="51" t="s">
        <v>435</v>
      </c>
      <c r="C28" s="52" t="s">
        <v>436</v>
      </c>
      <c r="D28" s="52" t="s">
        <v>437</v>
      </c>
      <c r="E28" s="53" t="s">
        <v>438</v>
      </c>
      <c r="F28" s="53" t="s">
        <v>225</v>
      </c>
      <c r="G28" s="54" t="str">
        <f aca="false">IF($A28="","",IF($H28=0,"（尚無對應能力）",IFERROR(INDEX(16_能力商機矩陣_CapOppMap!$D$160:$CO$160,MATCH($A28,16_能力商機矩陣_CapOppMap!$D$4:$CO$4,0)),"")))</f>
        <v>D04</v>
      </c>
      <c r="H28" s="55" t="n">
        <f aca="false">IF($A28="","",IFERROR(INDEX(16_能力商機矩陣_CapOppMap!$D$156:$CO$156,MATCH($A28,16_能力商機矩陣_CapOppMap!$D$4:$CO$4,0)),""))</f>
        <v>3</v>
      </c>
      <c r="I28" s="56" t="n">
        <f aca="false">IF($A28="","",IFERROR(INDEX(16_能力商機矩陣_CapOppMap!$D$157:$CO$157,MATCH($A28,16_能力商機矩陣_CapOppMap!$D$4:$CO$4,0)),""))</f>
        <v>3.9</v>
      </c>
      <c r="J28" s="56" t="n">
        <f aca="false">IF($A28="","",IFERROR(INDEX(16_能力商機矩陣_CapOppMap!$D$158:$CO$158,MATCH($A28,16_能力商機矩陣_CapOppMap!$D$4:$CO$4,0)),""))</f>
        <v>3.4</v>
      </c>
      <c r="K28" s="57" t="n">
        <f aca="false">IF($A28="","",IFERROR(INDEX(16_能力商機矩陣_CapOppMap!$D$159:$CO$159,MATCH($A28,16_能力商機矩陣_CapOppMap!$D$4:$CO$4,0)),""))</f>
        <v>0</v>
      </c>
      <c r="L28" s="58" t="str">
        <f aca="false">IF($A28="","",IF($H28=0,"★白地商機：目前無對應能力，需新增能力或找新夥伴",IF($K28&gt;0,"有缺口："&amp;$K28&amp;"項可對外招募","已有能力可承接")))</f>
        <v>已有能力可承接</v>
      </c>
      <c r="M28" s="59" t="s">
        <v>302</v>
      </c>
      <c r="N28" s="60" t="s">
        <v>244</v>
      </c>
      <c r="O28" s="60" t="s">
        <v>303</v>
      </c>
      <c r="P28" s="59" t="s">
        <v>271</v>
      </c>
      <c r="Q28" s="60" t="s">
        <v>230</v>
      </c>
      <c r="R28" s="59" t="s">
        <v>439</v>
      </c>
      <c r="S28" s="53" t="s">
        <v>440</v>
      </c>
      <c r="T28" s="55" t="n">
        <f aca="false">IF($A28="","",COUNTIF(14_商機清單_Pipeline!$A$5:$A$34,$U28))</f>
        <v>1</v>
      </c>
      <c r="U28" s="54" t="str">
        <f aca="false">IF($B28="","",$A28&amp;" "&amp;$B28)</f>
        <v>OPP-24 醫院IDC機房與院區網路建置</v>
      </c>
      <c r="V28" s="52" t="s">
        <v>441</v>
      </c>
      <c r="W28" s="53" t="s">
        <v>442</v>
      </c>
      <c r="X28" s="55" t="n">
        <f aca="false">IF($A28="","",IFERROR(INDEX(16_能力商機矩陣_CapOppMap!$D$162:$CO$162,MATCH($A28,16_能力商機矩陣_CapOppMap!$D$4:$CO$4,0)),""))</f>
        <v>3</v>
      </c>
      <c r="Y28" s="61" t="n">
        <f aca="false">IF(OR($A28="",$H28=""),"",IF($H28=0,"",ROUND(0.45*$I28+0.35*$J28+0.2*IF(LEFT($F28,1)="③",5,IF(LEFT($F28,1)="②",3,1))-IF($K28&gt;0,0.3,0),2)+ROW()/100000))</f>
        <v>3.55028</v>
      </c>
      <c r="Z28" s="62" t="n">
        <f aca="false">IF($Y28="","",RANK($Y28,$Y$5:$Y$94))</f>
        <v>44</v>
      </c>
      <c r="AA28" s="75" t="s">
        <v>443</v>
      </c>
      <c r="AB28" s="69" t="s">
        <v>444</v>
      </c>
      <c r="AC28" s="65" t="s">
        <v>237</v>
      </c>
      <c r="AD28" s="72" t="s">
        <v>445</v>
      </c>
    </row>
    <row r="29" customFormat="false" ht="49.5" hidden="false" customHeight="true" outlineLevel="0" collapsed="false">
      <c r="A29" s="50" t="s">
        <v>446</v>
      </c>
      <c r="B29" s="51" t="s">
        <v>447</v>
      </c>
      <c r="C29" s="52" t="s">
        <v>448</v>
      </c>
      <c r="D29" s="52" t="s">
        <v>437</v>
      </c>
      <c r="E29" s="53" t="s">
        <v>449</v>
      </c>
      <c r="F29" s="53" t="s">
        <v>225</v>
      </c>
      <c r="G29" s="54" t="str">
        <f aca="false">IF($A29="","",IF($H29=0,"（尚無對應能力）",IFERROR(INDEX(16_能力商機矩陣_CapOppMap!$D$160:$CO$160,MATCH($A29,16_能力商機矩陣_CapOppMap!$D$4:$CO$4,0)),"")))</f>
        <v>D04</v>
      </c>
      <c r="H29" s="55" t="n">
        <f aca="false">IF($A29="","",IFERROR(INDEX(16_能力商機矩陣_CapOppMap!$D$156:$CO$156,MATCH($A29,16_能力商機矩陣_CapOppMap!$D$4:$CO$4,0)),""))</f>
        <v>2</v>
      </c>
      <c r="I29" s="56" t="n">
        <f aca="false">IF($A29="","",IFERROR(INDEX(16_能力商機矩陣_CapOppMap!$D$157:$CO$157,MATCH($A29,16_能力商機矩陣_CapOppMap!$D$4:$CO$4,0)),""))</f>
        <v>4.1</v>
      </c>
      <c r="J29" s="56" t="n">
        <f aca="false">IF($A29="","",IFERROR(INDEX(16_能力商機矩陣_CapOppMap!$D$158:$CO$158,MATCH($A29,16_能力商機矩陣_CapOppMap!$D$4:$CO$4,0)),""))</f>
        <v>3.4</v>
      </c>
      <c r="K29" s="57" t="n">
        <f aca="false">IF($A29="","",IFERROR(INDEX(16_能力商機矩陣_CapOppMap!$D$159:$CO$159,MATCH($A29,16_能力商機矩陣_CapOppMap!$D$4:$CO$4,0)),""))</f>
        <v>0</v>
      </c>
      <c r="L29" s="58" t="str">
        <f aca="false">IF($A29="","",IF($H29=0,"★白地商機：目前無對應能力，需新增能力或找新夥伴",IF($K29&gt;0,"有缺口："&amp;$K29&amp;"項可對外招募","已有能力可承接")))</f>
        <v>已有能力可承接</v>
      </c>
      <c r="M29" s="59" t="s">
        <v>302</v>
      </c>
      <c r="N29" s="60" t="s">
        <v>332</v>
      </c>
      <c r="O29" s="60" t="s">
        <v>450</v>
      </c>
      <c r="P29" s="59" t="s">
        <v>245</v>
      </c>
      <c r="Q29" s="60" t="s">
        <v>230</v>
      </c>
      <c r="R29" s="59" t="s">
        <v>439</v>
      </c>
      <c r="S29" s="52" t="s">
        <v>451</v>
      </c>
      <c r="T29" s="55" t="n">
        <f aca="false">IF($A29="","",COUNTIF(14_商機清單_Pipeline!$A$5:$A$34,$U29))</f>
        <v>0</v>
      </c>
      <c r="U29" s="54" t="str">
        <f aca="false">IF($B29="","",$A29&amp;" "&amp;$B29)</f>
        <v>OPP-25 醫療主權雲與境內代管</v>
      </c>
      <c r="V29" s="70" t="s">
        <v>275</v>
      </c>
      <c r="W29" s="52"/>
      <c r="X29" s="55" t="n">
        <f aca="false">IF($A29="","",IFERROR(INDEX(16_能力商機矩陣_CapOppMap!$D$162:$CO$162,MATCH($A29,16_能力商機矩陣_CapOppMap!$D$4:$CO$4,0)),""))</f>
        <v>2</v>
      </c>
      <c r="Y29" s="61" t="n">
        <f aca="false">IF(OR($A29="",$H29=""),"",IF($H29=0,"",ROUND(0.45*$I29+0.35*$J29+0.2*IF(LEFT($F29,1)="③",5,IF(LEFT($F29,1)="②",3,1))-IF($K29&gt;0,0.3,0),2)+ROW()/100000))</f>
        <v>3.64029</v>
      </c>
      <c r="Z29" s="62" t="n">
        <f aca="false">IF($Y29="","",RANK($Y29,$Y$5:$Y$94))</f>
        <v>39</v>
      </c>
      <c r="AA29" s="75" t="s">
        <v>443</v>
      </c>
      <c r="AB29" s="64" t="s">
        <v>452</v>
      </c>
      <c r="AC29" s="65" t="s">
        <v>237</v>
      </c>
      <c r="AD29" s="72" t="s">
        <v>445</v>
      </c>
    </row>
    <row r="30" customFormat="false" ht="49.5" hidden="false" customHeight="true" outlineLevel="0" collapsed="false">
      <c r="A30" s="50" t="s">
        <v>453</v>
      </c>
      <c r="B30" s="51" t="s">
        <v>454</v>
      </c>
      <c r="C30" s="52" t="s">
        <v>455</v>
      </c>
      <c r="D30" s="52" t="s">
        <v>437</v>
      </c>
      <c r="E30" s="52" t="s">
        <v>456</v>
      </c>
      <c r="F30" s="53" t="s">
        <v>343</v>
      </c>
      <c r="G30" s="54" t="str">
        <f aca="false">IF($A30="","",IF($H30=0,"（尚無對應能力）",IFERROR(INDEX(16_能力商機矩陣_CapOppMap!$D$160:$CO$160,MATCH($A30,16_能力商機矩陣_CapOppMap!$D$4:$CO$4,0)),"")))</f>
        <v>D04; D09</v>
      </c>
      <c r="H30" s="55" t="n">
        <f aca="false">IF($A30="","",IFERROR(INDEX(16_能力商機矩陣_CapOppMap!$D$156:$CO$156,MATCH($A30,16_能力商機矩陣_CapOppMap!$D$4:$CO$4,0)),""))</f>
        <v>4</v>
      </c>
      <c r="I30" s="56" t="n">
        <f aca="false">IF($A30="","",IFERROR(INDEX(16_能力商機矩陣_CapOppMap!$D$157:$CO$157,MATCH($A30,16_能力商機矩陣_CapOppMap!$D$4:$CO$4,0)),""))</f>
        <v>3.4</v>
      </c>
      <c r="J30" s="56" t="n">
        <f aca="false">IF($A30="","",IFERROR(INDEX(16_能力商機矩陣_CapOppMap!$D$158:$CO$158,MATCH($A30,16_能力商機矩陣_CapOppMap!$D$4:$CO$4,0)),""))</f>
        <v>3.4</v>
      </c>
      <c r="K30" s="57" t="n">
        <f aca="false">IF($A30="","",IFERROR(INDEX(16_能力商機矩陣_CapOppMap!$D$159:$CO$159,MATCH($A30,16_能力商機矩陣_CapOppMap!$D$4:$CO$4,0)),""))</f>
        <v>0</v>
      </c>
      <c r="L30" s="58" t="str">
        <f aca="false">IF($A30="","",IF($H30=0,"★白地商機：目前無對應能力，需新增能力或找新夥伴",IF($K30&gt;0,"有缺口："&amp;$K30&amp;"項可對外招募","已有能力可承接")))</f>
        <v>已有能力可承接</v>
      </c>
      <c r="M30" s="59" t="s">
        <v>302</v>
      </c>
      <c r="N30" s="60" t="s">
        <v>332</v>
      </c>
      <c r="O30" s="60" t="s">
        <v>333</v>
      </c>
      <c r="P30" s="59" t="s">
        <v>271</v>
      </c>
      <c r="Q30" s="60" t="s">
        <v>230</v>
      </c>
      <c r="R30" s="59" t="s">
        <v>457</v>
      </c>
      <c r="S30" s="53" t="s">
        <v>458</v>
      </c>
      <c r="T30" s="55" t="n">
        <f aca="false">IF($A30="","",COUNTIF(14_商機清單_Pipeline!$A$5:$A$34,$U30))</f>
        <v>0</v>
      </c>
      <c r="U30" s="54" t="str">
        <f aca="false">IF($B30="","",$A30&amp;" "&amp;$B30)</f>
        <v>OPP-26 智慧院區AIoT（BMS／RTLS／智慧病房）</v>
      </c>
      <c r="V30" s="70" t="s">
        <v>275</v>
      </c>
      <c r="W30" s="52"/>
      <c r="X30" s="55" t="n">
        <f aca="false">IF($A30="","",IFERROR(INDEX(16_能力商機矩陣_CapOppMap!$D$162:$CO$162,MATCH($A30,16_能力商機矩陣_CapOppMap!$D$4:$CO$4,0)),""))</f>
        <v>4</v>
      </c>
      <c r="Y30" s="61" t="n">
        <f aca="false">IF(OR($A30="",$H30=""),"",IF($H30=0,"",ROUND(0.45*$I30+0.35*$J30+0.2*IF(LEFT($F30,1)="③",5,IF(LEFT($F30,1)="②",3,1))-IF($K30&gt;0,0.3,0),2)+ROW()/100000))</f>
        <v>3.7203</v>
      </c>
      <c r="Z30" s="62" t="n">
        <f aca="false">IF($Y30="","",RANK($Y30,$Y$5:$Y$94))</f>
        <v>27</v>
      </c>
      <c r="AA30" s="75" t="s">
        <v>443</v>
      </c>
      <c r="AB30" s="64" t="s">
        <v>459</v>
      </c>
      <c r="AC30" s="65" t="s">
        <v>237</v>
      </c>
      <c r="AD30" s="72" t="s">
        <v>445</v>
      </c>
    </row>
    <row r="31" customFormat="false" ht="49.5" hidden="false" customHeight="true" outlineLevel="0" collapsed="false">
      <c r="A31" s="50" t="s">
        <v>460</v>
      </c>
      <c r="B31" s="51" t="s">
        <v>461</v>
      </c>
      <c r="C31" s="52" t="s">
        <v>462</v>
      </c>
      <c r="D31" s="52" t="s">
        <v>437</v>
      </c>
      <c r="E31" s="53" t="s">
        <v>463</v>
      </c>
      <c r="F31" s="53" t="s">
        <v>343</v>
      </c>
      <c r="G31" s="54" t="str">
        <f aca="false">IF($A31="","",IF($H31=0,"（尚無對應能力）",IFERROR(INDEX(16_能力商機矩陣_CapOppMap!$D$160:$CO$160,MATCH($A31,16_能力商機矩陣_CapOppMap!$D$4:$CO$4,0)),"")))</f>
        <v>D04</v>
      </c>
      <c r="H31" s="55" t="n">
        <f aca="false">IF($A31="","",IFERROR(INDEX(16_能力商機矩陣_CapOppMap!$D$156:$CO$156,MATCH($A31,16_能力商機矩陣_CapOppMap!$D$4:$CO$4,0)),""))</f>
        <v>2</v>
      </c>
      <c r="I31" s="56" t="n">
        <f aca="false">IF($A31="","",IFERROR(INDEX(16_能力商機矩陣_CapOppMap!$D$157:$CO$157,MATCH($A31,16_能力商機矩陣_CapOppMap!$D$4:$CO$4,0)),""))</f>
        <v>3.9</v>
      </c>
      <c r="J31" s="56" t="n">
        <f aca="false">IF($A31="","",IFERROR(INDEX(16_能力商機矩陣_CapOppMap!$D$158:$CO$158,MATCH($A31,16_能力商機矩陣_CapOppMap!$D$4:$CO$4,0)),""))</f>
        <v>3.4</v>
      </c>
      <c r="K31" s="57" t="n">
        <f aca="false">IF($A31="","",IFERROR(INDEX(16_能力商機矩陣_CapOppMap!$D$159:$CO$159,MATCH($A31,16_能力商機矩陣_CapOppMap!$D$4:$CO$4,0)),""))</f>
        <v>0</v>
      </c>
      <c r="L31" s="58" t="str">
        <f aca="false">IF($A31="","",IF($H31=0,"★白地商機：目前無對應能力，需新增能力或找新夥伴",IF($K31&gt;0,"有缺口："&amp;$K31&amp;"項可對外招募","已有能力可承接")))</f>
        <v>已有能力可承接</v>
      </c>
      <c r="M31" s="59" t="s">
        <v>361</v>
      </c>
      <c r="N31" s="60" t="s">
        <v>332</v>
      </c>
      <c r="O31" s="60" t="s">
        <v>333</v>
      </c>
      <c r="P31" s="59" t="s">
        <v>245</v>
      </c>
      <c r="Q31" s="60" t="s">
        <v>230</v>
      </c>
      <c r="R31" s="59" t="s">
        <v>464</v>
      </c>
      <c r="S31" s="53" t="s">
        <v>465</v>
      </c>
      <c r="T31" s="55" t="n">
        <f aca="false">IF($A31="","",COUNTIF(14_商機清單_Pipeline!$A$5:$A$34,$U31))</f>
        <v>0</v>
      </c>
      <c r="U31" s="54" t="str">
        <f aca="false">IF($B31="","",$A31&amp;" "&amp;$B31)</f>
        <v>OPP-27 醫院資安與等級保護認證</v>
      </c>
      <c r="V31" s="52" t="s">
        <v>466</v>
      </c>
      <c r="W31" s="53" t="s">
        <v>467</v>
      </c>
      <c r="X31" s="55" t="n">
        <f aca="false">IF($A31="","",IFERROR(INDEX(16_能力商機矩陣_CapOppMap!$D$162:$CO$162,MATCH($A31,16_能力商機矩陣_CapOppMap!$D$4:$CO$4,0)),""))</f>
        <v>1</v>
      </c>
      <c r="Y31" s="61" t="n">
        <f aca="false">IF(OR($A31="",$H31=""),"",IF($H31=0,"",ROUND(0.45*$I31+0.35*$J31+0.2*IF(LEFT($F31,1)="③",5,IF(LEFT($F31,1)="②",3,1))-IF($K31&gt;0,0.3,0),2)+ROW()/100000))</f>
        <v>3.95031</v>
      </c>
      <c r="Z31" s="62" t="n">
        <f aca="false">IF($Y31="","",RANK($Y31,$Y$5:$Y$94))</f>
        <v>12</v>
      </c>
      <c r="AA31" s="75" t="s">
        <v>443</v>
      </c>
      <c r="AB31" s="64" t="s">
        <v>468</v>
      </c>
      <c r="AC31" s="65" t="s">
        <v>237</v>
      </c>
      <c r="AD31" s="72" t="s">
        <v>445</v>
      </c>
    </row>
    <row r="32" customFormat="false" ht="49.5" hidden="false" customHeight="true" outlineLevel="0" collapsed="false">
      <c r="A32" s="50" t="s">
        <v>469</v>
      </c>
      <c r="B32" s="51" t="s">
        <v>470</v>
      </c>
      <c r="C32" s="52" t="s">
        <v>471</v>
      </c>
      <c r="D32" s="52" t="s">
        <v>437</v>
      </c>
      <c r="E32" s="53" t="s">
        <v>472</v>
      </c>
      <c r="F32" s="53" t="s">
        <v>343</v>
      </c>
      <c r="G32" s="54" t="str">
        <f aca="false">IF($A32="","",IF($H32=0,"（尚無對應能力）",IFERROR(INDEX(16_能力商機矩陣_CapOppMap!$D$160:$CO$160,MATCH($A32,16_能力商機矩陣_CapOppMap!$D$4:$CO$4,0)),"")))</f>
        <v>D01; D04</v>
      </c>
      <c r="H32" s="55" t="n">
        <f aca="false">IF($A32="","",IFERROR(INDEX(16_能力商機矩陣_CapOppMap!$D$156:$CO$156,MATCH($A32,16_能力商機矩陣_CapOppMap!$D$4:$CO$4,0)),""))</f>
        <v>2</v>
      </c>
      <c r="I32" s="56" t="n">
        <f aca="false">IF($A32="","",IFERROR(INDEX(16_能力商機矩陣_CapOppMap!$D$157:$CO$157,MATCH($A32,16_能力商機矩陣_CapOppMap!$D$4:$CO$4,0)),""))</f>
        <v>4.1</v>
      </c>
      <c r="J32" s="56" t="n">
        <f aca="false">IF($A32="","",IFERROR(INDEX(16_能力商機矩陣_CapOppMap!$D$158:$CO$158,MATCH($A32,16_能力商機矩陣_CapOppMap!$D$4:$CO$4,0)),""))</f>
        <v>2.7</v>
      </c>
      <c r="K32" s="57" t="n">
        <f aca="false">IF($A32="","",IFERROR(INDEX(16_能力商機矩陣_CapOppMap!$D$159:$CO$159,MATCH($A32,16_能力商機矩陣_CapOppMap!$D$4:$CO$4,0)),""))</f>
        <v>0</v>
      </c>
      <c r="L32" s="58" t="str">
        <f aca="false">IF($A32="","",IF($H32=0,"★白地商機：目前無對應能力，需新增能力或找新夥伴",IF($K32&gt;0,"有缺口："&amp;$K32&amp;"項可對外招募","已有能力可承接")))</f>
        <v>已有能力可承接</v>
      </c>
      <c r="M32" s="59" t="s">
        <v>243</v>
      </c>
      <c r="N32" s="60" t="s">
        <v>332</v>
      </c>
      <c r="O32" s="60" t="s">
        <v>228</v>
      </c>
      <c r="P32" s="59" t="s">
        <v>245</v>
      </c>
      <c r="Q32" s="60" t="s">
        <v>230</v>
      </c>
      <c r="R32" s="59" t="s">
        <v>473</v>
      </c>
      <c r="S32" s="52" t="s">
        <v>474</v>
      </c>
      <c r="T32" s="55" t="n">
        <f aca="false">IF($A32="","",COUNTIF(14_商機清單_Pipeline!$A$5:$A$34,$U32))</f>
        <v>0</v>
      </c>
      <c r="U32" s="54" t="str">
        <f aca="false">IF($B32="","",$A32&amp;" "&amp;$B32)</f>
        <v>OPP-28 個資合規與跨境傳輸顧問(PDPL)</v>
      </c>
      <c r="V32" s="70" t="s">
        <v>275</v>
      </c>
      <c r="W32" s="52"/>
      <c r="X32" s="55" t="n">
        <f aca="false">IF($A32="","",IFERROR(INDEX(16_能力商機矩陣_CapOppMap!$D$162:$CO$162,MATCH($A32,16_能力商機矩陣_CapOppMap!$D$4:$CO$4,0)),""))</f>
        <v>0</v>
      </c>
      <c r="Y32" s="61" t="n">
        <f aca="false">IF(OR($A32="",$H32=""),"",IF($H32=0,"",ROUND(0.45*$I32+0.35*$J32+0.2*IF(LEFT($F32,1)="③",5,IF(LEFT($F32,1)="②",3,1))-IF($K32&gt;0,0.3,0),2)+ROW()/100000))</f>
        <v>3.79032</v>
      </c>
      <c r="Z32" s="62" t="n">
        <f aca="false">IF($Y32="","",RANK($Y32,$Y$5:$Y$94))</f>
        <v>22</v>
      </c>
      <c r="AA32" s="63" t="s">
        <v>235</v>
      </c>
      <c r="AB32" s="64" t="s">
        <v>475</v>
      </c>
      <c r="AC32" s="65" t="s">
        <v>237</v>
      </c>
      <c r="AD32" s="72" t="s">
        <v>445</v>
      </c>
    </row>
    <row r="33" customFormat="false" ht="49.5" hidden="false" customHeight="true" outlineLevel="0" collapsed="false">
      <c r="A33" s="50" t="s">
        <v>476</v>
      </c>
      <c r="B33" s="51" t="s">
        <v>477</v>
      </c>
      <c r="C33" s="52" t="s">
        <v>478</v>
      </c>
      <c r="D33" s="52" t="s">
        <v>437</v>
      </c>
      <c r="E33" s="53" t="s">
        <v>479</v>
      </c>
      <c r="F33" s="53" t="s">
        <v>343</v>
      </c>
      <c r="G33" s="54" t="str">
        <f aca="false">IF($A33="","",IF($H33=0,"（尚無對應能力）",IFERROR(INDEX(16_能力商機矩陣_CapOppMap!$D$160:$CO$160,MATCH($A33,16_能力商機矩陣_CapOppMap!$D$4:$CO$4,0)),"")))</f>
        <v>D04</v>
      </c>
      <c r="H33" s="55" t="n">
        <f aca="false">IF($A33="","",IFERROR(INDEX(16_能力商機矩陣_CapOppMap!$D$156:$CO$156,MATCH($A33,16_能力商機矩陣_CapOppMap!$D$4:$CO$4,0)),""))</f>
        <v>1</v>
      </c>
      <c r="I33" s="56" t="n">
        <f aca="false">IF($A33="","",IFERROR(INDEX(16_能力商機矩陣_CapOppMap!$D$157:$CO$157,MATCH($A33,16_能力商機矩陣_CapOppMap!$D$4:$CO$4,0)),""))</f>
        <v>4.1</v>
      </c>
      <c r="J33" s="56" t="n">
        <f aca="false">IF($A33="","",IFERROR(INDEX(16_能力商機矩陣_CapOppMap!$D$158:$CO$158,MATCH($A33,16_能力商機矩陣_CapOppMap!$D$4:$CO$4,0)),""))</f>
        <v>3.4</v>
      </c>
      <c r="K33" s="57" t="n">
        <f aca="false">IF($A33="","",IFERROR(INDEX(16_能力商機矩陣_CapOppMap!$D$159:$CO$159,MATCH($A33,16_能力商機矩陣_CapOppMap!$D$4:$CO$4,0)),""))</f>
        <v>0</v>
      </c>
      <c r="L33" s="58" t="str">
        <f aca="false">IF($A33="","",IF($H33=0,"★白地商機：目前無對應能力，需新增能力或找新夥伴",IF($K33&gt;0,"有缺口："&amp;$K33&amp;"項可對外招募","已有能力可承接")))</f>
        <v>已有能力可承接</v>
      </c>
      <c r="M33" s="59" t="s">
        <v>302</v>
      </c>
      <c r="N33" s="60" t="s">
        <v>332</v>
      </c>
      <c r="O33" s="60" t="s">
        <v>333</v>
      </c>
      <c r="P33" s="59" t="s">
        <v>245</v>
      </c>
      <c r="Q33" s="60" t="s">
        <v>230</v>
      </c>
      <c r="R33" s="59" t="s">
        <v>480</v>
      </c>
      <c r="S33" s="52" t="s">
        <v>481</v>
      </c>
      <c r="T33" s="55" t="n">
        <f aca="false">IF($A33="","",COUNTIF(14_商機清單_Pipeline!$A$5:$A$34,$U33))</f>
        <v>0</v>
      </c>
      <c r="U33" s="54" t="str">
        <f aca="false">IF($B33="","",$A33&amp;" "&amp;$B33)</f>
        <v>OPP-29 災難復原與營運持續(DR/BCM)</v>
      </c>
      <c r="V33" s="70" t="s">
        <v>275</v>
      </c>
      <c r="W33" s="52"/>
      <c r="X33" s="55" t="n">
        <f aca="false">IF($A33="","",IFERROR(INDEX(16_能力商機矩陣_CapOppMap!$D$162:$CO$162,MATCH($A33,16_能力商機矩陣_CapOppMap!$D$4:$CO$4,0)),""))</f>
        <v>1</v>
      </c>
      <c r="Y33" s="61" t="n">
        <f aca="false">IF(OR($A33="",$H33=""),"",IF($H33=0,"",ROUND(0.45*$I33+0.35*$J33+0.2*IF(LEFT($F33,1)="③",5,IF(LEFT($F33,1)="②",3,1))-IF($K33&gt;0,0.3,0),2)+ROW()/100000))</f>
        <v>4.04033</v>
      </c>
      <c r="Z33" s="62" t="n">
        <f aca="false">IF($Y33="","",RANK($Y33,$Y$5:$Y$94))</f>
        <v>5</v>
      </c>
      <c r="AA33" s="75" t="s">
        <v>443</v>
      </c>
      <c r="AB33" s="69" t="s">
        <v>482</v>
      </c>
      <c r="AC33" s="65" t="s">
        <v>237</v>
      </c>
      <c r="AD33" s="72" t="s">
        <v>445</v>
      </c>
    </row>
    <row r="34" customFormat="false" ht="49.5" hidden="false" customHeight="true" outlineLevel="0" collapsed="false">
      <c r="A34" s="50" t="s">
        <v>483</v>
      </c>
      <c r="B34" s="51" t="s">
        <v>484</v>
      </c>
      <c r="C34" s="52" t="s">
        <v>485</v>
      </c>
      <c r="D34" s="52" t="s">
        <v>437</v>
      </c>
      <c r="E34" s="53" t="s">
        <v>486</v>
      </c>
      <c r="F34" s="53" t="s">
        <v>225</v>
      </c>
      <c r="G34" s="54" t="str">
        <f aca="false">IF($A34="","",IF($H34=0,"（尚無對應能力）",IFERROR(INDEX(16_能力商機矩陣_CapOppMap!$D$160:$CO$160,MATCH($A34,16_能力商機矩陣_CapOppMap!$D$4:$CO$4,0)),"")))</f>
        <v>D04; D06</v>
      </c>
      <c r="H34" s="55" t="n">
        <f aca="false">IF($A34="","",IFERROR(INDEX(16_能力商機矩陣_CapOppMap!$D$156:$CO$156,MATCH($A34,16_能力商機矩陣_CapOppMap!$D$4:$CO$4,0)),""))</f>
        <v>2</v>
      </c>
      <c r="I34" s="56" t="n">
        <f aca="false">IF($A34="","",IFERROR(INDEX(16_能力商機矩陣_CapOppMap!$D$157:$CO$157,MATCH($A34,16_能力商機矩陣_CapOppMap!$D$4:$CO$4,0)),""))</f>
        <v>4.2</v>
      </c>
      <c r="J34" s="56" t="n">
        <f aca="false">IF($A34="","",IFERROR(INDEX(16_能力商機矩陣_CapOppMap!$D$158:$CO$158,MATCH($A34,16_能力商機矩陣_CapOppMap!$D$4:$CO$4,0)),""))</f>
        <v>2.9</v>
      </c>
      <c r="K34" s="57" t="n">
        <f aca="false">IF($A34="","",IFERROR(INDEX(16_能力商機矩陣_CapOppMap!$D$159:$CO$159,MATCH($A34,16_能力商機矩陣_CapOppMap!$D$4:$CO$4,0)),""))</f>
        <v>0</v>
      </c>
      <c r="L34" s="58" t="str">
        <f aca="false">IF($A34="","",IF($H34=0,"★白地商機：目前無對應能力，需新增能力或找新夥伴",IF($K34&gt;0,"有缺口："&amp;$K34&amp;"項可對外招募","已有能力可承接")))</f>
        <v>已有能力可承接</v>
      </c>
      <c r="M34" s="59" t="s">
        <v>302</v>
      </c>
      <c r="N34" s="60" t="s">
        <v>332</v>
      </c>
      <c r="O34" s="60" t="s">
        <v>450</v>
      </c>
      <c r="P34" s="59" t="s">
        <v>245</v>
      </c>
      <c r="Q34" s="60" t="s">
        <v>230</v>
      </c>
      <c r="R34" s="59" t="s">
        <v>487</v>
      </c>
      <c r="S34" s="52" t="s">
        <v>488</v>
      </c>
      <c r="T34" s="55" t="n">
        <f aca="false">IF($A34="","",COUNTIF(14_商機清單_Pipeline!$A$5:$A$34,$U34))</f>
        <v>0</v>
      </c>
      <c r="U34" s="54" t="str">
        <f aca="false">IF($B34="","",$A34&amp;" "&amp;$B34)</f>
        <v>OPP-30 醫療數位簽章與PKI憑證</v>
      </c>
      <c r="V34" s="70" t="s">
        <v>275</v>
      </c>
      <c r="W34" s="52"/>
      <c r="X34" s="55" t="n">
        <f aca="false">IF($A34="","",IFERROR(INDEX(16_能力商機矩陣_CapOppMap!$D$162:$CO$162,MATCH($A34,16_能力商機矩陣_CapOppMap!$D$4:$CO$4,0)),""))</f>
        <v>0</v>
      </c>
      <c r="Y34" s="61" t="n">
        <f aca="false">IF(OR($A34="",$H34=""),"",IF($H34=0,"",ROUND(0.45*$I34+0.35*$J34+0.2*IF(LEFT($F34,1)="③",5,IF(LEFT($F34,1)="②",3,1))-IF($K34&gt;0,0.3,0),2)+ROW()/100000))</f>
        <v>3.51034</v>
      </c>
      <c r="Z34" s="62" t="n">
        <f aca="false">IF($Y34="","",RANK($Y34,$Y$5:$Y$94))</f>
        <v>46</v>
      </c>
      <c r="AA34" s="75" t="s">
        <v>443</v>
      </c>
      <c r="AB34" s="69" t="s">
        <v>489</v>
      </c>
      <c r="AC34" s="65" t="s">
        <v>237</v>
      </c>
      <c r="AD34" s="72" t="s">
        <v>445</v>
      </c>
    </row>
    <row r="35" customFormat="false" ht="49.5" hidden="false" customHeight="true" outlineLevel="0" collapsed="false">
      <c r="A35" s="50" t="s">
        <v>490</v>
      </c>
      <c r="B35" s="76" t="s">
        <v>491</v>
      </c>
      <c r="C35" s="52" t="s">
        <v>492</v>
      </c>
      <c r="D35" s="52" t="s">
        <v>493</v>
      </c>
      <c r="E35" s="53" t="s">
        <v>494</v>
      </c>
      <c r="F35" s="53" t="s">
        <v>225</v>
      </c>
      <c r="G35" s="54" t="str">
        <f aca="false">IF($A35="","",IF($H35=0,"（尚無對應能力）",IFERROR(INDEX(16_能力商機矩陣_CapOppMap!$D$160:$CO$160,MATCH($A35,16_能力商機矩陣_CapOppMap!$D$4:$CO$4,0)),"")))</f>
        <v>D06</v>
      </c>
      <c r="H35" s="55" t="n">
        <f aca="false">IF($A35="","",IFERROR(INDEX(16_能力商機矩陣_CapOppMap!$D$156:$CO$156,MATCH($A35,16_能力商機矩陣_CapOppMap!$D$4:$CO$4,0)),""))</f>
        <v>2</v>
      </c>
      <c r="I35" s="56" t="n">
        <f aca="false">IF($A35="","",IFERROR(INDEX(16_能力商機矩陣_CapOppMap!$D$157:$CO$157,MATCH($A35,16_能力商機矩陣_CapOppMap!$D$4:$CO$4,0)),""))</f>
        <v>4.9</v>
      </c>
      <c r="J35" s="56" t="n">
        <f aca="false">IF($A35="","",IFERROR(INDEX(16_能力商機矩陣_CapOppMap!$D$158:$CO$158,MATCH($A35,16_能力商機矩陣_CapOppMap!$D$4:$CO$4,0)),""))</f>
        <v>2.4</v>
      </c>
      <c r="K35" s="57" t="n">
        <f aca="false">IF($A35="","",IFERROR(INDEX(16_能力商機矩陣_CapOppMap!$D$159:$CO$159,MATCH($A35,16_能力商機矩陣_CapOppMap!$D$4:$CO$4,0)),""))</f>
        <v>0</v>
      </c>
      <c r="L35" s="58" t="str">
        <f aca="false">IF($A35="","",IF($H35=0,"★白地商機：目前無對應能力，需新增能力或找新夥伴",IF($K35&gt;0,"有缺口："&amp;$K35&amp;"項可對外招募","已有能力可承接")))</f>
        <v>已有能力可承接</v>
      </c>
      <c r="M35" s="59" t="s">
        <v>302</v>
      </c>
      <c r="N35" s="60" t="s">
        <v>244</v>
      </c>
      <c r="O35" s="60" t="s">
        <v>450</v>
      </c>
      <c r="P35" s="59" t="s">
        <v>229</v>
      </c>
      <c r="Q35" s="60" t="s">
        <v>230</v>
      </c>
      <c r="R35" s="59" t="s">
        <v>487</v>
      </c>
      <c r="S35" s="52" t="s">
        <v>495</v>
      </c>
      <c r="T35" s="55" t="n">
        <f aca="false">IF($A35="","",COUNTIF(14_商機清單_Pipeline!$A$5:$A$34,$U35))</f>
        <v>1</v>
      </c>
      <c r="U35" s="54" t="str">
        <f aca="false">IF($B35="","",$A35&amp;" "&amp;$B35)</f>
        <v>OPP-31 HIS／EMR核心平台導入</v>
      </c>
      <c r="V35" s="52" t="s">
        <v>496</v>
      </c>
      <c r="W35" s="53" t="s">
        <v>497</v>
      </c>
      <c r="X35" s="55" t="n">
        <f aca="false">IF($A35="","",IFERROR(INDEX(16_能力商機矩陣_CapOppMap!$D$162:$CO$162,MATCH($A35,16_能力商機矩陣_CapOppMap!$D$4:$CO$4,0)),""))</f>
        <v>0</v>
      </c>
      <c r="Y35" s="61" t="n">
        <f aca="false">IF(OR($A35="",$H35=""),"",IF($H35=0,"",ROUND(0.45*$I35+0.35*$J35+0.2*IF(LEFT($F35,1)="③",5,IF(LEFT($F35,1)="②",3,1))-IF($K35&gt;0,0.3,0),2)+ROW()/100000))</f>
        <v>3.65035</v>
      </c>
      <c r="Z35" s="62" t="n">
        <f aca="false">IF($Y35="","",RANK($Y35,$Y$5:$Y$94))</f>
        <v>37</v>
      </c>
      <c r="AA35" s="77" t="s">
        <v>498</v>
      </c>
      <c r="AB35" s="69" t="s">
        <v>499</v>
      </c>
      <c r="AC35" s="65" t="s">
        <v>237</v>
      </c>
      <c r="AD35" s="66" t="s">
        <v>500</v>
      </c>
    </row>
    <row r="36" customFormat="false" ht="49.5" hidden="false" customHeight="true" outlineLevel="0" collapsed="false">
      <c r="A36" s="50" t="s">
        <v>501</v>
      </c>
      <c r="B36" s="76" t="s">
        <v>502</v>
      </c>
      <c r="C36" s="52" t="s">
        <v>503</v>
      </c>
      <c r="D36" s="52" t="s">
        <v>493</v>
      </c>
      <c r="E36" s="53" t="s">
        <v>504</v>
      </c>
      <c r="F36" s="53" t="s">
        <v>225</v>
      </c>
      <c r="G36" s="54" t="str">
        <f aca="false">IF($A36="","",IF($H36=0,"（尚無對應能力）",IFERROR(INDEX(16_能力商機矩陣_CapOppMap!$D$160:$CO$160,MATCH($A36,16_能力商機矩陣_CapOppMap!$D$4:$CO$4,0)),"")))</f>
        <v>D05; D06</v>
      </c>
      <c r="H36" s="55" t="n">
        <f aca="false">IF($A36="","",IFERROR(INDEX(16_能力商機矩陣_CapOppMap!$D$156:$CO$156,MATCH($A36,16_能力商機矩陣_CapOppMap!$D$4:$CO$4,0)),""))</f>
        <v>2</v>
      </c>
      <c r="I36" s="56" t="n">
        <f aca="false">IF($A36="","",IFERROR(INDEX(16_能力商機矩陣_CapOppMap!$D$157:$CO$157,MATCH($A36,16_能力商機矩陣_CapOppMap!$D$4:$CO$4,0)),""))</f>
        <v>4.9</v>
      </c>
      <c r="J36" s="56" t="n">
        <f aca="false">IF($A36="","",IFERROR(INDEX(16_能力商機矩陣_CapOppMap!$D$158:$CO$158,MATCH($A36,16_能力商機矩陣_CapOppMap!$D$4:$CO$4,0)),""))</f>
        <v>2.4</v>
      </c>
      <c r="K36" s="57" t="n">
        <f aca="false">IF($A36="","",IFERROR(INDEX(16_能力商機矩陣_CapOppMap!$D$159:$CO$159,MATCH($A36,16_能力商機矩陣_CapOppMap!$D$4:$CO$4,0)),""))</f>
        <v>1</v>
      </c>
      <c r="L36" s="58" t="str">
        <f aca="false">IF($A36="","",IF($H36=0,"★白地商機：目前無對應能力，需新增能力或找新夥伴",IF($K36&gt;0,"有缺口："&amp;$K36&amp;"項可對外招募","已有能力可承接")))</f>
        <v>有缺口：1項可對外招募</v>
      </c>
      <c r="M36" s="59" t="s">
        <v>302</v>
      </c>
      <c r="N36" s="60" t="s">
        <v>244</v>
      </c>
      <c r="O36" s="60" t="s">
        <v>450</v>
      </c>
      <c r="P36" s="59" t="s">
        <v>245</v>
      </c>
      <c r="Q36" s="60" t="s">
        <v>230</v>
      </c>
      <c r="R36" s="59" t="s">
        <v>363</v>
      </c>
      <c r="S36" s="53" t="s">
        <v>505</v>
      </c>
      <c r="T36" s="55" t="n">
        <f aca="false">IF($A36="","",COUNTIF(14_商機清單_Pipeline!$A$5:$A$34,$U36))</f>
        <v>0</v>
      </c>
      <c r="U36" s="54" t="str">
        <f aca="false">IF($B36="","",$A36&amp;" "&amp;$B36)</f>
        <v>OPP-32 PACS／RIS影像資訊系統</v>
      </c>
      <c r="V36" s="53" t="s">
        <v>506</v>
      </c>
      <c r="W36" s="53" t="s">
        <v>507</v>
      </c>
      <c r="X36" s="55" t="n">
        <f aca="false">IF($A36="","",IFERROR(INDEX(16_能力商機矩陣_CapOppMap!$D$162:$CO$162,MATCH($A36,16_能力商機矩陣_CapOppMap!$D$4:$CO$4,0)),""))</f>
        <v>0</v>
      </c>
      <c r="Y36" s="61" t="n">
        <f aca="false">IF(OR($A36="",$H36=""),"",IF($H36=0,"",ROUND(0.45*$I36+0.35*$J36+0.2*IF(LEFT($F36,1)="③",5,IF(LEFT($F36,1)="②",3,1))-IF($K36&gt;0,0.3,0),2)+ROW()/100000))</f>
        <v>3.35036</v>
      </c>
      <c r="Z36" s="62" t="n">
        <f aca="false">IF($Y36="","",RANK($Y36,$Y$5:$Y$94))</f>
        <v>54</v>
      </c>
      <c r="AA36" s="77" t="s">
        <v>498</v>
      </c>
      <c r="AB36" s="64" t="s">
        <v>508</v>
      </c>
      <c r="AC36" s="65" t="s">
        <v>237</v>
      </c>
      <c r="AD36" s="66" t="s">
        <v>500</v>
      </c>
    </row>
    <row r="37" customFormat="false" ht="49.5" hidden="false" customHeight="true" outlineLevel="0" collapsed="false">
      <c r="A37" s="50" t="s">
        <v>509</v>
      </c>
      <c r="B37" s="76" t="s">
        <v>510</v>
      </c>
      <c r="C37" s="52" t="s">
        <v>511</v>
      </c>
      <c r="D37" s="52" t="s">
        <v>493</v>
      </c>
      <c r="E37" s="52" t="s">
        <v>512</v>
      </c>
      <c r="F37" s="53" t="s">
        <v>225</v>
      </c>
      <c r="G37" s="54" t="str">
        <f aca="false">IF($A37="","",IF($H37=0,"（尚無對應能力）",IFERROR(INDEX(16_能力商機矩陣_CapOppMap!$D$160:$CO$160,MATCH($A37,16_能力商機矩陣_CapOppMap!$D$4:$CO$4,0)),"")))</f>
        <v>D06</v>
      </c>
      <c r="H37" s="55" t="n">
        <f aca="false">IF($A37="","",IFERROR(INDEX(16_能力商機矩陣_CapOppMap!$D$156:$CO$156,MATCH($A37,16_能力商機矩陣_CapOppMap!$D$4:$CO$4,0)),""))</f>
        <v>2</v>
      </c>
      <c r="I37" s="56" t="n">
        <f aca="false">IF($A37="","",IFERROR(INDEX(16_能力商機矩陣_CapOppMap!$D$157:$CO$157,MATCH($A37,16_能力商機矩陣_CapOppMap!$D$4:$CO$4,0)),""))</f>
        <v>5</v>
      </c>
      <c r="J37" s="56" t="n">
        <f aca="false">IF($A37="","",IFERROR(INDEX(16_能力商機矩陣_CapOppMap!$D$158:$CO$158,MATCH($A37,16_能力商機矩陣_CapOppMap!$D$4:$CO$4,0)),""))</f>
        <v>2.4</v>
      </c>
      <c r="K37" s="57" t="n">
        <f aca="false">IF($A37="","",IFERROR(INDEX(16_能力商機矩陣_CapOppMap!$D$159:$CO$159,MATCH($A37,16_能力商機矩陣_CapOppMap!$D$4:$CO$4,0)),""))</f>
        <v>0</v>
      </c>
      <c r="L37" s="58" t="str">
        <f aca="false">IF($A37="","",IF($H37=0,"★白地商機：目前無對應能力，需新增能力或找新夥伴",IF($K37&gt;0,"有缺口："&amp;$K37&amp;"項可對外招募","已有能力可承接")))</f>
        <v>已有能力可承接</v>
      </c>
      <c r="M37" s="59" t="s">
        <v>302</v>
      </c>
      <c r="N37" s="60" t="s">
        <v>244</v>
      </c>
      <c r="O37" s="60" t="s">
        <v>450</v>
      </c>
      <c r="P37" s="59" t="s">
        <v>245</v>
      </c>
      <c r="Q37" s="60" t="s">
        <v>230</v>
      </c>
      <c r="R37" s="59" t="s">
        <v>513</v>
      </c>
      <c r="S37" s="52" t="s">
        <v>514</v>
      </c>
      <c r="T37" s="55" t="n">
        <f aca="false">IF($A37="","",COUNTIF(14_商機清單_Pipeline!$A$5:$A$34,$U37))</f>
        <v>0</v>
      </c>
      <c r="U37" s="54" t="str">
        <f aca="false">IF($B37="","",$A37&amp;" "&amp;$B37)</f>
        <v>OPP-33 FHIR互通平台與資料交換</v>
      </c>
      <c r="V37" s="53" t="s">
        <v>515</v>
      </c>
      <c r="W37" s="52" t="s">
        <v>516</v>
      </c>
      <c r="X37" s="55" t="n">
        <f aca="false">IF($A37="","",IFERROR(INDEX(16_能力商機矩陣_CapOppMap!$D$162:$CO$162,MATCH($A37,16_能力商機矩陣_CapOppMap!$D$4:$CO$4,0)),""))</f>
        <v>0</v>
      </c>
      <c r="Y37" s="61" t="n">
        <f aca="false">IF(OR($A37="",$H37=""),"",IF($H37=0,"",ROUND(0.45*$I37+0.35*$J37+0.2*IF(LEFT($F37,1)="③",5,IF(LEFT($F37,1)="②",3,1))-IF($K37&gt;0,0.3,0),2)+ROW()/100000))</f>
        <v>3.69037</v>
      </c>
      <c r="Z37" s="62" t="n">
        <f aca="false">IF($Y37="","",RANK($Y37,$Y$5:$Y$94))</f>
        <v>30</v>
      </c>
      <c r="AA37" s="77" t="s">
        <v>498</v>
      </c>
      <c r="AB37" s="64" t="s">
        <v>517</v>
      </c>
      <c r="AC37" s="65" t="s">
        <v>237</v>
      </c>
      <c r="AD37" s="66" t="s">
        <v>500</v>
      </c>
    </row>
    <row r="38" customFormat="false" ht="49.5" hidden="false" customHeight="true" outlineLevel="0" collapsed="false">
      <c r="A38" s="50" t="s">
        <v>518</v>
      </c>
      <c r="B38" s="51" t="s">
        <v>519</v>
      </c>
      <c r="C38" s="52" t="s">
        <v>520</v>
      </c>
      <c r="D38" s="52" t="s">
        <v>493</v>
      </c>
      <c r="E38" s="53" t="s">
        <v>521</v>
      </c>
      <c r="F38" s="53" t="s">
        <v>343</v>
      </c>
      <c r="G38" s="54" t="str">
        <f aca="false">IF($A38="","",IF($H38=0,"（尚無對應能力）",IFERROR(INDEX(16_能力商機矩陣_CapOppMap!$D$160:$CO$160,MATCH($A38,16_能力商機矩陣_CapOppMap!$D$4:$CO$4,0)),"")))</f>
        <v>D06</v>
      </c>
      <c r="H38" s="55" t="n">
        <f aca="false">IF($A38="","",IFERROR(INDEX(16_能力商機矩陣_CapOppMap!$D$156:$CO$156,MATCH($A38,16_能力商機矩陣_CapOppMap!$D$4:$CO$4,0)),""))</f>
        <v>2</v>
      </c>
      <c r="I38" s="56" t="n">
        <f aca="false">IF($A38="","",IFERROR(INDEX(16_能力商機矩陣_CapOppMap!$D$157:$CO$157,MATCH($A38,16_能力商機矩陣_CapOppMap!$D$4:$CO$4,0)),""))</f>
        <v>4.7</v>
      </c>
      <c r="J38" s="56" t="n">
        <f aca="false">IF($A38="","",IFERROR(INDEX(16_能力商機矩陣_CapOppMap!$D$158:$CO$158,MATCH($A38,16_能力商機矩陣_CapOppMap!$D$4:$CO$4,0)),""))</f>
        <v>2.4</v>
      </c>
      <c r="K38" s="57" t="n">
        <f aca="false">IF($A38="","",IFERROR(INDEX(16_能力商機矩陣_CapOppMap!$D$159:$CO$159,MATCH($A38,16_能力商機矩陣_CapOppMap!$D$4:$CO$4,0)),""))</f>
        <v>1</v>
      </c>
      <c r="L38" s="58" t="str">
        <f aca="false">IF($A38="","",IF($H38=0,"★白地商機：目前無對應能力，需新增能力或找新夥伴",IF($K38&gt;0,"有缺口："&amp;$K38&amp;"項可對外招募","已有能力可承接")))</f>
        <v>有缺口：1項可對外招募</v>
      </c>
      <c r="M38" s="59" t="s">
        <v>361</v>
      </c>
      <c r="N38" s="60" t="s">
        <v>244</v>
      </c>
      <c r="O38" s="60" t="s">
        <v>228</v>
      </c>
      <c r="P38" s="59" t="s">
        <v>245</v>
      </c>
      <c r="Q38" s="60" t="s">
        <v>230</v>
      </c>
      <c r="R38" s="59" t="s">
        <v>522</v>
      </c>
      <c r="S38" s="53" t="s">
        <v>523</v>
      </c>
      <c r="T38" s="55" t="n">
        <f aca="false">IF($A38="","",COUNTIF(14_商機清單_Pipeline!$A$5:$A$34,$U38))</f>
        <v>0</v>
      </c>
      <c r="U38" s="54" t="str">
        <f aca="false">IF($B38="","",$A38&amp;" "&amp;$B38)</f>
        <v>OPP-34 主病人索引(MPI)與資料清理</v>
      </c>
      <c r="V38" s="53" t="s">
        <v>524</v>
      </c>
      <c r="W38" s="52" t="s">
        <v>525</v>
      </c>
      <c r="X38" s="55" t="n">
        <f aca="false">IF($A38="","",IFERROR(INDEX(16_能力商機矩陣_CapOppMap!$D$162:$CO$162,MATCH($A38,16_能力商機矩陣_CapOppMap!$D$4:$CO$4,0)),""))</f>
        <v>0</v>
      </c>
      <c r="Y38" s="61" t="n">
        <f aca="false">IF(OR($A38="",$H38=""),"",IF($H38=0,"",ROUND(0.45*$I38+0.35*$J38+0.2*IF(LEFT($F38,1)="③",5,IF(LEFT($F38,1)="②",3,1))-IF($K38&gt;0,0.3,0),2)+ROW()/100000))</f>
        <v>3.66038</v>
      </c>
      <c r="Z38" s="62" t="n">
        <f aca="false">IF($Y38="","",RANK($Y38,$Y$5:$Y$94))</f>
        <v>34</v>
      </c>
      <c r="AA38" s="77" t="s">
        <v>498</v>
      </c>
      <c r="AB38" s="69" t="s">
        <v>526</v>
      </c>
      <c r="AC38" s="65" t="s">
        <v>237</v>
      </c>
      <c r="AD38" s="66" t="s">
        <v>500</v>
      </c>
    </row>
    <row r="39" customFormat="false" ht="49.5" hidden="false" customHeight="true" outlineLevel="0" collapsed="false">
      <c r="A39" s="50" t="s">
        <v>527</v>
      </c>
      <c r="B39" s="51" t="s">
        <v>528</v>
      </c>
      <c r="C39" s="52" t="s">
        <v>529</v>
      </c>
      <c r="D39" s="52" t="s">
        <v>493</v>
      </c>
      <c r="E39" s="52" t="s">
        <v>530</v>
      </c>
      <c r="F39" s="53" t="s">
        <v>343</v>
      </c>
      <c r="G39" s="54" t="str">
        <f aca="false">IF($A39="","",IF($H39=0,"（尚無對應能力）",IFERROR(INDEX(16_能力商機矩陣_CapOppMap!$D$160:$CO$160,MATCH($A39,16_能力商機矩陣_CapOppMap!$D$4:$CO$4,0)),"")))</f>
        <v>D06</v>
      </c>
      <c r="H39" s="55" t="n">
        <f aca="false">IF($A39="","",IFERROR(INDEX(16_能力商機矩陣_CapOppMap!$D$156:$CO$156,MATCH($A39,16_能力商機矩陣_CapOppMap!$D$4:$CO$4,0)),""))</f>
        <v>1</v>
      </c>
      <c r="I39" s="56" t="n">
        <f aca="false">IF($A39="","",IFERROR(INDEX(16_能力商機矩陣_CapOppMap!$D$157:$CO$157,MATCH($A39,16_能力商機矩陣_CapOppMap!$D$4:$CO$4,0)),""))</f>
        <v>5</v>
      </c>
      <c r="J39" s="56" t="n">
        <f aca="false">IF($A39="","",IFERROR(INDEX(16_能力商機矩陣_CapOppMap!$D$158:$CO$158,MATCH($A39,16_能力商機矩陣_CapOppMap!$D$4:$CO$4,0)),""))</f>
        <v>2.4</v>
      </c>
      <c r="K39" s="57" t="n">
        <f aca="false">IF($A39="","",IFERROR(INDEX(16_能力商機矩陣_CapOppMap!$D$159:$CO$159,MATCH($A39,16_能力商機矩陣_CapOppMap!$D$4:$CO$4,0)),""))</f>
        <v>0</v>
      </c>
      <c r="L39" s="58" t="str">
        <f aca="false">IF($A39="","",IF($H39=0,"★白地商機：目前無對應能力，需新增能力或找新夥伴",IF($K39&gt;0,"有缺口："&amp;$K39&amp;"項可對外招募","已有能力可承接")))</f>
        <v>已有能力可承接</v>
      </c>
      <c r="M39" s="59" t="s">
        <v>361</v>
      </c>
      <c r="N39" s="60" t="s">
        <v>244</v>
      </c>
      <c r="O39" s="60" t="s">
        <v>450</v>
      </c>
      <c r="P39" s="59" t="s">
        <v>245</v>
      </c>
      <c r="Q39" s="60" t="s">
        <v>230</v>
      </c>
      <c r="R39" s="59" t="s">
        <v>522</v>
      </c>
      <c r="S39" s="52" t="s">
        <v>531</v>
      </c>
      <c r="T39" s="55" t="n">
        <f aca="false">IF($A39="","",COUNTIF(14_商機清單_Pipeline!$A$5:$A$34,$U39))</f>
        <v>0</v>
      </c>
      <c r="U39" s="54" t="str">
        <f aca="false">IF($B39="","",$A39&amp;" "&amp;$B39)</f>
        <v>OPP-35 臨床術語與編碼服務</v>
      </c>
      <c r="V39" s="70" t="s">
        <v>275</v>
      </c>
      <c r="W39" s="52"/>
      <c r="X39" s="55" t="n">
        <f aca="false">IF($A39="","",IFERROR(INDEX(16_能力商機矩陣_CapOppMap!$D$162:$CO$162,MATCH($A39,16_能力商機矩陣_CapOppMap!$D$4:$CO$4,0)),""))</f>
        <v>0</v>
      </c>
      <c r="Y39" s="61" t="n">
        <f aca="false">IF(OR($A39="",$H39=""),"",IF($H39=0,"",ROUND(0.45*$I39+0.35*$J39+0.2*IF(LEFT($F39,1)="③",5,IF(LEFT($F39,1)="②",3,1))-IF($K39&gt;0,0.3,0),2)+ROW()/100000))</f>
        <v>4.09039</v>
      </c>
      <c r="Z39" s="62" t="n">
        <f aca="false">IF($Y39="","",RANK($Y39,$Y$5:$Y$94))</f>
        <v>4</v>
      </c>
      <c r="AA39" s="77" t="s">
        <v>498</v>
      </c>
      <c r="AB39" s="64" t="s">
        <v>250</v>
      </c>
      <c r="AC39" s="67" t="s">
        <v>251</v>
      </c>
      <c r="AD39" s="66" t="s">
        <v>500</v>
      </c>
    </row>
    <row r="40" customFormat="false" ht="49.5" hidden="false" customHeight="true" outlineLevel="0" collapsed="false">
      <c r="A40" s="50" t="s">
        <v>532</v>
      </c>
      <c r="B40" s="51" t="s">
        <v>533</v>
      </c>
      <c r="C40" s="52" t="s">
        <v>534</v>
      </c>
      <c r="D40" s="52" t="s">
        <v>493</v>
      </c>
      <c r="E40" s="53" t="s">
        <v>535</v>
      </c>
      <c r="F40" s="53" t="s">
        <v>225</v>
      </c>
      <c r="G40" s="54" t="str">
        <f aca="false">IF($A40="","",IF($H40=0,"（尚無對應能力）",IFERROR(INDEX(16_能力商機矩陣_CapOppMap!$D$160:$CO$160,MATCH($A40,16_能力商機矩陣_CapOppMap!$D$4:$CO$4,0)),"")))</f>
        <v>D06</v>
      </c>
      <c r="H40" s="55" t="n">
        <f aca="false">IF($A40="","",IFERROR(INDEX(16_能力商機矩陣_CapOppMap!$D$156:$CO$156,MATCH($A40,16_能力商機矩陣_CapOppMap!$D$4:$CO$4,0)),""))</f>
        <v>1</v>
      </c>
      <c r="I40" s="56" t="n">
        <f aca="false">IF($A40="","",IFERROR(INDEX(16_能力商機矩陣_CapOppMap!$D$157:$CO$157,MATCH($A40,16_能力商機矩陣_CapOppMap!$D$4:$CO$4,0)),""))</f>
        <v>4</v>
      </c>
      <c r="J40" s="56" t="n">
        <f aca="false">IF($A40="","",IFERROR(INDEX(16_能力商機矩陣_CapOppMap!$D$158:$CO$158,MATCH($A40,16_能力商機矩陣_CapOppMap!$D$4:$CO$4,0)),""))</f>
        <v>2.4</v>
      </c>
      <c r="K40" s="57" t="n">
        <f aca="false">IF($A40="","",IFERROR(INDEX(16_能力商機矩陣_CapOppMap!$D$159:$CO$159,MATCH($A40,16_能力商機矩陣_CapOppMap!$D$4:$CO$4,0)),""))</f>
        <v>0</v>
      </c>
      <c r="L40" s="58" t="str">
        <f aca="false">IF($A40="","",IF($H40=0,"★白地商機：目前無對應能力，需新增能力或找新夥伴",IF($K40&gt;0,"有缺口："&amp;$K40&amp;"項可對外招募","已有能力可承接")))</f>
        <v>已有能力可承接</v>
      </c>
      <c r="M40" s="59" t="s">
        <v>302</v>
      </c>
      <c r="N40" s="60" t="s">
        <v>281</v>
      </c>
      <c r="O40" s="60" t="s">
        <v>282</v>
      </c>
      <c r="P40" s="59" t="s">
        <v>229</v>
      </c>
      <c r="Q40" s="60" t="s">
        <v>230</v>
      </c>
      <c r="R40" s="59" t="s">
        <v>536</v>
      </c>
      <c r="S40" s="53" t="s">
        <v>537</v>
      </c>
      <c r="T40" s="55" t="n">
        <f aca="false">IF($A40="","",COUNTIF(14_商機清單_Pipeline!$A$5:$A$34,$U40))</f>
        <v>0</v>
      </c>
      <c r="U40" s="54" t="str">
        <f aca="false">IF($B40="","",$A40&amp;" "&amp;$B40)</f>
        <v>OPP-36 省級健康資料中台</v>
      </c>
      <c r="V40" s="70" t="s">
        <v>275</v>
      </c>
      <c r="W40" s="52"/>
      <c r="X40" s="55" t="n">
        <f aca="false">IF($A40="","",IFERROR(INDEX(16_能力商機矩陣_CapOppMap!$D$162:$CO$162,MATCH($A40,16_能力商機矩陣_CapOppMap!$D$4:$CO$4,0)),""))</f>
        <v>0</v>
      </c>
      <c r="Y40" s="61" t="n">
        <f aca="false">IF(OR($A40="",$H40=""),"",IF($H40=0,"",ROUND(0.45*$I40+0.35*$J40+0.2*IF(LEFT($F40,1)="③",5,IF(LEFT($F40,1)="②",3,1))-IF($K40&gt;0,0.3,0),2)+ROW()/100000))</f>
        <v>3.2404</v>
      </c>
      <c r="Z40" s="62" t="n">
        <f aca="false">IF($Y40="","",RANK($Y40,$Y$5:$Y$94))</f>
        <v>67</v>
      </c>
      <c r="AA40" s="77" t="s">
        <v>498</v>
      </c>
      <c r="AB40" s="69" t="s">
        <v>538</v>
      </c>
      <c r="AC40" s="65" t="s">
        <v>237</v>
      </c>
      <c r="AD40" s="66" t="s">
        <v>500</v>
      </c>
    </row>
    <row r="41" customFormat="false" ht="49.5" hidden="false" customHeight="true" outlineLevel="0" collapsed="false">
      <c r="A41" s="50" t="s">
        <v>539</v>
      </c>
      <c r="B41" s="51" t="s">
        <v>540</v>
      </c>
      <c r="C41" s="52" t="s">
        <v>541</v>
      </c>
      <c r="D41" s="52" t="s">
        <v>493</v>
      </c>
      <c r="E41" s="53" t="s">
        <v>542</v>
      </c>
      <c r="F41" s="53" t="s">
        <v>343</v>
      </c>
      <c r="G41" s="54" t="str">
        <f aca="false">IF($A41="","",IF($H41=0,"（尚無對應能力）",IFERROR(INDEX(16_能力商機矩陣_CapOppMap!$D$160:$CO$160,MATCH($A41,16_能力商機矩陣_CapOppMap!$D$4:$CO$4,0)),"")))</f>
        <v>D06; D09</v>
      </c>
      <c r="H41" s="55" t="n">
        <f aca="false">IF($A41="","",IFERROR(INDEX(16_能力商機矩陣_CapOppMap!$D$156:$CO$156,MATCH($A41,16_能力商機矩陣_CapOppMap!$D$4:$CO$4,0)),""))</f>
        <v>2</v>
      </c>
      <c r="I41" s="56" t="n">
        <f aca="false">IF($A41="","",IFERROR(INDEX(16_能力商機矩陣_CapOppMap!$D$157:$CO$157,MATCH($A41,16_能力商機矩陣_CapOppMap!$D$4:$CO$4,0)),""))</f>
        <v>3.9</v>
      </c>
      <c r="J41" s="56" t="n">
        <f aca="false">IF($A41="","",IFERROR(INDEX(16_能力商機矩陣_CapOppMap!$D$158:$CO$158,MATCH($A41,16_能力商機矩陣_CapOppMap!$D$4:$CO$4,0)),""))</f>
        <v>2.9</v>
      </c>
      <c r="K41" s="57" t="n">
        <f aca="false">IF($A41="","",IFERROR(INDEX(16_能力商機矩陣_CapOppMap!$D$159:$CO$159,MATCH($A41,16_能力商機矩陣_CapOppMap!$D$4:$CO$4,0)),""))</f>
        <v>0</v>
      </c>
      <c r="L41" s="58" t="str">
        <f aca="false">IF($A41="","",IF($H41=0,"★白地商機：目前無對應能力，需新增能力或找新夥伴",IF($K41&gt;0,"有缺口："&amp;$K41&amp;"項可對外招募","已有能力可承接")))</f>
        <v>已有能力可承接</v>
      </c>
      <c r="M41" s="59" t="s">
        <v>302</v>
      </c>
      <c r="N41" s="60" t="s">
        <v>332</v>
      </c>
      <c r="O41" s="60" t="s">
        <v>450</v>
      </c>
      <c r="P41" s="59" t="s">
        <v>245</v>
      </c>
      <c r="Q41" s="60" t="s">
        <v>230</v>
      </c>
      <c r="R41" s="59" t="s">
        <v>543</v>
      </c>
      <c r="S41" s="53" t="s">
        <v>544</v>
      </c>
      <c r="T41" s="55" t="n">
        <f aca="false">IF($A41="","",COUNTIF(14_商機清單_Pipeline!$A$5:$A$34,$U41))</f>
        <v>0</v>
      </c>
      <c r="U41" s="54" t="str">
        <f aca="false">IF($B41="","",$A41&amp;" "&amp;$B41)</f>
        <v>OPP-37 醫院BI與營運指揮中心</v>
      </c>
      <c r="V41" s="70" t="s">
        <v>275</v>
      </c>
      <c r="W41" s="52"/>
      <c r="X41" s="55" t="n">
        <f aca="false">IF($A41="","",IFERROR(INDEX(16_能力商機矩陣_CapOppMap!$D$162:$CO$162,MATCH($A41,16_能力商機矩陣_CapOppMap!$D$4:$CO$4,0)),""))</f>
        <v>1</v>
      </c>
      <c r="Y41" s="61" t="n">
        <f aca="false">IF(OR($A41="",$H41=""),"",IF($H41=0,"",ROUND(0.45*$I41+0.35*$J41+0.2*IF(LEFT($F41,1)="③",5,IF(LEFT($F41,1)="②",3,1))-IF($K41&gt;0,0.3,0),2)+ROW()/100000))</f>
        <v>3.77041</v>
      </c>
      <c r="Z41" s="62" t="n">
        <f aca="false">IF($Y41="","",RANK($Y41,$Y$5:$Y$94))</f>
        <v>23</v>
      </c>
      <c r="AA41" s="77" t="s">
        <v>498</v>
      </c>
      <c r="AB41" s="64" t="s">
        <v>250</v>
      </c>
      <c r="AC41" s="67" t="s">
        <v>251</v>
      </c>
      <c r="AD41" s="66" t="s">
        <v>500</v>
      </c>
    </row>
    <row r="42" customFormat="false" ht="49.5" hidden="false" customHeight="true" outlineLevel="0" collapsed="false">
      <c r="A42" s="50" t="s">
        <v>545</v>
      </c>
      <c r="B42" s="51" t="s">
        <v>546</v>
      </c>
      <c r="C42" s="52" t="s">
        <v>547</v>
      </c>
      <c r="D42" s="52" t="s">
        <v>493</v>
      </c>
      <c r="E42" s="53" t="s">
        <v>548</v>
      </c>
      <c r="F42" s="53" t="s">
        <v>343</v>
      </c>
      <c r="G42" s="54" t="str">
        <f aca="false">IF($A42="","",IF($H42=0,"（尚無對應能力）",IFERROR(INDEX(16_能力商機矩陣_CapOppMap!$D$160:$CO$160,MATCH($A42,16_能力商機矩陣_CapOppMap!$D$4:$CO$4,0)),"")))</f>
        <v>D05; D06</v>
      </c>
      <c r="H42" s="55" t="n">
        <f aca="false">IF($A42="","",IFERROR(INDEX(16_能力商機矩陣_CapOppMap!$D$156:$CO$156,MATCH($A42,16_能力商機矩陣_CapOppMap!$D$4:$CO$4,0)),""))</f>
        <v>2</v>
      </c>
      <c r="I42" s="56" t="n">
        <f aca="false">IF($A42="","",IFERROR(INDEX(16_能力商機矩陣_CapOppMap!$D$157:$CO$157,MATCH($A42,16_能力商機矩陣_CapOppMap!$D$4:$CO$4,0)),""))</f>
        <v>4.7</v>
      </c>
      <c r="J42" s="56" t="n">
        <f aca="false">IF($A42="","",IFERROR(INDEX(16_能力商機矩陣_CapOppMap!$D$158:$CO$158,MATCH($A42,16_能力商機矩陣_CapOppMap!$D$4:$CO$4,0)),""))</f>
        <v>2.4</v>
      </c>
      <c r="K42" s="57" t="n">
        <f aca="false">IF($A42="","",IFERROR(INDEX(16_能力商機矩陣_CapOppMap!$D$159:$CO$159,MATCH($A42,16_能力商機矩陣_CapOppMap!$D$4:$CO$4,0)),""))</f>
        <v>0</v>
      </c>
      <c r="L42" s="58" t="str">
        <f aca="false">IF($A42="","",IF($H42=0,"★白地商機：目前無對應能力，需新增能力或找新夥伴",IF($K42&gt;0,"有缺口："&amp;$K42&amp;"項可對外招募","已有能力可承接")))</f>
        <v>已有能力可承接</v>
      </c>
      <c r="M42" s="59" t="s">
        <v>302</v>
      </c>
      <c r="N42" s="60" t="s">
        <v>244</v>
      </c>
      <c r="O42" s="60" t="s">
        <v>450</v>
      </c>
      <c r="P42" s="59" t="s">
        <v>245</v>
      </c>
      <c r="Q42" s="60" t="s">
        <v>230</v>
      </c>
      <c r="R42" s="59" t="s">
        <v>513</v>
      </c>
      <c r="S42" s="53" t="s">
        <v>549</v>
      </c>
      <c r="T42" s="55" t="n">
        <f aca="false">IF($A42="","",COUNTIF(14_商機清單_Pipeline!$A$5:$A$34,$U42))</f>
        <v>0</v>
      </c>
      <c r="U42" s="54" t="str">
        <f aca="false">IF($B42="","",$A42&amp;" "&amp;$B42)</f>
        <v>OPP-38 醫材資料介接與床邊自動擷取</v>
      </c>
      <c r="V42" s="70" t="s">
        <v>275</v>
      </c>
      <c r="W42" s="52"/>
      <c r="X42" s="55" t="n">
        <f aca="false">IF($A42="","",IFERROR(INDEX(16_能力商機矩陣_CapOppMap!$D$162:$CO$162,MATCH($A42,16_能力商機矩陣_CapOppMap!$D$4:$CO$4,0)),""))</f>
        <v>0</v>
      </c>
      <c r="Y42" s="61" t="n">
        <f aca="false">IF(OR($A42="",$H42=""),"",IF($H42=0,"",ROUND(0.45*$I42+0.35*$J42+0.2*IF(LEFT($F42,1)="③",5,IF(LEFT($F42,1)="②",3,1))-IF($K42&gt;0,0.3,0),2)+ROW()/100000))</f>
        <v>3.96042</v>
      </c>
      <c r="Z42" s="62" t="n">
        <f aca="false">IF($Y42="","",RANK($Y42,$Y$5:$Y$94))</f>
        <v>10</v>
      </c>
      <c r="AA42" s="77" t="s">
        <v>498</v>
      </c>
      <c r="AB42" s="64" t="s">
        <v>250</v>
      </c>
      <c r="AC42" s="67" t="s">
        <v>251</v>
      </c>
      <c r="AD42" s="66" t="s">
        <v>500</v>
      </c>
    </row>
    <row r="43" customFormat="false" ht="49.5" hidden="false" customHeight="true" outlineLevel="0" collapsed="false">
      <c r="A43" s="50" t="s">
        <v>550</v>
      </c>
      <c r="B43" s="51" t="s">
        <v>551</v>
      </c>
      <c r="C43" s="52" t="s">
        <v>552</v>
      </c>
      <c r="D43" s="52" t="s">
        <v>493</v>
      </c>
      <c r="E43" s="53" t="s">
        <v>553</v>
      </c>
      <c r="F43" s="53" t="s">
        <v>343</v>
      </c>
      <c r="G43" s="54" t="str">
        <f aca="false">IF($A43="","",IF($H43=0,"（尚無對應能力）",IFERROR(INDEX(16_能力商機矩陣_CapOppMap!$D$160:$CO$160,MATCH($A43,16_能力商機矩陣_CapOppMap!$D$4:$CO$4,0)),"")))</f>
        <v>D04; D05</v>
      </c>
      <c r="H43" s="55" t="n">
        <f aca="false">IF($A43="","",IFERROR(INDEX(16_能力商機矩陣_CapOppMap!$D$156:$CO$156,MATCH($A43,16_能力商機矩陣_CapOppMap!$D$4:$CO$4,0)),""))</f>
        <v>2</v>
      </c>
      <c r="I43" s="56" t="n">
        <f aca="false">IF($A43="","",IFERROR(INDEX(16_能力商機矩陣_CapOppMap!$D$157:$CO$157,MATCH($A43,16_能力商機矩陣_CapOppMap!$D$4:$CO$4,0)),""))</f>
        <v>4.4</v>
      </c>
      <c r="J43" s="56" t="n">
        <f aca="false">IF($A43="","",IFERROR(INDEX(16_能力商機矩陣_CapOppMap!$D$158:$CO$158,MATCH($A43,16_能力商機矩陣_CapOppMap!$D$4:$CO$4,0)),""))</f>
        <v>2.9</v>
      </c>
      <c r="K43" s="57" t="n">
        <f aca="false">IF($A43="","",IFERROR(INDEX(16_能力商機矩陣_CapOppMap!$D$159:$CO$159,MATCH($A43,16_能力商機矩陣_CapOppMap!$D$4:$CO$4,0)),""))</f>
        <v>1</v>
      </c>
      <c r="L43" s="58" t="str">
        <f aca="false">IF($A43="","",IF($H43=0,"★白地商機：目前無對應能力，需新增能力或找新夥伴",IF($K43&gt;0,"有缺口："&amp;$K43&amp;"項可對外招募","已有能力可承接")))</f>
        <v>有缺口：1項可對外招募</v>
      </c>
      <c r="M43" s="59" t="s">
        <v>302</v>
      </c>
      <c r="N43" s="60" t="s">
        <v>332</v>
      </c>
      <c r="O43" s="60" t="s">
        <v>450</v>
      </c>
      <c r="P43" s="59" t="s">
        <v>245</v>
      </c>
      <c r="Q43" s="60" t="s">
        <v>230</v>
      </c>
      <c r="R43" s="59" t="s">
        <v>487</v>
      </c>
      <c r="S43" s="53" t="s">
        <v>554</v>
      </c>
      <c r="T43" s="55" t="n">
        <f aca="false">IF($A43="","",COUNTIF(14_商機清單_Pipeline!$A$5:$A$34,$U43))</f>
        <v>0</v>
      </c>
      <c r="U43" s="54" t="str">
        <f aca="false">IF($B43="","",$A43&amp;" "&amp;$B43)</f>
        <v>OPP-39 影像長期歸檔(VNA)與異地備援</v>
      </c>
      <c r="V43" s="70" t="s">
        <v>275</v>
      </c>
      <c r="W43" s="52"/>
      <c r="X43" s="55" t="n">
        <f aca="false">IF($A43="","",IFERROR(INDEX(16_能力商機矩陣_CapOppMap!$D$162:$CO$162,MATCH($A43,16_能力商機矩陣_CapOppMap!$D$4:$CO$4,0)),""))</f>
        <v>1</v>
      </c>
      <c r="Y43" s="61" t="n">
        <f aca="false">IF(OR($A43="",$H43=""),"",IF($H43=0,"",ROUND(0.45*$I43+0.35*$J43+0.2*IF(LEFT($F43,1)="③",5,IF(LEFT($F43,1)="②",3,1))-IF($K43&gt;0,0.3,0),2)+ROW()/100000))</f>
        <v>3.70043</v>
      </c>
      <c r="Z43" s="62" t="n">
        <f aca="false">IF($Y43="","",RANK($Y43,$Y$5:$Y$94))</f>
        <v>28</v>
      </c>
      <c r="AA43" s="77" t="s">
        <v>498</v>
      </c>
      <c r="AB43" s="64" t="s">
        <v>250</v>
      </c>
      <c r="AC43" s="67" t="s">
        <v>251</v>
      </c>
      <c r="AD43" s="66" t="s">
        <v>500</v>
      </c>
    </row>
    <row r="44" customFormat="false" ht="49.5" hidden="false" customHeight="true" outlineLevel="0" collapsed="false">
      <c r="A44" s="50" t="s">
        <v>555</v>
      </c>
      <c r="B44" s="51" t="s">
        <v>556</v>
      </c>
      <c r="C44" s="52" t="s">
        <v>557</v>
      </c>
      <c r="D44" s="52" t="s">
        <v>493</v>
      </c>
      <c r="E44" s="53" t="s">
        <v>558</v>
      </c>
      <c r="F44" s="53" t="s">
        <v>225</v>
      </c>
      <c r="G44" s="54" t="str">
        <f aca="false">IF($A44="","",IF($H44=0,"（尚無對應能力）",IFERROR(INDEX(16_能力商機矩陣_CapOppMap!$D$160:$CO$160,MATCH($A44,16_能力商機矩陣_CapOppMap!$D$4:$CO$4,0)),"")))</f>
        <v>D04; D06; D10</v>
      </c>
      <c r="H44" s="55" t="n">
        <f aca="false">IF($A44="","",IFERROR(INDEX(16_能力商機矩陣_CapOppMap!$D$156:$CO$156,MATCH($A44,16_能力商機矩陣_CapOppMap!$D$4:$CO$4,0)),""))</f>
        <v>3</v>
      </c>
      <c r="I44" s="56" t="n">
        <f aca="false">IF($A44="","",IFERROR(INDEX(16_能力商機矩陣_CapOppMap!$D$157:$CO$157,MATCH($A44,16_能力商機矩陣_CapOppMap!$D$4:$CO$4,0)),""))</f>
        <v>4.3</v>
      </c>
      <c r="J44" s="56" t="n">
        <f aca="false">IF($A44="","",IFERROR(INDEX(16_能力商機矩陣_CapOppMap!$D$158:$CO$158,MATCH($A44,16_能力商機矩陣_CapOppMap!$D$4:$CO$4,0)),""))</f>
        <v>2.6</v>
      </c>
      <c r="K44" s="57" t="n">
        <f aca="false">IF($A44="","",IFERROR(INDEX(16_能力商機矩陣_CapOppMap!$D$159:$CO$159,MATCH($A44,16_能力商機矩陣_CapOppMap!$D$4:$CO$4,0)),""))</f>
        <v>0</v>
      </c>
      <c r="L44" s="58" t="str">
        <f aca="false">IF($A44="","",IF($H44=0,"★白地商機：目前無對應能力，需新增能力或找新夥伴",IF($K44&gt;0,"有缺口："&amp;$K44&amp;"項可對外招募","已有能力可承接")))</f>
        <v>已有能力可承接</v>
      </c>
      <c r="M44" s="59" t="s">
        <v>302</v>
      </c>
      <c r="N44" s="60" t="s">
        <v>332</v>
      </c>
      <c r="O44" s="60" t="s">
        <v>559</v>
      </c>
      <c r="P44" s="59" t="s">
        <v>229</v>
      </c>
      <c r="Q44" s="60" t="s">
        <v>230</v>
      </c>
      <c r="R44" s="59" t="s">
        <v>273</v>
      </c>
      <c r="S44" s="53" t="s">
        <v>560</v>
      </c>
      <c r="T44" s="55" t="n">
        <f aca="false">IF($A44="","",COUNTIF(14_商機清單_Pipeline!$A$5:$A$34,$U44))</f>
        <v>0</v>
      </c>
      <c r="U44" s="54" t="str">
        <f aca="false">IF($B44="","",$A44&amp;" "&amp;$B44)</f>
        <v>OPP-40 醫療IT代管與以租代購</v>
      </c>
      <c r="V44" s="52" t="s">
        <v>561</v>
      </c>
      <c r="W44" s="53" t="s">
        <v>562</v>
      </c>
      <c r="X44" s="55" t="n">
        <f aca="false">IF($A44="","",IFERROR(INDEX(16_能力商機矩陣_CapOppMap!$D$162:$CO$162,MATCH($A44,16_能力商機矩陣_CapOppMap!$D$4:$CO$4,0)),""))</f>
        <v>1</v>
      </c>
      <c r="Y44" s="61" t="n">
        <f aca="false">IF(OR($A44="",$H44=""),"",IF($H44=0,"",ROUND(0.45*$I44+0.35*$J44+0.2*IF(LEFT($F44,1)="③",5,IF(LEFT($F44,1)="②",3,1))-IF($K44&gt;0,0.3,0),2)+ROW()/100000))</f>
        <v>3.45044</v>
      </c>
      <c r="Z44" s="62" t="n">
        <f aca="false">IF($Y44="","",RANK($Y44,$Y$5:$Y$94))</f>
        <v>49</v>
      </c>
      <c r="AA44" s="77" t="s">
        <v>498</v>
      </c>
      <c r="AB44" s="69" t="s">
        <v>563</v>
      </c>
      <c r="AC44" s="65" t="s">
        <v>237</v>
      </c>
      <c r="AD44" s="66" t="s">
        <v>500</v>
      </c>
    </row>
    <row r="45" customFormat="false" ht="49.5" hidden="false" customHeight="true" outlineLevel="0" collapsed="false">
      <c r="A45" s="50" t="s">
        <v>564</v>
      </c>
      <c r="B45" s="51" t="s">
        <v>565</v>
      </c>
      <c r="C45" s="52" t="s">
        <v>566</v>
      </c>
      <c r="D45" s="52" t="s">
        <v>493</v>
      </c>
      <c r="E45" s="53" t="s">
        <v>567</v>
      </c>
      <c r="F45" s="53" t="s">
        <v>225</v>
      </c>
      <c r="G45" s="54" t="str">
        <f aca="false">IF($A45="","",IF($H45=0,"（尚無對應能力）",IFERROR(INDEX(16_能力商機矩陣_CapOppMap!$D$160:$CO$160,MATCH($A45,16_能力商機矩陣_CapOppMap!$D$4:$CO$4,0)),"")))</f>
        <v>D06</v>
      </c>
      <c r="H45" s="55" t="n">
        <f aca="false">IF($A45="","",IFERROR(INDEX(16_能力商機矩陣_CapOppMap!$D$156:$CO$156,MATCH($A45,16_能力商機矩陣_CapOppMap!$D$4:$CO$4,0)),""))</f>
        <v>1</v>
      </c>
      <c r="I45" s="56" t="n">
        <f aca="false">IF($A45="","",IFERROR(INDEX(16_能力商機矩陣_CapOppMap!$D$157:$CO$157,MATCH($A45,16_能力商機矩陣_CapOppMap!$D$4:$CO$4,0)),""))</f>
        <v>5</v>
      </c>
      <c r="J45" s="56" t="n">
        <f aca="false">IF($A45="","",IFERROR(INDEX(16_能力商機矩陣_CapOppMap!$D$158:$CO$158,MATCH($A45,16_能力商機矩陣_CapOppMap!$D$4:$CO$4,0)),""))</f>
        <v>2.4</v>
      </c>
      <c r="K45" s="57" t="n">
        <f aca="false">IF($A45="","",IFERROR(INDEX(16_能力商機矩陣_CapOppMap!$D$159:$CO$159,MATCH($A45,16_能力商機矩陣_CapOppMap!$D$4:$CO$4,0)),""))</f>
        <v>0</v>
      </c>
      <c r="L45" s="58" t="str">
        <f aca="false">IF($A45="","",IF($H45=0,"★白地商機：目前無對應能力，需新增能力或找新夥伴",IF($K45&gt;0,"有缺口："&amp;$K45&amp;"項可對外招募","已有能力可承接")))</f>
        <v>已有能力可承接</v>
      </c>
      <c r="M45" s="59" t="s">
        <v>302</v>
      </c>
      <c r="N45" s="60" t="s">
        <v>332</v>
      </c>
      <c r="O45" s="60" t="s">
        <v>450</v>
      </c>
      <c r="P45" s="59" t="s">
        <v>568</v>
      </c>
      <c r="Q45" s="60" t="s">
        <v>230</v>
      </c>
      <c r="R45" s="59" t="s">
        <v>569</v>
      </c>
      <c r="S45" s="52" t="s">
        <v>570</v>
      </c>
      <c r="T45" s="55" t="n">
        <f aca="false">IF($A45="","",COUNTIF(14_商機清單_Pipeline!$A$5:$A$34,$U45))</f>
        <v>0</v>
      </c>
      <c r="U45" s="54" t="str">
        <f aca="false">IF($B45="","",$A45&amp;" "&amp;$B45)</f>
        <v>OPP-41 電子處方與國家藥品資料庫介接</v>
      </c>
      <c r="V45" s="70" t="s">
        <v>275</v>
      </c>
      <c r="W45" s="52"/>
      <c r="X45" s="55" t="n">
        <f aca="false">IF($A45="","",IFERROR(INDEX(16_能力商機矩陣_CapOppMap!$D$162:$CO$162,MATCH($A45,16_能力商機矩陣_CapOppMap!$D$4:$CO$4,0)),""))</f>
        <v>0</v>
      </c>
      <c r="Y45" s="61" t="n">
        <f aca="false">IF(OR($A45="",$H45=""),"",IF($H45=0,"",ROUND(0.45*$I45+0.35*$J45+0.2*IF(LEFT($F45,1)="③",5,IF(LEFT($F45,1)="②",3,1))-IF($K45&gt;0,0.3,0),2)+ROW()/100000))</f>
        <v>3.69045</v>
      </c>
      <c r="Z45" s="62" t="n">
        <f aca="false">IF($Y45="","",RANK($Y45,$Y$5:$Y$94))</f>
        <v>29</v>
      </c>
      <c r="AA45" s="77" t="s">
        <v>498</v>
      </c>
      <c r="AB45" s="64" t="s">
        <v>571</v>
      </c>
      <c r="AC45" s="65" t="s">
        <v>237</v>
      </c>
      <c r="AD45" s="66" t="s">
        <v>500</v>
      </c>
    </row>
    <row r="46" customFormat="false" ht="49.5" hidden="false" customHeight="true" outlineLevel="0" collapsed="false">
      <c r="A46" s="50" t="s">
        <v>572</v>
      </c>
      <c r="B46" s="51" t="s">
        <v>573</v>
      </c>
      <c r="C46" s="52" t="s">
        <v>574</v>
      </c>
      <c r="D46" s="52" t="s">
        <v>493</v>
      </c>
      <c r="E46" s="53" t="s">
        <v>575</v>
      </c>
      <c r="F46" s="53" t="s">
        <v>343</v>
      </c>
      <c r="G46" s="54" t="str">
        <f aca="false">IF($A46="","",IF($H46=0,"（尚無對應能力）",IFERROR(INDEX(16_能力商機矩陣_CapOppMap!$D$160:$CO$160,MATCH($A46,16_能力商機矩陣_CapOppMap!$D$4:$CO$4,0)),"")))</f>
        <v>D06; D07</v>
      </c>
      <c r="H46" s="55" t="n">
        <f aca="false">IF($A46="","",IFERROR(INDEX(16_能力商機矩陣_CapOppMap!$D$156:$CO$156,MATCH($A46,16_能力商機矩陣_CapOppMap!$D$4:$CO$4,0)),""))</f>
        <v>2</v>
      </c>
      <c r="I46" s="56" t="n">
        <f aca="false">IF($A46="","",IFERROR(INDEX(16_能力商機矩陣_CapOppMap!$D$157:$CO$157,MATCH($A46,16_能力商機矩陣_CapOppMap!$D$4:$CO$4,0)),""))</f>
        <v>4.9</v>
      </c>
      <c r="J46" s="56" t="n">
        <f aca="false">IF($A46="","",IFERROR(INDEX(16_能力商機矩陣_CapOppMap!$D$158:$CO$158,MATCH($A46,16_能力商機矩陣_CapOppMap!$D$4:$CO$4,0)),""))</f>
        <v>2.7</v>
      </c>
      <c r="K46" s="57" t="n">
        <f aca="false">IF($A46="","",IFERROR(INDEX(16_能力商機矩陣_CapOppMap!$D$159:$CO$159,MATCH($A46,16_能力商機矩陣_CapOppMap!$D$4:$CO$4,0)),""))</f>
        <v>0</v>
      </c>
      <c r="L46" s="58" t="str">
        <f aca="false">IF($A46="","",IF($H46=0,"★白地商機：目前無對應能力，需新增能力或找新夥伴",IF($K46&gt;0,"有缺口："&amp;$K46&amp;"項可對外招募","已有能力可承接")))</f>
        <v>已有能力可承接</v>
      </c>
      <c r="M46" s="59" t="s">
        <v>302</v>
      </c>
      <c r="N46" s="60" t="s">
        <v>244</v>
      </c>
      <c r="O46" s="60" t="s">
        <v>450</v>
      </c>
      <c r="P46" s="59" t="s">
        <v>245</v>
      </c>
      <c r="Q46" s="60" t="s">
        <v>272</v>
      </c>
      <c r="R46" s="59" t="s">
        <v>576</v>
      </c>
      <c r="S46" s="53" t="s">
        <v>577</v>
      </c>
      <c r="T46" s="55" t="n">
        <f aca="false">IF($A46="","",COUNTIF(14_商機清單_Pipeline!$A$5:$A$34,$U46))</f>
        <v>0</v>
      </c>
      <c r="U46" s="54" t="str">
        <f aca="false">IF($B46="","",$A46&amp;" "&amp;$B46)</f>
        <v>OPP-42 閉環給藥與條碼用藥安全</v>
      </c>
      <c r="V46" s="70" t="s">
        <v>275</v>
      </c>
      <c r="W46" s="52"/>
      <c r="X46" s="55" t="n">
        <f aca="false">IF($A46="","",IFERROR(INDEX(16_能力商機矩陣_CapOppMap!$D$162:$CO$162,MATCH($A46,16_能力商機矩陣_CapOppMap!$D$4:$CO$4,0)),""))</f>
        <v>0</v>
      </c>
      <c r="Y46" s="61" t="n">
        <f aca="false">IF(OR($A46="",$H46=""),"",IF($H46=0,"",ROUND(0.45*$I46+0.35*$J46+0.2*IF(LEFT($F46,1)="③",5,IF(LEFT($F46,1)="②",3,1))-IF($K46&gt;0,0.3,0),2)+ROW()/100000))</f>
        <v>4.15046</v>
      </c>
      <c r="Z46" s="62" t="n">
        <f aca="false">IF($Y46="","",RANK($Y46,$Y$5:$Y$94))</f>
        <v>3</v>
      </c>
      <c r="AA46" s="77" t="s">
        <v>498</v>
      </c>
      <c r="AB46" s="64" t="s">
        <v>250</v>
      </c>
      <c r="AC46" s="67" t="s">
        <v>251</v>
      </c>
      <c r="AD46" s="66" t="s">
        <v>500</v>
      </c>
    </row>
    <row r="47" customFormat="false" ht="49.5" hidden="false" customHeight="true" outlineLevel="0" collapsed="false">
      <c r="A47" s="50" t="s">
        <v>578</v>
      </c>
      <c r="B47" s="51" t="s">
        <v>579</v>
      </c>
      <c r="C47" s="52" t="s">
        <v>580</v>
      </c>
      <c r="D47" s="52" t="s">
        <v>581</v>
      </c>
      <c r="E47" s="53" t="s">
        <v>582</v>
      </c>
      <c r="F47" s="53" t="s">
        <v>225</v>
      </c>
      <c r="G47" s="54" t="str">
        <f aca="false">IF($A47="","",IF($H47=0,"（尚無對應能力）",IFERROR(INDEX(16_能力商機矩陣_CapOppMap!$D$160:$CO$160,MATCH($A47,16_能力商機矩陣_CapOppMap!$D$4:$CO$4,0)),"")))</f>
        <v>（尚無對應能力）</v>
      </c>
      <c r="H47" s="55" t="n">
        <f aca="false">IF($A47="","",IFERROR(INDEX(16_能力商機矩陣_CapOppMap!$D$156:$CO$156,MATCH($A47,16_能力商機矩陣_CapOppMap!$D$4:$CO$4,0)),""))</f>
        <v>0</v>
      </c>
      <c r="I47" s="56" t="str">
        <f aca="false">IF($A47="","",IFERROR(INDEX(16_能力商機矩陣_CapOppMap!$D$157:$CO$157,MATCH($A47,16_能力商機矩陣_CapOppMap!$D$4:$CO$4,0)),""))</f>
        <v/>
      </c>
      <c r="J47" s="56" t="str">
        <f aca="false">IF($A47="","",IFERROR(INDEX(16_能力商機矩陣_CapOppMap!$D$158:$CO$158,MATCH($A47,16_能力商機矩陣_CapOppMap!$D$4:$CO$4,0)),""))</f>
        <v/>
      </c>
      <c r="K47" s="57" t="n">
        <f aca="false">IF($A47="","",IFERROR(INDEX(16_能力商機矩陣_CapOppMap!$D$159:$CO$159,MATCH($A47,16_能力商機矩陣_CapOppMap!$D$4:$CO$4,0)),""))</f>
        <v>0</v>
      </c>
      <c r="L47" s="58" t="str">
        <f aca="false">IF($A47="","",IF($H47=0,"★白地商機：目前無對應能力，需新增能力或找新夥伴",IF($K47&gt;0,"有缺口："&amp;$K47&amp;"項可對外招募","已有能力可承接")))</f>
        <v>★白地商機：目前無對應能力，需新增能力或找新夥伴</v>
      </c>
      <c r="M47" s="59" t="s">
        <v>361</v>
      </c>
      <c r="N47" s="60" t="s">
        <v>583</v>
      </c>
      <c r="O47" s="59" t="s">
        <v>584</v>
      </c>
      <c r="P47" s="59" t="s">
        <v>245</v>
      </c>
      <c r="Q47" s="60" t="s">
        <v>230</v>
      </c>
      <c r="R47" s="59" t="s">
        <v>363</v>
      </c>
      <c r="S47" s="52" t="s">
        <v>585</v>
      </c>
      <c r="T47" s="55" t="n">
        <f aca="false">IF($A47="","",COUNTIF(14_商機清單_Pipeline!$A$5:$A$34,$U47))</f>
        <v>1</v>
      </c>
      <c r="U47" s="54" t="str">
        <f aca="false">IF($B47="","",$A47&amp;" "&amp;$B47)</f>
        <v>OPP-43 結核胸片AI篩檢(CAD)</v>
      </c>
      <c r="V47" s="52" t="s">
        <v>586</v>
      </c>
      <c r="W47" s="53" t="s">
        <v>587</v>
      </c>
      <c r="X47" s="55" t="n">
        <f aca="false">IF($A47="","",IFERROR(INDEX(16_能力商機矩陣_CapOppMap!$D$162:$CO$162,MATCH($A47,16_能力商機矩陣_CapOppMap!$D$4:$CO$4,0)),""))</f>
        <v>0</v>
      </c>
      <c r="Y47" s="61" t="str">
        <f aca="false">IF(OR($A47="",$H47=""),"",IF($H47=0,"",ROUND(0.45*$I47+0.35*$J47+0.2*IF(LEFT($F47,1)="③",5,IF(LEFT($F47,1)="②",3,1))-IF($K47&gt;0,0.3,0),2)+ROW()/100000))</f>
        <v/>
      </c>
      <c r="Z47" s="62" t="str">
        <f aca="false">IF($Y47="","",RANK($Y47,$Y$5:$Y$94))</f>
        <v/>
      </c>
      <c r="AA47" s="78" t="s">
        <v>588</v>
      </c>
      <c r="AB47" s="64" t="s">
        <v>589</v>
      </c>
      <c r="AC47" s="65" t="s">
        <v>237</v>
      </c>
      <c r="AD47" s="72" t="s">
        <v>590</v>
      </c>
    </row>
    <row r="48" customFormat="false" ht="49.5" hidden="false" customHeight="true" outlineLevel="0" collapsed="false">
      <c r="A48" s="50" t="s">
        <v>591</v>
      </c>
      <c r="B48" s="51" t="s">
        <v>592</v>
      </c>
      <c r="C48" s="52" t="s">
        <v>593</v>
      </c>
      <c r="D48" s="52" t="s">
        <v>581</v>
      </c>
      <c r="E48" s="53" t="s">
        <v>594</v>
      </c>
      <c r="F48" s="53" t="s">
        <v>225</v>
      </c>
      <c r="G48" s="54" t="str">
        <f aca="false">IF($A48="","",IF($H48=0,"（尚無對應能力）",IFERROR(INDEX(16_能力商機矩陣_CapOppMap!$D$160:$CO$160,MATCH($A48,16_能力商機矩陣_CapOppMap!$D$4:$CO$4,0)),"")))</f>
        <v>D05; D06</v>
      </c>
      <c r="H48" s="55" t="n">
        <f aca="false">IF($A48="","",IFERROR(INDEX(16_能力商機矩陣_CapOppMap!$D$156:$CO$156,MATCH($A48,16_能力商機矩陣_CapOppMap!$D$4:$CO$4,0)),""))</f>
        <v>2</v>
      </c>
      <c r="I48" s="56" t="n">
        <f aca="false">IF($A48="","",IFERROR(INDEX(16_能力商機矩陣_CapOppMap!$D$157:$CO$157,MATCH($A48,16_能力商機矩陣_CapOppMap!$D$4:$CO$4,0)),""))</f>
        <v>4.9</v>
      </c>
      <c r="J48" s="56" t="n">
        <f aca="false">IF($A48="","",IFERROR(INDEX(16_能力商機矩陣_CapOppMap!$D$158:$CO$158,MATCH($A48,16_能力商機矩陣_CapOppMap!$D$4:$CO$4,0)),""))</f>
        <v>2.4</v>
      </c>
      <c r="K48" s="57" t="n">
        <f aca="false">IF($A48="","",IFERROR(INDEX(16_能力商機矩陣_CapOppMap!$D$159:$CO$159,MATCH($A48,16_能力商機矩陣_CapOppMap!$D$4:$CO$4,0)),""))</f>
        <v>1</v>
      </c>
      <c r="L48" s="58" t="str">
        <f aca="false">IF($A48="","",IF($H48=0,"★白地商機：目前無對應能力，需新增能力或找新夥伴",IF($K48&gt;0,"有缺口："&amp;$K48&amp;"項可對外招募","已有能力可承接")))</f>
        <v>有缺口：1項可對外招募</v>
      </c>
      <c r="M48" s="59" t="s">
        <v>302</v>
      </c>
      <c r="N48" s="60" t="s">
        <v>332</v>
      </c>
      <c r="O48" s="60" t="s">
        <v>450</v>
      </c>
      <c r="P48" s="59" t="s">
        <v>245</v>
      </c>
      <c r="Q48" s="60" t="s">
        <v>230</v>
      </c>
      <c r="R48" s="59" t="s">
        <v>363</v>
      </c>
      <c r="S48" s="53" t="s">
        <v>595</v>
      </c>
      <c r="T48" s="55" t="n">
        <f aca="false">IF($A48="","",COUNTIF(14_商機清單_Pipeline!$A$5:$A$34,$U48))</f>
        <v>0</v>
      </c>
      <c r="U48" s="54" t="str">
        <f aca="false">IF($B48="","",$A48&amp;" "&amp;$B48)</f>
        <v>OPP-44 放射影像分診AI（中風／出血／結節／骨折）</v>
      </c>
      <c r="V48" s="52" t="s">
        <v>596</v>
      </c>
      <c r="W48" s="53" t="s">
        <v>597</v>
      </c>
      <c r="X48" s="55" t="n">
        <f aca="false">IF($A48="","",IFERROR(INDEX(16_能力商機矩陣_CapOppMap!$D$162:$CO$162,MATCH($A48,16_能力商機矩陣_CapOppMap!$D$4:$CO$4,0)),""))</f>
        <v>0</v>
      </c>
      <c r="Y48" s="61" t="n">
        <f aca="false">IF(OR($A48="",$H48=""),"",IF($H48=0,"",ROUND(0.45*$I48+0.35*$J48+0.2*IF(LEFT($F48,1)="③",5,IF(LEFT($F48,1)="②",3,1))-IF($K48&gt;0,0.3,0),2)+ROW()/100000))</f>
        <v>3.35048</v>
      </c>
      <c r="Z48" s="62" t="n">
        <f aca="false">IF($Y48="","",RANK($Y48,$Y$5:$Y$94))</f>
        <v>53</v>
      </c>
      <c r="AA48" s="78" t="s">
        <v>588</v>
      </c>
      <c r="AB48" s="69" t="s">
        <v>598</v>
      </c>
      <c r="AC48" s="65" t="s">
        <v>237</v>
      </c>
      <c r="AD48" s="72" t="s">
        <v>590</v>
      </c>
    </row>
    <row r="49" customFormat="false" ht="49.5" hidden="false" customHeight="true" outlineLevel="0" collapsed="false">
      <c r="A49" s="50" t="s">
        <v>599</v>
      </c>
      <c r="B49" s="51" t="s">
        <v>600</v>
      </c>
      <c r="C49" s="52" t="s">
        <v>601</v>
      </c>
      <c r="D49" s="52" t="s">
        <v>581</v>
      </c>
      <c r="E49" s="53" t="s">
        <v>602</v>
      </c>
      <c r="F49" s="53" t="s">
        <v>225</v>
      </c>
      <c r="G49" s="54" t="str">
        <f aca="false">IF($A49="","",IF($H49=0,"（尚無對應能力）",IFERROR(INDEX(16_能力商機矩陣_CapOppMap!$D$160:$CO$160,MATCH($A49,16_能力商機矩陣_CapOppMap!$D$4:$CO$4,0)),"")))</f>
        <v>D05</v>
      </c>
      <c r="H49" s="55" t="n">
        <f aca="false">IF($A49="","",IFERROR(INDEX(16_能力商機矩陣_CapOppMap!$D$156:$CO$156,MATCH($A49,16_能力商機矩陣_CapOppMap!$D$4:$CO$4,0)),""))</f>
        <v>1</v>
      </c>
      <c r="I49" s="56" t="n">
        <f aca="false">IF($A49="","",IFERROR(INDEX(16_能力商機矩陣_CapOppMap!$D$157:$CO$157,MATCH($A49,16_能力商機矩陣_CapOppMap!$D$4:$CO$4,0)),""))</f>
        <v>4.7</v>
      </c>
      <c r="J49" s="56" t="n">
        <f aca="false">IF($A49="","",IFERROR(INDEX(16_能力商機矩陣_CapOppMap!$D$158:$CO$158,MATCH($A49,16_能力商機矩陣_CapOppMap!$D$4:$CO$4,0)),""))</f>
        <v>2.4</v>
      </c>
      <c r="K49" s="57" t="n">
        <f aca="false">IF($A49="","",IFERROR(INDEX(16_能力商機矩陣_CapOppMap!$D$159:$CO$159,MATCH($A49,16_能力商機矩陣_CapOppMap!$D$4:$CO$4,0)),""))</f>
        <v>1</v>
      </c>
      <c r="L49" s="58" t="str">
        <f aca="false">IF($A49="","",IF($H49=0,"★白地商機：目前無對應能力，需新增能力或找新夥伴",IF($K49&gt;0,"有缺口："&amp;$K49&amp;"項可對外招募","已有能力可承接")))</f>
        <v>有缺口：1項可對外招募</v>
      </c>
      <c r="M49" s="59" t="s">
        <v>302</v>
      </c>
      <c r="N49" s="60" t="s">
        <v>407</v>
      </c>
      <c r="O49" s="60" t="s">
        <v>345</v>
      </c>
      <c r="P49" s="59" t="s">
        <v>245</v>
      </c>
      <c r="Q49" s="60" t="s">
        <v>272</v>
      </c>
      <c r="R49" s="59" t="s">
        <v>363</v>
      </c>
      <c r="S49" s="53" t="s">
        <v>603</v>
      </c>
      <c r="T49" s="55" t="n">
        <f aca="false">IF($A49="","",COUNTIF(14_商機清單_Pipeline!$A$5:$A$34,$U49))</f>
        <v>0</v>
      </c>
      <c r="U49" s="54" t="str">
        <f aca="false">IF($B49="","",$A49&amp;" "&amp;$B49)</f>
        <v>OPP-45 肺癌CT早篩AI</v>
      </c>
      <c r="V49" s="53" t="s">
        <v>604</v>
      </c>
      <c r="W49" s="53" t="s">
        <v>605</v>
      </c>
      <c r="X49" s="55" t="n">
        <f aca="false">IF($A49="","",IFERROR(INDEX(16_能力商機矩陣_CapOppMap!$D$162:$CO$162,MATCH($A49,16_能力商機矩陣_CapOppMap!$D$4:$CO$4,0)),""))</f>
        <v>0</v>
      </c>
      <c r="Y49" s="61" t="n">
        <f aca="false">IF(OR($A49="",$H49=""),"",IF($H49=0,"",ROUND(0.45*$I49+0.35*$J49+0.2*IF(LEFT($F49,1)="③",5,IF(LEFT($F49,1)="②",3,1))-IF($K49&gt;0,0.3,0),2)+ROW()/100000))</f>
        <v>3.26049</v>
      </c>
      <c r="Z49" s="62" t="n">
        <f aca="false">IF($Y49="","",RANK($Y49,$Y$5:$Y$94))</f>
        <v>60</v>
      </c>
      <c r="AA49" s="78" t="s">
        <v>588</v>
      </c>
      <c r="AB49" s="64" t="s">
        <v>250</v>
      </c>
      <c r="AC49" s="67" t="s">
        <v>251</v>
      </c>
      <c r="AD49" s="72" t="s">
        <v>590</v>
      </c>
    </row>
    <row r="50" customFormat="false" ht="49.5" hidden="false" customHeight="true" outlineLevel="0" collapsed="false">
      <c r="A50" s="50" t="s">
        <v>606</v>
      </c>
      <c r="B50" s="51" t="s">
        <v>607</v>
      </c>
      <c r="C50" s="52" t="s">
        <v>608</v>
      </c>
      <c r="D50" s="52" t="s">
        <v>581</v>
      </c>
      <c r="E50" s="53" t="s">
        <v>609</v>
      </c>
      <c r="F50" s="53" t="s">
        <v>343</v>
      </c>
      <c r="G50" s="54" t="str">
        <f aca="false">IF($A50="","",IF($H50=0,"（尚無對應能力）",IFERROR(INDEX(16_能力商機矩陣_CapOppMap!$D$160:$CO$160,MATCH($A50,16_能力商機矩陣_CapOppMap!$D$4:$CO$4,0)),"")))</f>
        <v>D05</v>
      </c>
      <c r="H50" s="55" t="n">
        <f aca="false">IF($A50="","",IFERROR(INDEX(16_能力商機矩陣_CapOppMap!$D$156:$CO$156,MATCH($A50,16_能力商機矩陣_CapOppMap!$D$4:$CO$4,0)),""))</f>
        <v>1</v>
      </c>
      <c r="I50" s="56" t="n">
        <f aca="false">IF($A50="","",IFERROR(INDEX(16_能力商機矩陣_CapOppMap!$D$157:$CO$157,MATCH($A50,16_能力商機矩陣_CapOppMap!$D$4:$CO$4,0)),""))</f>
        <v>4.7</v>
      </c>
      <c r="J50" s="56" t="n">
        <f aca="false">IF($A50="","",IFERROR(INDEX(16_能力商機矩陣_CapOppMap!$D$158:$CO$158,MATCH($A50,16_能力商機矩陣_CapOppMap!$D$4:$CO$4,0)),""))</f>
        <v>2.4</v>
      </c>
      <c r="K50" s="57" t="n">
        <f aca="false">IF($A50="","",IFERROR(INDEX(16_能力商機矩陣_CapOppMap!$D$159:$CO$159,MATCH($A50,16_能力商機矩陣_CapOppMap!$D$4:$CO$4,0)),""))</f>
        <v>0</v>
      </c>
      <c r="L50" s="58" t="str">
        <f aca="false">IF($A50="","",IF($H50=0,"★白地商機：目前無對應能力，需新增能力或找新夥伴",IF($K50&gt;0,"有缺口："&amp;$K50&amp;"項可對外招募","已有能力可承接")))</f>
        <v>已有能力可承接</v>
      </c>
      <c r="M50" s="59" t="s">
        <v>302</v>
      </c>
      <c r="N50" s="60" t="s">
        <v>244</v>
      </c>
      <c r="O50" s="60" t="s">
        <v>353</v>
      </c>
      <c r="P50" s="59" t="s">
        <v>245</v>
      </c>
      <c r="Q50" s="60" t="s">
        <v>230</v>
      </c>
      <c r="R50" s="59" t="s">
        <v>354</v>
      </c>
      <c r="S50" s="53" t="s">
        <v>610</v>
      </c>
      <c r="T50" s="55" t="n">
        <f aca="false">IF($A50="","",COUNTIF(14_商機清單_Pipeline!$A$5:$A$34,$U50))</f>
        <v>0</v>
      </c>
      <c r="U50" s="54" t="str">
        <f aca="false">IF($B50="","",$A50&amp;" "&amp;$B50)</f>
        <v>OPP-46 內視鏡AI息肉偵測</v>
      </c>
      <c r="V50" s="70" t="s">
        <v>275</v>
      </c>
      <c r="W50" s="52"/>
      <c r="X50" s="55" t="n">
        <f aca="false">IF($A50="","",IFERROR(INDEX(16_能力商機矩陣_CapOppMap!$D$162:$CO$162,MATCH($A50,16_能力商機矩陣_CapOppMap!$D$4:$CO$4,0)),""))</f>
        <v>0</v>
      </c>
      <c r="Y50" s="61" t="n">
        <f aca="false">IF(OR($A50="",$H50=""),"",IF($H50=0,"",ROUND(0.45*$I50+0.35*$J50+0.2*IF(LEFT($F50,1)="③",5,IF(LEFT($F50,1)="②",3,1))-IF($K50&gt;0,0.3,0),2)+ROW()/100000))</f>
        <v>3.9605</v>
      </c>
      <c r="Z50" s="62" t="n">
        <f aca="false">IF($Y50="","",RANK($Y50,$Y$5:$Y$94))</f>
        <v>9</v>
      </c>
      <c r="AA50" s="78" t="s">
        <v>588</v>
      </c>
      <c r="AB50" s="69" t="s">
        <v>611</v>
      </c>
      <c r="AC50" s="65" t="s">
        <v>237</v>
      </c>
      <c r="AD50" s="72" t="s">
        <v>590</v>
      </c>
    </row>
    <row r="51" customFormat="false" ht="49.5" hidden="false" customHeight="true" outlineLevel="0" collapsed="false">
      <c r="A51" s="50" t="s">
        <v>612</v>
      </c>
      <c r="B51" s="51" t="s">
        <v>613</v>
      </c>
      <c r="C51" s="52" t="s">
        <v>614</v>
      </c>
      <c r="D51" s="52" t="s">
        <v>581</v>
      </c>
      <c r="E51" s="53" t="s">
        <v>615</v>
      </c>
      <c r="F51" s="53" t="s">
        <v>343</v>
      </c>
      <c r="G51" s="54" t="str">
        <f aca="false">IF($A51="","",IF($H51=0,"（尚無對應能力）",IFERROR(INDEX(16_能力商機矩陣_CapOppMap!$D$160:$CO$160,MATCH($A51,16_能力商機矩陣_CapOppMap!$D$4:$CO$4,0)),"")))</f>
        <v>（尚無對應能力）</v>
      </c>
      <c r="H51" s="55" t="n">
        <f aca="false">IF($A51="","",IFERROR(INDEX(16_能力商機矩陣_CapOppMap!$D$156:$CO$156,MATCH($A51,16_能力商機矩陣_CapOppMap!$D$4:$CO$4,0)),""))</f>
        <v>0</v>
      </c>
      <c r="I51" s="56" t="str">
        <f aca="false">IF($A51="","",IFERROR(INDEX(16_能力商機矩陣_CapOppMap!$D$157:$CO$157,MATCH($A51,16_能力商機矩陣_CapOppMap!$D$4:$CO$4,0)),""))</f>
        <v/>
      </c>
      <c r="J51" s="56" t="str">
        <f aca="false">IF($A51="","",IFERROR(INDEX(16_能力商機矩陣_CapOppMap!$D$158:$CO$158,MATCH($A51,16_能力商機矩陣_CapOppMap!$D$4:$CO$4,0)),""))</f>
        <v/>
      </c>
      <c r="K51" s="57" t="n">
        <f aca="false">IF($A51="","",IFERROR(INDEX(16_能力商機矩陣_CapOppMap!$D$159:$CO$159,MATCH($A51,16_能力商機矩陣_CapOppMap!$D$4:$CO$4,0)),""))</f>
        <v>0</v>
      </c>
      <c r="L51" s="58" t="str">
        <f aca="false">IF($A51="","",IF($H51=0,"★白地商機：目前無對應能力，需新增能力或找新夥伴",IF($K51&gt;0,"有缺口："&amp;$K51&amp;"項可對外招募","已有能力可承接")))</f>
        <v>★白地商機：目前無對應能力，需新增能力或找新夥伴</v>
      </c>
      <c r="M51" s="59" t="s">
        <v>302</v>
      </c>
      <c r="N51" s="60" t="s">
        <v>281</v>
      </c>
      <c r="O51" s="60" t="s">
        <v>345</v>
      </c>
      <c r="P51" s="59" t="s">
        <v>245</v>
      </c>
      <c r="Q51" s="60" t="s">
        <v>272</v>
      </c>
      <c r="R51" s="59" t="s">
        <v>246</v>
      </c>
      <c r="S51" s="53" t="s">
        <v>616</v>
      </c>
      <c r="T51" s="55" t="n">
        <f aca="false">IF($A51="","",COUNTIF(14_商機清單_Pipeline!$A$5:$A$34,$U51))</f>
        <v>0</v>
      </c>
      <c r="U51" s="54" t="str">
        <f aca="false">IF($B51="","",$A51&amp;" "&amp;$B51)</f>
        <v>OPP-47 糖尿病視網膜病變AI篩檢</v>
      </c>
      <c r="V51" s="70" t="s">
        <v>275</v>
      </c>
      <c r="W51" s="52"/>
      <c r="X51" s="55" t="n">
        <f aca="false">IF($A51="","",IFERROR(INDEX(16_能力商機矩陣_CapOppMap!$D$162:$CO$162,MATCH($A51,16_能力商機矩陣_CapOppMap!$D$4:$CO$4,0)),""))</f>
        <v>0</v>
      </c>
      <c r="Y51" s="61" t="str">
        <f aca="false">IF(OR($A51="",$H51=""),"",IF($H51=0,"",ROUND(0.45*$I51+0.35*$J51+0.2*IF(LEFT($F51,1)="③",5,IF(LEFT($F51,1)="②",3,1))-IF($K51&gt;0,0.3,0),2)+ROW()/100000))</f>
        <v/>
      </c>
      <c r="Z51" s="62" t="str">
        <f aca="false">IF($Y51="","",RANK($Y51,$Y$5:$Y$94))</f>
        <v/>
      </c>
      <c r="AA51" s="78" t="s">
        <v>588</v>
      </c>
      <c r="AB51" s="69" t="s">
        <v>617</v>
      </c>
      <c r="AC51" s="65" t="s">
        <v>237</v>
      </c>
      <c r="AD51" s="72" t="s">
        <v>590</v>
      </c>
    </row>
    <row r="52" customFormat="false" ht="49.5" hidden="false" customHeight="true" outlineLevel="0" collapsed="false">
      <c r="A52" s="50" t="s">
        <v>618</v>
      </c>
      <c r="B52" s="51" t="s">
        <v>619</v>
      </c>
      <c r="C52" s="52" t="s">
        <v>620</v>
      </c>
      <c r="D52" s="52" t="s">
        <v>581</v>
      </c>
      <c r="E52" s="53" t="s">
        <v>621</v>
      </c>
      <c r="F52" s="53" t="s">
        <v>343</v>
      </c>
      <c r="G52" s="54" t="str">
        <f aca="false">IF($A52="","",IF($H52=0,"（尚無對應能力）",IFERROR(INDEX(16_能力商機矩陣_CapOppMap!$D$160:$CO$160,MATCH($A52,16_能力商機矩陣_CapOppMap!$D$4:$CO$4,0)),"")))</f>
        <v>（尚無對應能力）</v>
      </c>
      <c r="H52" s="55" t="n">
        <f aca="false">IF($A52="","",IFERROR(INDEX(16_能力商機矩陣_CapOppMap!$D$156:$CO$156,MATCH($A52,16_能力商機矩陣_CapOppMap!$D$4:$CO$4,0)),""))</f>
        <v>0</v>
      </c>
      <c r="I52" s="56" t="str">
        <f aca="false">IF($A52="","",IFERROR(INDEX(16_能力商機矩陣_CapOppMap!$D$157:$CO$157,MATCH($A52,16_能力商機矩陣_CapOppMap!$D$4:$CO$4,0)),""))</f>
        <v/>
      </c>
      <c r="J52" s="56" t="str">
        <f aca="false">IF($A52="","",IFERROR(INDEX(16_能力商機矩陣_CapOppMap!$D$158:$CO$158,MATCH($A52,16_能力商機矩陣_CapOppMap!$D$4:$CO$4,0)),""))</f>
        <v/>
      </c>
      <c r="K52" s="57" t="n">
        <f aca="false">IF($A52="","",IFERROR(INDEX(16_能力商機矩陣_CapOppMap!$D$159:$CO$159,MATCH($A52,16_能力商機矩陣_CapOppMap!$D$4:$CO$4,0)),""))</f>
        <v>0</v>
      </c>
      <c r="L52" s="58" t="str">
        <f aca="false">IF($A52="","",IF($H52=0,"★白地商機：目前無對應能力，需新增能力或找新夥伴",IF($K52&gt;0,"有缺口："&amp;$K52&amp;"項可對外招募","已有能力可承接")))</f>
        <v>★白地商機：目前無對應能力，需新增能力或找新夥伴</v>
      </c>
      <c r="M52" s="59" t="s">
        <v>344</v>
      </c>
      <c r="N52" s="60" t="s">
        <v>244</v>
      </c>
      <c r="O52" s="60" t="s">
        <v>353</v>
      </c>
      <c r="P52" s="59" t="s">
        <v>229</v>
      </c>
      <c r="Q52" s="60" t="s">
        <v>272</v>
      </c>
      <c r="R52" s="59" t="s">
        <v>414</v>
      </c>
      <c r="S52" s="53" t="s">
        <v>622</v>
      </c>
      <c r="T52" s="55" t="n">
        <f aca="false">IF($A52="","",COUNTIF(14_商機清單_Pipeline!$A$5:$A$34,$U52))</f>
        <v>0</v>
      </c>
      <c r="U52" s="54" t="str">
        <f aca="false">IF($B52="","",$A52&amp;" "&amp;$B52)</f>
        <v>OPP-48 病理數位化與AI判讀</v>
      </c>
      <c r="V52" s="53" t="s">
        <v>623</v>
      </c>
      <c r="W52" s="53" t="s">
        <v>624</v>
      </c>
      <c r="X52" s="55" t="n">
        <f aca="false">IF($A52="","",IFERROR(INDEX(16_能力商機矩陣_CapOppMap!$D$162:$CO$162,MATCH($A52,16_能力商機矩陣_CapOppMap!$D$4:$CO$4,0)),""))</f>
        <v>0</v>
      </c>
      <c r="Y52" s="61" t="str">
        <f aca="false">IF(OR($A52="",$H52=""),"",IF($H52=0,"",ROUND(0.45*$I52+0.35*$J52+0.2*IF(LEFT($F52,1)="③",5,IF(LEFT($F52,1)="②",3,1))-IF($K52&gt;0,0.3,0),2)+ROW()/100000))</f>
        <v/>
      </c>
      <c r="Z52" s="62" t="str">
        <f aca="false">IF($Y52="","",RANK($Y52,$Y$5:$Y$94))</f>
        <v/>
      </c>
      <c r="AA52" s="78" t="s">
        <v>588</v>
      </c>
      <c r="AB52" s="64" t="s">
        <v>625</v>
      </c>
      <c r="AC52" s="73" t="s">
        <v>327</v>
      </c>
      <c r="AD52" s="72" t="s">
        <v>590</v>
      </c>
    </row>
    <row r="53" customFormat="false" ht="49.5" hidden="false" customHeight="true" outlineLevel="0" collapsed="false">
      <c r="A53" s="50" t="s">
        <v>626</v>
      </c>
      <c r="B53" s="51" t="s">
        <v>627</v>
      </c>
      <c r="C53" s="52" t="s">
        <v>628</v>
      </c>
      <c r="D53" s="52" t="s">
        <v>581</v>
      </c>
      <c r="E53" s="53" t="s">
        <v>629</v>
      </c>
      <c r="F53" s="53" t="s">
        <v>343</v>
      </c>
      <c r="G53" s="54" t="str">
        <f aca="false">IF($A53="","",IF($H53=0,"（尚無對應能力）",IFERROR(INDEX(16_能力商機矩陣_CapOppMap!$D$160:$CO$160,MATCH($A53,16_能力商機矩陣_CapOppMap!$D$4:$CO$4,0)),"")))</f>
        <v>（尚無對應能力）</v>
      </c>
      <c r="H53" s="55" t="n">
        <f aca="false">IF($A53="","",IFERROR(INDEX(16_能力商機矩陣_CapOppMap!$D$156:$CO$156,MATCH($A53,16_能力商機矩陣_CapOppMap!$D$4:$CO$4,0)),""))</f>
        <v>0</v>
      </c>
      <c r="I53" s="56" t="str">
        <f aca="false">IF($A53="","",IFERROR(INDEX(16_能力商機矩陣_CapOppMap!$D$157:$CO$157,MATCH($A53,16_能力商機矩陣_CapOppMap!$D$4:$CO$4,0)),""))</f>
        <v/>
      </c>
      <c r="J53" s="56" t="str">
        <f aca="false">IF($A53="","",IFERROR(INDEX(16_能力商機矩陣_CapOppMap!$D$158:$CO$158,MATCH($A53,16_能力商機矩陣_CapOppMap!$D$4:$CO$4,0)),""))</f>
        <v/>
      </c>
      <c r="K53" s="57" t="n">
        <f aca="false">IF($A53="","",IFERROR(INDEX(16_能力商機矩陣_CapOppMap!$D$159:$CO$159,MATCH($A53,16_能力商機矩陣_CapOppMap!$D$4:$CO$4,0)),""))</f>
        <v>0</v>
      </c>
      <c r="L53" s="58" t="str">
        <f aca="false">IF($A53="","",IF($H53=0,"★白地商機：目前無對應能力，需新增能力或找新夥伴",IF($K53&gt;0,"有缺口："&amp;$K53&amp;"項可對外招募","已有能力可承接")))</f>
        <v>★白地商機：目前無對應能力，需新增能力或找新夥伴</v>
      </c>
      <c r="M53" s="59" t="s">
        <v>302</v>
      </c>
      <c r="N53" s="60" t="s">
        <v>332</v>
      </c>
      <c r="O53" s="60" t="s">
        <v>450</v>
      </c>
      <c r="P53" s="59" t="s">
        <v>245</v>
      </c>
      <c r="Q53" s="60" t="s">
        <v>230</v>
      </c>
      <c r="R53" s="59" t="s">
        <v>487</v>
      </c>
      <c r="S53" s="53" t="s">
        <v>630</v>
      </c>
      <c r="T53" s="55" t="n">
        <f aca="false">IF($A53="","",COUNTIF(14_商機清單_Pipeline!$A$5:$A$34,$U53))</f>
        <v>1</v>
      </c>
      <c r="U53" s="54" t="str">
        <f aca="false">IF($B53="","",$A53&amp;" "&amp;$B53)</f>
        <v>OPP-49 越南語AI病歷書寫助理</v>
      </c>
      <c r="V53" s="53" t="s">
        <v>631</v>
      </c>
      <c r="W53" s="53" t="s">
        <v>632</v>
      </c>
      <c r="X53" s="55" t="n">
        <f aca="false">IF($A53="","",IFERROR(INDEX(16_能力商機矩陣_CapOppMap!$D$162:$CO$162,MATCH($A53,16_能力商機矩陣_CapOppMap!$D$4:$CO$4,0)),""))</f>
        <v>0</v>
      </c>
      <c r="Y53" s="61" t="str">
        <f aca="false">IF(OR($A53="",$H53=""),"",IF($H53=0,"",ROUND(0.45*$I53+0.35*$J53+0.2*IF(LEFT($F53,1)="③",5,IF(LEFT($F53,1)="②",3,1))-IF($K53&gt;0,0.3,0),2)+ROW()/100000))</f>
        <v/>
      </c>
      <c r="Z53" s="62" t="str">
        <f aca="false">IF($Y53="","",RANK($Y53,$Y$5:$Y$94))</f>
        <v/>
      </c>
      <c r="AA53" s="78" t="s">
        <v>588</v>
      </c>
      <c r="AB53" s="64" t="s">
        <v>633</v>
      </c>
      <c r="AC53" s="73" t="s">
        <v>327</v>
      </c>
      <c r="AD53" s="72" t="s">
        <v>590</v>
      </c>
    </row>
    <row r="54" customFormat="false" ht="49.5" hidden="false" customHeight="true" outlineLevel="0" collapsed="false">
      <c r="A54" s="50" t="s">
        <v>634</v>
      </c>
      <c r="B54" s="51" t="s">
        <v>635</v>
      </c>
      <c r="C54" s="52" t="s">
        <v>636</v>
      </c>
      <c r="D54" s="52" t="s">
        <v>581</v>
      </c>
      <c r="E54" s="53" t="s">
        <v>637</v>
      </c>
      <c r="F54" s="53" t="s">
        <v>343</v>
      </c>
      <c r="G54" s="54" t="str">
        <f aca="false">IF($A54="","",IF($H54=0,"（尚無對應能力）",IFERROR(INDEX(16_能力商機矩陣_CapOppMap!$D$160:$CO$160,MATCH($A54,16_能力商機矩陣_CapOppMap!$D$4:$CO$4,0)),"")))</f>
        <v>（尚無對應能力）</v>
      </c>
      <c r="H54" s="55" t="n">
        <f aca="false">IF($A54="","",IFERROR(INDEX(16_能力商機矩陣_CapOppMap!$D$156:$CO$156,MATCH($A54,16_能力商機矩陣_CapOppMap!$D$4:$CO$4,0)),""))</f>
        <v>0</v>
      </c>
      <c r="I54" s="56" t="str">
        <f aca="false">IF($A54="","",IFERROR(INDEX(16_能力商機矩陣_CapOppMap!$D$157:$CO$157,MATCH($A54,16_能力商機矩陣_CapOppMap!$D$4:$CO$4,0)),""))</f>
        <v/>
      </c>
      <c r="J54" s="56" t="str">
        <f aca="false">IF($A54="","",IFERROR(INDEX(16_能力商機矩陣_CapOppMap!$D$158:$CO$158,MATCH($A54,16_能力商機矩陣_CapOppMap!$D$4:$CO$4,0)),""))</f>
        <v/>
      </c>
      <c r="K54" s="57" t="n">
        <f aca="false">IF($A54="","",IFERROR(INDEX(16_能力商機矩陣_CapOppMap!$D$159:$CO$159,MATCH($A54,16_能力商機矩陣_CapOppMap!$D$4:$CO$4,0)),""))</f>
        <v>0</v>
      </c>
      <c r="L54" s="58" t="str">
        <f aca="false">IF($A54="","",IF($H54=0,"★白地商機：目前無對應能力，需新增能力或找新夥伴",IF($K54&gt;0,"有缺口："&amp;$K54&amp;"項可對外招募","已有能力可承接")))</f>
        <v>★白地商機：目前無對應能力，需新增能力或找新夥伴</v>
      </c>
      <c r="M54" s="59" t="s">
        <v>344</v>
      </c>
      <c r="N54" s="60" t="s">
        <v>332</v>
      </c>
      <c r="O54" s="60" t="s">
        <v>450</v>
      </c>
      <c r="P54" s="59" t="s">
        <v>245</v>
      </c>
      <c r="Q54" s="60" t="s">
        <v>272</v>
      </c>
      <c r="R54" s="59" t="s">
        <v>487</v>
      </c>
      <c r="S54" s="53" t="s">
        <v>638</v>
      </c>
      <c r="T54" s="55" t="n">
        <f aca="false">IF($A54="","",COUNTIF(14_商機清單_Pipeline!$A$5:$A$34,$U54))</f>
        <v>0</v>
      </c>
      <c r="U54" s="54" t="str">
        <f aca="false">IF($B54="","",$A54&amp;" "&amp;$B54)</f>
        <v>OPP-50 臨床大模型助理與知識庫</v>
      </c>
      <c r="V54" s="52" t="s">
        <v>639</v>
      </c>
      <c r="W54" s="53" t="s">
        <v>640</v>
      </c>
      <c r="X54" s="55" t="n">
        <f aca="false">IF($A54="","",IFERROR(INDEX(16_能力商機矩陣_CapOppMap!$D$162:$CO$162,MATCH($A54,16_能力商機矩陣_CapOppMap!$D$4:$CO$4,0)),""))</f>
        <v>0</v>
      </c>
      <c r="Y54" s="61" t="str">
        <f aca="false">IF(OR($A54="",$H54=""),"",IF($H54=0,"",ROUND(0.45*$I54+0.35*$J54+0.2*IF(LEFT($F54,1)="③",5,IF(LEFT($F54,1)="②",3,1))-IF($K54&gt;0,0.3,0),2)+ROW()/100000))</f>
        <v/>
      </c>
      <c r="Z54" s="62" t="str">
        <f aca="false">IF($Y54="","",RANK($Y54,$Y$5:$Y$94))</f>
        <v/>
      </c>
      <c r="AA54" s="78" t="s">
        <v>588</v>
      </c>
      <c r="AB54" s="64" t="s">
        <v>250</v>
      </c>
      <c r="AC54" s="67" t="s">
        <v>251</v>
      </c>
      <c r="AD54" s="72" t="s">
        <v>590</v>
      </c>
    </row>
    <row r="55" customFormat="false" ht="49.5" hidden="false" customHeight="true" outlineLevel="0" collapsed="false">
      <c r="A55" s="50" t="s">
        <v>641</v>
      </c>
      <c r="B55" s="51" t="s">
        <v>642</v>
      </c>
      <c r="C55" s="52" t="s">
        <v>643</v>
      </c>
      <c r="D55" s="52" t="s">
        <v>581</v>
      </c>
      <c r="E55" s="53" t="s">
        <v>644</v>
      </c>
      <c r="F55" s="53" t="s">
        <v>343</v>
      </c>
      <c r="G55" s="54" t="str">
        <f aca="false">IF($A55="","",IF($H55=0,"（尚無對應能力）",IFERROR(INDEX(16_能力商機矩陣_CapOppMap!$D$160:$CO$160,MATCH($A55,16_能力商機矩陣_CapOppMap!$D$4:$CO$4,0)),"")))</f>
        <v>D10</v>
      </c>
      <c r="H55" s="55" t="n">
        <f aca="false">IF($A55="","",IFERROR(INDEX(16_能力商機矩陣_CapOppMap!$D$156:$CO$156,MATCH($A55,16_能力商機矩陣_CapOppMap!$D$4:$CO$4,0)),""))</f>
        <v>1</v>
      </c>
      <c r="I55" s="56" t="n">
        <f aca="false">IF($A55="","",IFERROR(INDEX(16_能力商機矩陣_CapOppMap!$D$157:$CO$157,MATCH($A55,16_能力商機矩陣_CapOppMap!$D$4:$CO$4,0)),""))</f>
        <v>4.1</v>
      </c>
      <c r="J55" s="56" t="n">
        <f aca="false">IF($A55="","",IFERROR(INDEX(16_能力商機矩陣_CapOppMap!$D$158:$CO$158,MATCH($A55,16_能力商機矩陣_CapOppMap!$D$4:$CO$4,0)),""))</f>
        <v>2</v>
      </c>
      <c r="K55" s="57" t="n">
        <f aca="false">IF($A55="","",IFERROR(INDEX(16_能力商機矩陣_CapOppMap!$D$159:$CO$159,MATCH($A55,16_能力商機矩陣_CapOppMap!$D$4:$CO$4,0)),""))</f>
        <v>1</v>
      </c>
      <c r="L55" s="58" t="str">
        <f aca="false">IF($A55="","",IF($H55=0,"★白地商機：目前無對應能力，需新增能力或找新夥伴",IF($K55&gt;0,"有缺口："&amp;$K55&amp;"項可對外招募","已有能力可承接")))</f>
        <v>有缺口：1項可對外招募</v>
      </c>
      <c r="M55" s="59" t="s">
        <v>344</v>
      </c>
      <c r="N55" s="60" t="s">
        <v>645</v>
      </c>
      <c r="O55" s="60" t="s">
        <v>345</v>
      </c>
      <c r="P55" s="59" t="s">
        <v>245</v>
      </c>
      <c r="Q55" s="60" t="s">
        <v>272</v>
      </c>
      <c r="R55" s="59" t="s">
        <v>646</v>
      </c>
      <c r="S55" s="53" t="s">
        <v>647</v>
      </c>
      <c r="T55" s="55" t="n">
        <f aca="false">IF($A55="","",COUNTIF(14_商機清單_Pipeline!$A$5:$A$34,$U55))</f>
        <v>0</v>
      </c>
      <c r="U55" s="54" t="str">
        <f aca="false">IF($B55="","",$A55&amp;" "&amp;$B55)</f>
        <v>OPP-51 健保申報AI審核與拒付管理</v>
      </c>
      <c r="V55" s="70" t="s">
        <v>275</v>
      </c>
      <c r="W55" s="52"/>
      <c r="X55" s="55" t="n">
        <f aca="false">IF($A55="","",IFERROR(INDEX(16_能力商機矩陣_CapOppMap!$D$162:$CO$162,MATCH($A55,16_能力商機矩陣_CapOppMap!$D$4:$CO$4,0)),""))</f>
        <v>0</v>
      </c>
      <c r="Y55" s="61" t="n">
        <f aca="false">IF(OR($A55="",$H55=""),"",IF($H55=0,"",ROUND(0.45*$I55+0.35*$J55+0.2*IF(LEFT($F55,1)="③",5,IF(LEFT($F55,1)="②",3,1))-IF($K55&gt;0,0.3,0),2)+ROW()/100000))</f>
        <v>3.25055</v>
      </c>
      <c r="Z55" s="62" t="n">
        <f aca="false">IF($Y55="","",RANK($Y55,$Y$5:$Y$94))</f>
        <v>65</v>
      </c>
      <c r="AA55" s="78" t="s">
        <v>588</v>
      </c>
      <c r="AB55" s="69" t="s">
        <v>648</v>
      </c>
      <c r="AC55" s="65" t="s">
        <v>237</v>
      </c>
      <c r="AD55" s="72" t="s">
        <v>590</v>
      </c>
    </row>
    <row r="56" customFormat="false" ht="49.5" hidden="false" customHeight="true" outlineLevel="0" collapsed="false">
      <c r="A56" s="50" t="s">
        <v>649</v>
      </c>
      <c r="B56" s="51" t="s">
        <v>650</v>
      </c>
      <c r="C56" s="52" t="s">
        <v>651</v>
      </c>
      <c r="D56" s="52" t="s">
        <v>581</v>
      </c>
      <c r="E56" s="53" t="s">
        <v>652</v>
      </c>
      <c r="F56" s="53" t="s">
        <v>343</v>
      </c>
      <c r="G56" s="54" t="str">
        <f aca="false">IF($A56="","",IF($H56=0,"（尚無對應能力）",IFERROR(INDEX(16_能力商機矩陣_CapOppMap!$D$160:$CO$160,MATCH($A56,16_能力商機矩陣_CapOppMap!$D$4:$CO$4,0)),"")))</f>
        <v>D04; D09</v>
      </c>
      <c r="H56" s="55" t="n">
        <f aca="false">IF($A56="","",IFERROR(INDEX(16_能力商機矩陣_CapOppMap!$D$156:$CO$156,MATCH($A56,16_能力商機矩陣_CapOppMap!$D$4:$CO$4,0)),""))</f>
        <v>2</v>
      </c>
      <c r="I56" s="56" t="n">
        <f aca="false">IF($A56="","",IFERROR(INDEX(16_能力商機矩陣_CapOppMap!$D$157:$CO$157,MATCH($A56,16_能力商機矩陣_CapOppMap!$D$4:$CO$4,0)),""))</f>
        <v>3.7</v>
      </c>
      <c r="J56" s="56" t="n">
        <f aca="false">IF($A56="","",IFERROR(INDEX(16_能力商機矩陣_CapOppMap!$D$158:$CO$158,MATCH($A56,16_能力商機矩陣_CapOppMap!$D$4:$CO$4,0)),""))</f>
        <v>3.4</v>
      </c>
      <c r="K56" s="57" t="n">
        <f aca="false">IF($A56="","",IFERROR(INDEX(16_能力商機矩陣_CapOppMap!$D$159:$CO$159,MATCH($A56,16_能力商機矩陣_CapOppMap!$D$4:$CO$4,0)),""))</f>
        <v>0</v>
      </c>
      <c r="L56" s="58" t="str">
        <f aca="false">IF($A56="","",IF($H56=0,"★白地商機：目前無對應能力，需新增能力或找新夥伴",IF($K56&gt;0,"有缺口："&amp;$K56&amp;"項可對外招募","已有能力可承接")))</f>
        <v>已有能力可承接</v>
      </c>
      <c r="M56" s="59" t="s">
        <v>344</v>
      </c>
      <c r="N56" s="60" t="s">
        <v>332</v>
      </c>
      <c r="O56" s="60" t="s">
        <v>450</v>
      </c>
      <c r="P56" s="59" t="s">
        <v>245</v>
      </c>
      <c r="Q56" s="60" t="s">
        <v>272</v>
      </c>
      <c r="R56" s="59" t="s">
        <v>543</v>
      </c>
      <c r="S56" s="53" t="s">
        <v>653</v>
      </c>
      <c r="T56" s="55" t="n">
        <f aca="false">IF($A56="","",COUNTIF(14_商機清單_Pipeline!$A$5:$A$34,$U56))</f>
        <v>0</v>
      </c>
      <c r="U56" s="54" t="str">
        <f aca="false">IF($B56="","",$A56&amp;" "&amp;$B56)</f>
        <v>OPP-52 病床病人流AI與手術室排程優化</v>
      </c>
      <c r="V56" s="70" t="s">
        <v>275</v>
      </c>
      <c r="W56" s="52"/>
      <c r="X56" s="55" t="n">
        <f aca="false">IF($A56="","",IFERROR(INDEX(16_能力商機矩陣_CapOppMap!$D$162:$CO$162,MATCH($A56,16_能力商機矩陣_CapOppMap!$D$4:$CO$4,0)),""))</f>
        <v>2</v>
      </c>
      <c r="Y56" s="61" t="n">
        <f aca="false">IF(OR($A56="",$H56=""),"",IF($H56=0,"",ROUND(0.45*$I56+0.35*$J56+0.2*IF(LEFT($F56,1)="③",5,IF(LEFT($F56,1)="②",3,1))-IF($K56&gt;0,0.3,0),2)+ROW()/100000))</f>
        <v>3.86056</v>
      </c>
      <c r="Z56" s="62" t="n">
        <f aca="false">IF($Y56="","",RANK($Y56,$Y$5:$Y$94))</f>
        <v>16</v>
      </c>
      <c r="AA56" s="78" t="s">
        <v>588</v>
      </c>
      <c r="AB56" s="64" t="s">
        <v>250</v>
      </c>
      <c r="AC56" s="67" t="s">
        <v>251</v>
      </c>
      <c r="AD56" s="72" t="s">
        <v>590</v>
      </c>
    </row>
    <row r="57" customFormat="false" ht="49.5" hidden="false" customHeight="true" outlineLevel="0" collapsed="false">
      <c r="A57" s="50" t="s">
        <v>654</v>
      </c>
      <c r="B57" s="51" t="s">
        <v>655</v>
      </c>
      <c r="C57" s="52" t="s">
        <v>656</v>
      </c>
      <c r="D57" s="52" t="s">
        <v>581</v>
      </c>
      <c r="E57" s="53" t="s">
        <v>657</v>
      </c>
      <c r="F57" s="53" t="s">
        <v>343</v>
      </c>
      <c r="G57" s="54" t="str">
        <f aca="false">IF($A57="","",IF($H57=0,"（尚無對應能力）",IFERROR(INDEX(16_能力商機矩陣_CapOppMap!$D$160:$CO$160,MATCH($A57,16_能力商機矩陣_CapOppMap!$D$4:$CO$4,0)),"")))</f>
        <v>D09</v>
      </c>
      <c r="H57" s="55" t="n">
        <f aca="false">IF($A57="","",IFERROR(INDEX(16_能力商機矩陣_CapOppMap!$D$156:$CO$156,MATCH($A57,16_能力商機矩陣_CapOppMap!$D$4:$CO$4,0)),""))</f>
        <v>2</v>
      </c>
      <c r="I57" s="56" t="n">
        <f aca="false">IF($A57="","",IFERROR(INDEX(16_能力商機矩陣_CapOppMap!$D$157:$CO$157,MATCH($A57,16_能力商機矩陣_CapOppMap!$D$4:$CO$4,0)),""))</f>
        <v>3.9</v>
      </c>
      <c r="J57" s="56" t="n">
        <f aca="false">IF($A57="","",IFERROR(INDEX(16_能力商機矩陣_CapOppMap!$D$158:$CO$158,MATCH($A57,16_能力商機矩陣_CapOppMap!$D$4:$CO$4,0)),""))</f>
        <v>3</v>
      </c>
      <c r="K57" s="57" t="n">
        <f aca="false">IF($A57="","",IFERROR(INDEX(16_能力商機矩陣_CapOppMap!$D$159:$CO$159,MATCH($A57,16_能力商機矩陣_CapOppMap!$D$4:$CO$4,0)),""))</f>
        <v>0</v>
      </c>
      <c r="L57" s="58" t="str">
        <f aca="false">IF($A57="","",IF($H57=0,"★白地商機：目前無對應能力，需新增能力或找新夥伴",IF($K57&gt;0,"有缺口："&amp;$K57&amp;"項可對外招募","已有能力可承接")))</f>
        <v>已有能力可承接</v>
      </c>
      <c r="M57" s="59" t="s">
        <v>344</v>
      </c>
      <c r="N57" s="60" t="s">
        <v>332</v>
      </c>
      <c r="O57" s="60" t="s">
        <v>450</v>
      </c>
      <c r="P57" s="59" t="s">
        <v>245</v>
      </c>
      <c r="Q57" s="60" t="s">
        <v>272</v>
      </c>
      <c r="R57" s="59" t="s">
        <v>658</v>
      </c>
      <c r="S57" s="53" t="s">
        <v>659</v>
      </c>
      <c r="T57" s="55" t="n">
        <f aca="false">IF($A57="","",COUNTIF(14_商機清單_Pipeline!$A$5:$A$34,$U57))</f>
        <v>0</v>
      </c>
      <c r="U57" s="54" t="str">
        <f aca="false">IF($B57="","",$A57&amp;" "&amp;$B57)</f>
        <v>OPP-53 藥品耗材需求預測AI</v>
      </c>
      <c r="V57" s="70" t="s">
        <v>275</v>
      </c>
      <c r="W57" s="52"/>
      <c r="X57" s="55" t="n">
        <f aca="false">IF($A57="","",IFERROR(INDEX(16_能力商機矩陣_CapOppMap!$D$162:$CO$162,MATCH($A57,16_能力商機矩陣_CapOppMap!$D$4:$CO$4,0)),""))</f>
        <v>0</v>
      </c>
      <c r="Y57" s="61" t="n">
        <f aca="false">IF(OR($A57="",$H57=""),"",IF($H57=0,"",ROUND(0.45*$I57+0.35*$J57+0.2*IF(LEFT($F57,1)="③",5,IF(LEFT($F57,1)="②",3,1))-IF($K57&gt;0,0.3,0),2)+ROW()/100000))</f>
        <v>3.81057</v>
      </c>
      <c r="Z57" s="62" t="n">
        <f aca="false">IF($Y57="","",RANK($Y57,$Y$5:$Y$94))</f>
        <v>21</v>
      </c>
      <c r="AA57" s="78" t="s">
        <v>588</v>
      </c>
      <c r="AB57" s="64" t="s">
        <v>250</v>
      </c>
      <c r="AC57" s="67" t="s">
        <v>251</v>
      </c>
      <c r="AD57" s="72" t="s">
        <v>590</v>
      </c>
    </row>
    <row r="58" customFormat="false" ht="49.5" hidden="false" customHeight="true" outlineLevel="0" collapsed="false">
      <c r="A58" s="50" t="s">
        <v>660</v>
      </c>
      <c r="B58" s="51" t="s">
        <v>661</v>
      </c>
      <c r="C58" s="52" t="s">
        <v>662</v>
      </c>
      <c r="D58" s="52" t="s">
        <v>581</v>
      </c>
      <c r="E58" s="53" t="s">
        <v>663</v>
      </c>
      <c r="F58" s="53" t="s">
        <v>343</v>
      </c>
      <c r="G58" s="54" t="str">
        <f aca="false">IF($A58="","",IF($H58=0,"（尚無對應能力）",IFERROR(INDEX(16_能力商機矩陣_CapOppMap!$D$160:$CO$160,MATCH($A58,16_能力商機矩陣_CapOppMap!$D$4:$CO$4,0)),"")))</f>
        <v>D05; D09</v>
      </c>
      <c r="H58" s="55" t="n">
        <f aca="false">IF($A58="","",IFERROR(INDEX(16_能力商機矩陣_CapOppMap!$D$156:$CO$156,MATCH($A58,16_能力商機矩陣_CapOppMap!$D$4:$CO$4,0)),""))</f>
        <v>2</v>
      </c>
      <c r="I58" s="56" t="n">
        <f aca="false">IF($A58="","",IFERROR(INDEX(16_能力商機矩陣_CapOppMap!$D$157:$CO$157,MATCH($A58,16_能力商機矩陣_CapOppMap!$D$4:$CO$4,0)),""))</f>
        <v>4.2</v>
      </c>
      <c r="J58" s="56" t="n">
        <f aca="false">IF($A58="","",IFERROR(INDEX(16_能力商機矩陣_CapOppMap!$D$158:$CO$158,MATCH($A58,16_能力商機矩陣_CapOppMap!$D$4:$CO$4,0)),""))</f>
        <v>2.9</v>
      </c>
      <c r="K58" s="57" t="n">
        <f aca="false">IF($A58="","",IFERROR(INDEX(16_能力商機矩陣_CapOppMap!$D$159:$CO$159,MATCH($A58,16_能力商機矩陣_CapOppMap!$D$4:$CO$4,0)),""))</f>
        <v>0</v>
      </c>
      <c r="L58" s="58" t="str">
        <f aca="false">IF($A58="","",IF($H58=0,"★白地商機：目前無對應能力，需新增能力或找新夥伴",IF($K58&gt;0,"有缺口："&amp;$K58&amp;"項可對外招募","已有能力可承接")))</f>
        <v>已有能力可承接</v>
      </c>
      <c r="M58" s="59" t="s">
        <v>344</v>
      </c>
      <c r="N58" s="60" t="s">
        <v>332</v>
      </c>
      <c r="O58" s="60" t="s">
        <v>345</v>
      </c>
      <c r="P58" s="59" t="s">
        <v>245</v>
      </c>
      <c r="Q58" s="60" t="s">
        <v>272</v>
      </c>
      <c r="R58" s="59" t="s">
        <v>664</v>
      </c>
      <c r="S58" s="53" t="s">
        <v>665</v>
      </c>
      <c r="T58" s="55" t="n">
        <f aca="false">IF($A58="","",COUNTIF(14_商機清單_Pipeline!$A$5:$A$34,$U58))</f>
        <v>0</v>
      </c>
      <c r="U58" s="54" t="str">
        <f aca="false">IF($B58="","",$A58&amp;" "&amp;$B58)</f>
        <v>OPP-54 設備預測維護與能耗優化AI</v>
      </c>
      <c r="V58" s="70" t="s">
        <v>275</v>
      </c>
      <c r="W58" s="52"/>
      <c r="X58" s="55" t="n">
        <f aca="false">IF($A58="","",IFERROR(INDEX(16_能力商機矩陣_CapOppMap!$D$162:$CO$162,MATCH($A58,16_能力商機矩陣_CapOppMap!$D$4:$CO$4,0)),""))</f>
        <v>1</v>
      </c>
      <c r="Y58" s="61" t="n">
        <f aca="false">IF(OR($A58="",$H58=""),"",IF($H58=0,"",ROUND(0.45*$I58+0.35*$J58+0.2*IF(LEFT($F58,1)="③",5,IF(LEFT($F58,1)="②",3,1))-IF($K58&gt;0,0.3,0),2)+ROW()/100000))</f>
        <v>3.91058</v>
      </c>
      <c r="Z58" s="62" t="n">
        <f aca="false">IF($Y58="","",RANK($Y58,$Y$5:$Y$94))</f>
        <v>13</v>
      </c>
      <c r="AA58" s="78" t="s">
        <v>588</v>
      </c>
      <c r="AB58" s="64" t="s">
        <v>250</v>
      </c>
      <c r="AC58" s="67" t="s">
        <v>251</v>
      </c>
      <c r="AD58" s="72" t="s">
        <v>590</v>
      </c>
    </row>
    <row r="59" customFormat="false" ht="49.5" hidden="false" customHeight="true" outlineLevel="0" collapsed="false">
      <c r="A59" s="50" t="s">
        <v>666</v>
      </c>
      <c r="B59" s="51" t="s">
        <v>667</v>
      </c>
      <c r="C59" s="52" t="s">
        <v>668</v>
      </c>
      <c r="D59" s="52" t="s">
        <v>581</v>
      </c>
      <c r="E59" s="53" t="s">
        <v>669</v>
      </c>
      <c r="F59" s="53" t="s">
        <v>343</v>
      </c>
      <c r="G59" s="54" t="str">
        <f aca="false">IF($A59="","",IF($H59=0,"（尚無對應能力）",IFERROR(INDEX(16_能力商機矩陣_CapOppMap!$D$160:$CO$160,MATCH($A59,16_能力商機矩陣_CapOppMap!$D$4:$CO$4,0)),"")))</f>
        <v>（尚無對應能力）</v>
      </c>
      <c r="H59" s="55" t="n">
        <f aca="false">IF($A59="","",IFERROR(INDEX(16_能力商機矩陣_CapOppMap!$D$156:$CO$156,MATCH($A59,16_能力商機矩陣_CapOppMap!$D$4:$CO$4,0)),""))</f>
        <v>0</v>
      </c>
      <c r="I59" s="56" t="str">
        <f aca="false">IF($A59="","",IFERROR(INDEX(16_能力商機矩陣_CapOppMap!$D$157:$CO$157,MATCH($A59,16_能力商機矩陣_CapOppMap!$D$4:$CO$4,0)),""))</f>
        <v/>
      </c>
      <c r="J59" s="56" t="str">
        <f aca="false">IF($A59="","",IFERROR(INDEX(16_能力商機矩陣_CapOppMap!$D$158:$CO$158,MATCH($A59,16_能力商機矩陣_CapOppMap!$D$4:$CO$4,0)),""))</f>
        <v/>
      </c>
      <c r="K59" s="57" t="n">
        <f aca="false">IF($A59="","",IFERROR(INDEX(16_能力商機矩陣_CapOppMap!$D$159:$CO$159,MATCH($A59,16_能力商機矩陣_CapOppMap!$D$4:$CO$4,0)),""))</f>
        <v>0</v>
      </c>
      <c r="L59" s="58" t="str">
        <f aca="false">IF($A59="","",IF($H59=0,"★白地商機：目前無對應能力，需新增能力或找新夥伴",IF($K59&gt;0,"有缺口："&amp;$K59&amp;"項可對外招募","已有能力可承接")))</f>
        <v>★白地商機：目前無對應能力，需新增能力或找新夥伴</v>
      </c>
      <c r="M59" s="59" t="s">
        <v>344</v>
      </c>
      <c r="N59" s="60" t="s">
        <v>332</v>
      </c>
      <c r="O59" s="60" t="s">
        <v>450</v>
      </c>
      <c r="P59" s="59" t="s">
        <v>245</v>
      </c>
      <c r="Q59" s="60" t="s">
        <v>272</v>
      </c>
      <c r="R59" s="59" t="s">
        <v>569</v>
      </c>
      <c r="S59" s="53" t="s">
        <v>670</v>
      </c>
      <c r="T59" s="55" t="n">
        <f aca="false">IF($A59="","",COUNTIF(14_商機清單_Pipeline!$A$5:$A$34,$U59))</f>
        <v>0</v>
      </c>
      <c r="U59" s="54" t="str">
        <f aca="false">IF($B59="","",$A59&amp;" "&amp;$B59)</f>
        <v>OPP-55 敗血症與病情惡化預警AI</v>
      </c>
      <c r="V59" s="70" t="s">
        <v>275</v>
      </c>
      <c r="W59" s="52"/>
      <c r="X59" s="55" t="n">
        <f aca="false">IF($A59="","",IFERROR(INDEX(16_能力商機矩陣_CapOppMap!$D$162:$CO$162,MATCH($A59,16_能力商機矩陣_CapOppMap!$D$4:$CO$4,0)),""))</f>
        <v>0</v>
      </c>
      <c r="Y59" s="61" t="str">
        <f aca="false">IF(OR($A59="",$H59=""),"",IF($H59=0,"",ROUND(0.45*$I59+0.35*$J59+0.2*IF(LEFT($F59,1)="③",5,IF(LEFT($F59,1)="②",3,1))-IF($K59&gt;0,0.3,0),2)+ROW()/100000))</f>
        <v/>
      </c>
      <c r="Z59" s="62" t="str">
        <f aca="false">IF($Y59="","",RANK($Y59,$Y$5:$Y$94))</f>
        <v/>
      </c>
      <c r="AA59" s="78" t="s">
        <v>588</v>
      </c>
      <c r="AB59" s="64" t="s">
        <v>250</v>
      </c>
      <c r="AC59" s="67" t="s">
        <v>251</v>
      </c>
      <c r="AD59" s="72" t="s">
        <v>590</v>
      </c>
    </row>
    <row r="60" customFormat="false" ht="49.5" hidden="false" customHeight="true" outlineLevel="0" collapsed="false">
      <c r="A60" s="50" t="s">
        <v>671</v>
      </c>
      <c r="B60" s="51" t="s">
        <v>672</v>
      </c>
      <c r="C60" s="52" t="s">
        <v>673</v>
      </c>
      <c r="D60" s="52" t="s">
        <v>581</v>
      </c>
      <c r="E60" s="53" t="s">
        <v>674</v>
      </c>
      <c r="F60" s="53" t="s">
        <v>343</v>
      </c>
      <c r="G60" s="54" t="str">
        <f aca="false">IF($A60="","",IF($H60=0,"（尚無對應能力）",IFERROR(INDEX(16_能力商機矩陣_CapOppMap!$D$160:$CO$160,MATCH($A60,16_能力商機矩陣_CapOppMap!$D$4:$CO$4,0)),"")))</f>
        <v>D06</v>
      </c>
      <c r="H60" s="55" t="n">
        <f aca="false">IF($A60="","",IFERROR(INDEX(16_能力商機矩陣_CapOppMap!$D$156:$CO$156,MATCH($A60,16_能力商機矩陣_CapOppMap!$D$4:$CO$4,0)),""))</f>
        <v>1</v>
      </c>
      <c r="I60" s="56" t="n">
        <f aca="false">IF($A60="","",IFERROR(INDEX(16_能力商機矩陣_CapOppMap!$D$157:$CO$157,MATCH($A60,16_能力商機矩陣_CapOppMap!$D$4:$CO$4,0)),""))</f>
        <v>4</v>
      </c>
      <c r="J60" s="56" t="n">
        <f aca="false">IF($A60="","",IFERROR(INDEX(16_能力商機矩陣_CapOppMap!$D$158:$CO$158,MATCH($A60,16_能力商機矩陣_CapOppMap!$D$4:$CO$4,0)),""))</f>
        <v>2.4</v>
      </c>
      <c r="K60" s="57" t="n">
        <f aca="false">IF($A60="","",IFERROR(INDEX(16_能力商機矩陣_CapOppMap!$D$159:$CO$159,MATCH($A60,16_能力商機矩陣_CapOppMap!$D$4:$CO$4,0)),""))</f>
        <v>1</v>
      </c>
      <c r="L60" s="58" t="str">
        <f aca="false">IF($A60="","",IF($H60=0,"★白地商機：目前無對應能力，需新增能力或找新夥伴",IF($K60&gt;0,"有缺口："&amp;$K60&amp;"項可對外招募","已有能力可承接")))</f>
        <v>有缺口：1項可對外招募</v>
      </c>
      <c r="M60" s="59" t="s">
        <v>344</v>
      </c>
      <c r="N60" s="60" t="s">
        <v>332</v>
      </c>
      <c r="O60" s="60" t="s">
        <v>450</v>
      </c>
      <c r="P60" s="59" t="s">
        <v>245</v>
      </c>
      <c r="Q60" s="60" t="s">
        <v>272</v>
      </c>
      <c r="R60" s="59" t="s">
        <v>675</v>
      </c>
      <c r="S60" s="53" t="s">
        <v>676</v>
      </c>
      <c r="T60" s="55" t="n">
        <f aca="false">IF($A60="","",COUNTIF(14_商機清單_Pipeline!$A$5:$A$34,$U60))</f>
        <v>0</v>
      </c>
      <c r="U60" s="54" t="str">
        <f aca="false">IF($B60="","",$A60&amp;" "&amp;$B60)</f>
        <v>OPP-56 越南語分診聊天機器人與病人助理</v>
      </c>
      <c r="V60" s="70" t="s">
        <v>275</v>
      </c>
      <c r="W60" s="52"/>
      <c r="X60" s="55" t="n">
        <f aca="false">IF($A60="","",IFERROR(INDEX(16_能力商機矩陣_CapOppMap!$D$162:$CO$162,MATCH($A60,16_能力商機矩陣_CapOppMap!$D$4:$CO$4,0)),""))</f>
        <v>0</v>
      </c>
      <c r="Y60" s="61" t="n">
        <f aca="false">IF(OR($A60="",$H60=""),"",IF($H60=0,"",ROUND(0.45*$I60+0.35*$J60+0.2*IF(LEFT($F60,1)="③",5,IF(LEFT($F60,1)="②",3,1))-IF($K60&gt;0,0.3,0),2)+ROW()/100000))</f>
        <v>3.3406</v>
      </c>
      <c r="Z60" s="62" t="n">
        <f aca="false">IF($Y60="","",RANK($Y60,$Y$5:$Y$94))</f>
        <v>55</v>
      </c>
      <c r="AA60" s="78" t="s">
        <v>588</v>
      </c>
      <c r="AB60" s="64" t="s">
        <v>250</v>
      </c>
      <c r="AC60" s="67" t="s">
        <v>251</v>
      </c>
      <c r="AD60" s="72" t="s">
        <v>590</v>
      </c>
    </row>
    <row r="61" customFormat="false" ht="49.5" hidden="false" customHeight="true" outlineLevel="0" collapsed="false">
      <c r="A61" s="50" t="s">
        <v>677</v>
      </c>
      <c r="B61" s="51" t="s">
        <v>678</v>
      </c>
      <c r="C61" s="52" t="s">
        <v>679</v>
      </c>
      <c r="D61" s="52" t="s">
        <v>581</v>
      </c>
      <c r="E61" s="53" t="s">
        <v>680</v>
      </c>
      <c r="F61" s="53" t="s">
        <v>225</v>
      </c>
      <c r="G61" s="54" t="str">
        <f aca="false">IF($A61="","",IF($H61=0,"（尚無對應能力）",IFERROR(INDEX(16_能力商機矩陣_CapOppMap!$D$160:$CO$160,MATCH($A61,16_能力商機矩陣_CapOppMap!$D$4:$CO$4,0)),"")))</f>
        <v>D04</v>
      </c>
      <c r="H61" s="55" t="n">
        <f aca="false">IF($A61="","",IFERROR(INDEX(16_能力商機矩陣_CapOppMap!$D$156:$CO$156,MATCH($A61,16_能力商機矩陣_CapOppMap!$D$4:$CO$4,0)),""))</f>
        <v>1</v>
      </c>
      <c r="I61" s="56" t="n">
        <f aca="false">IF($A61="","",IFERROR(INDEX(16_能力商機矩陣_CapOppMap!$D$157:$CO$157,MATCH($A61,16_能力商機矩陣_CapOppMap!$D$4:$CO$4,0)),""))</f>
        <v>4.1</v>
      </c>
      <c r="J61" s="56" t="n">
        <f aca="false">IF($A61="","",IFERROR(INDEX(16_能力商機矩陣_CapOppMap!$D$158:$CO$158,MATCH($A61,16_能力商機矩陣_CapOppMap!$D$4:$CO$4,0)),""))</f>
        <v>3.4</v>
      </c>
      <c r="K61" s="57" t="n">
        <f aca="false">IF($A61="","",IFERROR(INDEX(16_能力商機矩陣_CapOppMap!$D$159:$CO$159,MATCH($A61,16_能力商機矩陣_CapOppMap!$D$4:$CO$4,0)),""))</f>
        <v>0</v>
      </c>
      <c r="L61" s="58" t="str">
        <f aca="false">IF($A61="","",IF($H61=0,"★白地商機：目前無對應能力，需新增能力或找新夥伴",IF($K61&gt;0,"有缺口："&amp;$K61&amp;"項可對外招募","已有能力可承接")))</f>
        <v>已有能力可承接</v>
      </c>
      <c r="M61" s="59" t="s">
        <v>302</v>
      </c>
      <c r="N61" s="60" t="s">
        <v>244</v>
      </c>
      <c r="O61" s="60" t="s">
        <v>353</v>
      </c>
      <c r="P61" s="59" t="s">
        <v>245</v>
      </c>
      <c r="Q61" s="60" t="s">
        <v>230</v>
      </c>
      <c r="R61" s="59" t="s">
        <v>439</v>
      </c>
      <c r="S61" s="53" t="s">
        <v>681</v>
      </c>
      <c r="T61" s="55" t="n">
        <f aca="false">IF($A61="","",COUNTIF(14_商機清單_Pipeline!$A$5:$A$34,$U61))</f>
        <v>0</v>
      </c>
      <c r="U61" s="54" t="str">
        <f aca="false">IF($B61="","",$A61&amp;" "&amp;$B61)</f>
        <v>OPP-57 院內GPU與邊緣推論基礎設施</v>
      </c>
      <c r="V61" s="52" t="s">
        <v>682</v>
      </c>
      <c r="W61" s="53" t="s">
        <v>683</v>
      </c>
      <c r="X61" s="55" t="n">
        <f aca="false">IF($A61="","",IFERROR(INDEX(16_能力商機矩陣_CapOppMap!$D$162:$CO$162,MATCH($A61,16_能力商機矩陣_CapOppMap!$D$4:$CO$4,0)),""))</f>
        <v>1</v>
      </c>
      <c r="Y61" s="61" t="n">
        <f aca="false">IF(OR($A61="",$H61=""),"",IF($H61=0,"",ROUND(0.45*$I61+0.35*$J61+0.2*IF(LEFT($F61,1)="③",5,IF(LEFT($F61,1)="②",3,1))-IF($K61&gt;0,0.3,0),2)+ROW()/100000))</f>
        <v>3.64061</v>
      </c>
      <c r="Z61" s="62" t="n">
        <f aca="false">IF($Y61="","",RANK($Y61,$Y$5:$Y$94))</f>
        <v>38</v>
      </c>
      <c r="AA61" s="75" t="s">
        <v>443</v>
      </c>
      <c r="AB61" s="69" t="s">
        <v>684</v>
      </c>
      <c r="AC61" s="67" t="s">
        <v>251</v>
      </c>
      <c r="AD61" s="72" t="s">
        <v>590</v>
      </c>
    </row>
    <row r="62" customFormat="false" ht="49.5" hidden="false" customHeight="true" outlineLevel="0" collapsed="false">
      <c r="A62" s="50" t="s">
        <v>685</v>
      </c>
      <c r="B62" s="51" t="s">
        <v>686</v>
      </c>
      <c r="C62" s="52" t="s">
        <v>687</v>
      </c>
      <c r="D62" s="52" t="s">
        <v>581</v>
      </c>
      <c r="E62" s="52" t="s">
        <v>688</v>
      </c>
      <c r="F62" s="53" t="s">
        <v>225</v>
      </c>
      <c r="G62" s="54" t="str">
        <f aca="false">IF($A62="","",IF($H62=0,"（尚無對應能力）",IFERROR(INDEX(16_能力商機矩陣_CapOppMap!$D$160:$CO$160,MATCH($A62,16_能力商機矩陣_CapOppMap!$D$4:$CO$4,0)),"")))</f>
        <v>D06</v>
      </c>
      <c r="H62" s="55" t="n">
        <f aca="false">IF($A62="","",IFERROR(INDEX(16_能力商機矩陣_CapOppMap!$D$156:$CO$156,MATCH($A62,16_能力商機矩陣_CapOppMap!$D$4:$CO$4,0)),""))</f>
        <v>2</v>
      </c>
      <c r="I62" s="56" t="n">
        <f aca="false">IF($A62="","",IFERROR(INDEX(16_能力商機矩陣_CapOppMap!$D$157:$CO$157,MATCH($A62,16_能力商機矩陣_CapOppMap!$D$4:$CO$4,0)),""))</f>
        <v>4.5</v>
      </c>
      <c r="J62" s="56" t="n">
        <f aca="false">IF($A62="","",IFERROR(INDEX(16_能力商機矩陣_CapOppMap!$D$158:$CO$158,MATCH($A62,16_能力商機矩陣_CapOppMap!$D$4:$CO$4,0)),""))</f>
        <v>2.4</v>
      </c>
      <c r="K62" s="57" t="n">
        <f aca="false">IF($A62="","",IFERROR(INDEX(16_能力商機矩陣_CapOppMap!$D$159:$CO$159,MATCH($A62,16_能力商機矩陣_CapOppMap!$D$4:$CO$4,0)),""))</f>
        <v>0</v>
      </c>
      <c r="L62" s="58" t="str">
        <f aca="false">IF($A62="","",IF($H62=0,"★白地商機：目前無對應能力，需新增能力或找新夥伴",IF($K62&gt;0,"有缺口："&amp;$K62&amp;"項可對外招募","已有能力可承接")))</f>
        <v>已有能力可承接</v>
      </c>
      <c r="M62" s="59" t="s">
        <v>302</v>
      </c>
      <c r="N62" s="60" t="s">
        <v>244</v>
      </c>
      <c r="O62" s="60" t="s">
        <v>450</v>
      </c>
      <c r="P62" s="59" t="s">
        <v>229</v>
      </c>
      <c r="Q62" s="60" t="s">
        <v>230</v>
      </c>
      <c r="R62" s="59" t="s">
        <v>536</v>
      </c>
      <c r="S62" s="52" t="s">
        <v>689</v>
      </c>
      <c r="T62" s="55" t="n">
        <f aca="false">IF($A62="","",COUNTIF(14_商機清單_Pipeline!$A$5:$A$34,$U62))</f>
        <v>0</v>
      </c>
      <c r="U62" s="54" t="str">
        <f aca="false">IF($B62="","",$A62&amp;" "&amp;$B62)</f>
        <v>OPP-58 醫院資料湖、去識別化與AI訓練資料層</v>
      </c>
      <c r="V62" s="70" t="s">
        <v>275</v>
      </c>
      <c r="W62" s="52"/>
      <c r="X62" s="55" t="n">
        <f aca="false">IF($A62="","",IFERROR(INDEX(16_能力商機矩陣_CapOppMap!$D$162:$CO$162,MATCH($A62,16_能力商機矩陣_CapOppMap!$D$4:$CO$4,0)),""))</f>
        <v>0</v>
      </c>
      <c r="Y62" s="61" t="n">
        <f aca="false">IF(OR($A62="",$H62=""),"",IF($H62=0,"",ROUND(0.45*$I62+0.35*$J62+0.2*IF(LEFT($F62,1)="③",5,IF(LEFT($F62,1)="②",3,1))-IF($K62&gt;0,0.3,0),2)+ROW()/100000))</f>
        <v>3.47062</v>
      </c>
      <c r="Z62" s="62" t="n">
        <f aca="false">IF($Y62="","",RANK($Y62,$Y$5:$Y$94))</f>
        <v>47</v>
      </c>
      <c r="AA62" s="77" t="s">
        <v>498</v>
      </c>
      <c r="AB62" s="64" t="s">
        <v>250</v>
      </c>
      <c r="AC62" s="67" t="s">
        <v>251</v>
      </c>
      <c r="AD62" s="72" t="s">
        <v>590</v>
      </c>
    </row>
    <row r="63" customFormat="false" ht="49.5" hidden="false" customHeight="true" outlineLevel="0" collapsed="false">
      <c r="A63" s="50" t="s">
        <v>690</v>
      </c>
      <c r="B63" s="51" t="s">
        <v>691</v>
      </c>
      <c r="C63" s="52" t="s">
        <v>692</v>
      </c>
      <c r="D63" s="52" t="s">
        <v>581</v>
      </c>
      <c r="E63" s="53" t="s">
        <v>693</v>
      </c>
      <c r="F63" s="53" t="s">
        <v>343</v>
      </c>
      <c r="G63" s="54" t="str">
        <f aca="false">IF($A63="","",IF($H63=0,"（尚無對應能力）",IFERROR(INDEX(16_能力商機矩陣_CapOppMap!$D$160:$CO$160,MATCH($A63,16_能力商機矩陣_CapOppMap!$D$4:$CO$4,0)),"")))</f>
        <v>D01; D04</v>
      </c>
      <c r="H63" s="55" t="n">
        <f aca="false">IF($A63="","",IFERROR(INDEX(16_能力商機矩陣_CapOppMap!$D$156:$CO$156,MATCH($A63,16_能力商機矩陣_CapOppMap!$D$4:$CO$4,0)),""))</f>
        <v>2</v>
      </c>
      <c r="I63" s="56" t="n">
        <f aca="false">IF($A63="","",IFERROR(INDEX(16_能力商機矩陣_CapOppMap!$D$157:$CO$157,MATCH($A63,16_能力商機矩陣_CapOppMap!$D$4:$CO$4,0)),""))</f>
        <v>4.3</v>
      </c>
      <c r="J63" s="56" t="n">
        <f aca="false">IF($A63="","",IFERROR(INDEX(16_能力商機矩陣_CapOppMap!$D$158:$CO$158,MATCH($A63,16_能力商機矩陣_CapOppMap!$D$4:$CO$4,0)),""))</f>
        <v>2.7</v>
      </c>
      <c r="K63" s="57" t="n">
        <f aca="false">IF($A63="","",IFERROR(INDEX(16_能力商機矩陣_CapOppMap!$D$159:$CO$159,MATCH($A63,16_能力商機矩陣_CapOppMap!$D$4:$CO$4,0)),""))</f>
        <v>0</v>
      </c>
      <c r="L63" s="58" t="str">
        <f aca="false">IF($A63="","",IF($H63=0,"★白地商機：目前無對應能力，需新增能力或找新夥伴",IF($K63&gt;0,"有缺口："&amp;$K63&amp;"項可對外招募","已有能力可承接")))</f>
        <v>已有能力可承接</v>
      </c>
      <c r="M63" s="59" t="s">
        <v>361</v>
      </c>
      <c r="N63" s="60" t="s">
        <v>423</v>
      </c>
      <c r="O63" s="60" t="s">
        <v>228</v>
      </c>
      <c r="P63" s="59" t="s">
        <v>245</v>
      </c>
      <c r="Q63" s="60" t="s">
        <v>230</v>
      </c>
      <c r="R63" s="59" t="s">
        <v>424</v>
      </c>
      <c r="S63" s="53" t="s">
        <v>694</v>
      </c>
      <c r="T63" s="55" t="n">
        <f aca="false">IF($A63="","",COUNTIF(14_商機清單_Pipeline!$A$5:$A$34,$U63))</f>
        <v>0</v>
      </c>
      <c r="U63" s="54" t="str">
        <f aca="false">IF($B63="","",$A63&amp;" "&amp;$B63)</f>
        <v>OPP-59 醫療AI法規登記、在地驗證與模型治理</v>
      </c>
      <c r="V63" s="53" t="s">
        <v>695</v>
      </c>
      <c r="W63" s="53" t="s">
        <v>696</v>
      </c>
      <c r="X63" s="55" t="n">
        <f aca="false">IF($A63="","",IFERROR(INDEX(16_能力商機矩陣_CapOppMap!$D$162:$CO$162,MATCH($A63,16_能力商機矩陣_CapOppMap!$D$4:$CO$4,0)),""))</f>
        <v>1</v>
      </c>
      <c r="Y63" s="61" t="n">
        <f aca="false">IF(OR($A63="",$H63=""),"",IF($H63=0,"",ROUND(0.45*$I63+0.35*$J63+0.2*IF(LEFT($F63,1)="③",5,IF(LEFT($F63,1)="②",3,1))-IF($K63&gt;0,0.3,0),2)+ROW()/100000))</f>
        <v>3.88063</v>
      </c>
      <c r="Z63" s="62" t="n">
        <f aca="false">IF($Y63="","",RANK($Y63,$Y$5:$Y$94))</f>
        <v>14</v>
      </c>
      <c r="AA63" s="63" t="s">
        <v>235</v>
      </c>
      <c r="AB63" s="69" t="s">
        <v>697</v>
      </c>
      <c r="AC63" s="65" t="s">
        <v>237</v>
      </c>
      <c r="AD63" s="72" t="s">
        <v>590</v>
      </c>
    </row>
    <row r="64" customFormat="false" ht="49.5" hidden="false" customHeight="true" outlineLevel="0" collapsed="false">
      <c r="A64" s="50" t="s">
        <v>698</v>
      </c>
      <c r="B64" s="76" t="s">
        <v>699</v>
      </c>
      <c r="C64" s="52" t="s">
        <v>700</v>
      </c>
      <c r="D64" s="52" t="s">
        <v>701</v>
      </c>
      <c r="E64" s="53" t="s">
        <v>702</v>
      </c>
      <c r="F64" s="53" t="s">
        <v>225</v>
      </c>
      <c r="G64" s="54" t="str">
        <f aca="false">IF($A64="","",IF($H64=0,"（尚無對應能力）",IFERROR(INDEX(16_能力商機矩陣_CapOppMap!$D$160:$CO$160,MATCH($A64,16_能力商機矩陣_CapOppMap!$D$4:$CO$4,0)),"")))</f>
        <v>D07</v>
      </c>
      <c r="H64" s="55" t="n">
        <f aca="false">IF($A64="","",IFERROR(INDEX(16_能力商機矩陣_CapOppMap!$D$156:$CO$156,MATCH($A64,16_能力商機矩陣_CapOppMap!$D$4:$CO$4,0)),""))</f>
        <v>5</v>
      </c>
      <c r="I64" s="56" t="n">
        <f aca="false">IF($A64="","",IFERROR(INDEX(16_能力商機矩陣_CapOppMap!$D$157:$CO$157,MATCH($A64,16_能力商機矩陣_CapOppMap!$D$4:$CO$4,0)),""))</f>
        <v>4.5</v>
      </c>
      <c r="J64" s="56" t="n">
        <f aca="false">IF($A64="","",IFERROR(INDEX(16_能力商機矩陣_CapOppMap!$D$158:$CO$158,MATCH($A64,16_能力商機矩陣_CapOppMap!$D$4:$CO$4,0)),""))</f>
        <v>3</v>
      </c>
      <c r="K64" s="57" t="n">
        <f aca="false">IF($A64="","",IFERROR(INDEX(16_能力商機矩陣_CapOppMap!$D$159:$CO$159,MATCH($A64,16_能力商機矩陣_CapOppMap!$D$4:$CO$4,0)),""))</f>
        <v>0</v>
      </c>
      <c r="L64" s="58" t="str">
        <f aca="false">IF($A64="","",IF($H64=0,"★白地商機：目前無對應能力，需新增能力或找新夥伴",IF($K64&gt;0,"有缺口："&amp;$K64&amp;"項可對外招募","已有能力可承接")))</f>
        <v>已有能力可承接</v>
      </c>
      <c r="M64" s="59" t="s">
        <v>269</v>
      </c>
      <c r="N64" s="60" t="s">
        <v>244</v>
      </c>
      <c r="O64" s="60" t="s">
        <v>228</v>
      </c>
      <c r="P64" s="59" t="s">
        <v>245</v>
      </c>
      <c r="Q64" s="60" t="s">
        <v>230</v>
      </c>
      <c r="R64" s="59" t="s">
        <v>703</v>
      </c>
      <c r="S64" s="52" t="s">
        <v>704</v>
      </c>
      <c r="T64" s="55" t="n">
        <f aca="false">IF($A64="","",COUNTIF(14_商機清單_Pipeline!$A$5:$A$34,$U64))</f>
        <v>0</v>
      </c>
      <c r="U64" s="54" t="str">
        <f aca="false">IF($B64="","",$A64&amp;" "&amp;$B64)</f>
        <v>OPP-60 JCI品質認證與病安體系導入</v>
      </c>
      <c r="V64" s="53" t="s">
        <v>705</v>
      </c>
      <c r="W64" s="53" t="s">
        <v>706</v>
      </c>
      <c r="X64" s="55" t="n">
        <f aca="false">IF($A64="","",IFERROR(INDEX(16_能力商機矩陣_CapOppMap!$D$162:$CO$162,MATCH($A64,16_能力商機矩陣_CapOppMap!$D$4:$CO$4,0)),""))</f>
        <v>0</v>
      </c>
      <c r="Y64" s="61" t="n">
        <f aca="false">IF(OR($A64="",$H64=""),"",IF($H64=0,"",ROUND(0.45*$I64+0.35*$J64+0.2*IF(LEFT($F64,1)="③",5,IF(LEFT($F64,1)="②",3,1))-IF($K64&gt;0,0.3,0),2)+ROW()/100000))</f>
        <v>3.68064</v>
      </c>
      <c r="Z64" s="62" t="n">
        <f aca="false">IF($Y64="","",RANK($Y64,$Y$5:$Y$94))</f>
        <v>31</v>
      </c>
      <c r="AA64" s="79" t="s">
        <v>707</v>
      </c>
      <c r="AB64" s="64" t="s">
        <v>708</v>
      </c>
      <c r="AC64" s="65" t="s">
        <v>237</v>
      </c>
      <c r="AD64" s="72" t="s">
        <v>709</v>
      </c>
    </row>
    <row r="65" customFormat="false" ht="49.5" hidden="false" customHeight="true" outlineLevel="0" collapsed="false">
      <c r="A65" s="50" t="s">
        <v>710</v>
      </c>
      <c r="B65" s="76" t="s">
        <v>711</v>
      </c>
      <c r="C65" s="52" t="s">
        <v>712</v>
      </c>
      <c r="D65" s="52" t="s">
        <v>701</v>
      </c>
      <c r="E65" s="53" t="s">
        <v>713</v>
      </c>
      <c r="F65" s="53" t="s">
        <v>343</v>
      </c>
      <c r="G65" s="54" t="str">
        <f aca="false">IF($A65="","",IF($H65=0,"（尚無對應能力）",IFERROR(INDEX(16_能力商機矩陣_CapOppMap!$D$160:$CO$160,MATCH($A65,16_能力商機矩陣_CapOppMap!$D$4:$CO$4,0)),"")))</f>
        <v>D05; D07</v>
      </c>
      <c r="H65" s="55" t="n">
        <f aca="false">IF($A65="","",IFERROR(INDEX(16_能力商機矩陣_CapOppMap!$D$156:$CO$156,MATCH($A65,16_能力商機矩陣_CapOppMap!$D$4:$CO$4,0)),""))</f>
        <v>2</v>
      </c>
      <c r="I65" s="56" t="n">
        <f aca="false">IF($A65="","",IFERROR(INDEX(16_能力商機矩陣_CapOppMap!$D$157:$CO$157,MATCH($A65,16_能力商機矩陣_CapOppMap!$D$4:$CO$4,0)),""))</f>
        <v>4.5</v>
      </c>
      <c r="J65" s="56" t="n">
        <f aca="false">IF($A65="","",IFERROR(INDEX(16_能力商機矩陣_CapOppMap!$D$158:$CO$158,MATCH($A65,16_能力商機矩陣_CapOppMap!$D$4:$CO$4,0)),""))</f>
        <v>2.7</v>
      </c>
      <c r="K65" s="57" t="n">
        <f aca="false">IF($A65="","",IFERROR(INDEX(16_能力商機矩陣_CapOppMap!$D$159:$CO$159,MATCH($A65,16_能力商機矩陣_CapOppMap!$D$4:$CO$4,0)),""))</f>
        <v>1</v>
      </c>
      <c r="L65" s="58" t="str">
        <f aca="false">IF($A65="","",IF($H65=0,"★白地商機：目前無對應能力，需新增能力或找新夥伴",IF($K65&gt;0,"有缺口："&amp;$K65&amp;"項可對外招募","已有能力可承接")))</f>
        <v>有缺口：1項可對外招募</v>
      </c>
      <c r="M65" s="59" t="s">
        <v>361</v>
      </c>
      <c r="N65" s="60" t="s">
        <v>244</v>
      </c>
      <c r="O65" s="60" t="s">
        <v>228</v>
      </c>
      <c r="P65" s="59" t="s">
        <v>245</v>
      </c>
      <c r="Q65" s="60" t="s">
        <v>230</v>
      </c>
      <c r="R65" s="59" t="s">
        <v>703</v>
      </c>
      <c r="S65" s="53" t="s">
        <v>714</v>
      </c>
      <c r="T65" s="55" t="n">
        <f aca="false">IF($A65="","",COUNTIF(14_商機清單_Pipeline!$A$5:$A$34,$U65))</f>
        <v>0</v>
      </c>
      <c r="U65" s="54" t="str">
        <f aca="false">IF($B65="","",$A65&amp;" "&amp;$B65)</f>
        <v>OPP-61 ISO 15189檢驗室認證輔導</v>
      </c>
      <c r="V65" s="70" t="s">
        <v>275</v>
      </c>
      <c r="W65" s="52"/>
      <c r="X65" s="55" t="n">
        <f aca="false">IF($A65="","",IFERROR(INDEX(16_能力商機矩陣_CapOppMap!$D$162:$CO$162,MATCH($A65,16_能力商機矩陣_CapOppMap!$D$4:$CO$4,0)),""))</f>
        <v>0</v>
      </c>
      <c r="Y65" s="61" t="n">
        <f aca="false">IF(OR($A65="",$H65=""),"",IF($H65=0,"",ROUND(0.45*$I65+0.35*$J65+0.2*IF(LEFT($F65,1)="③",5,IF(LEFT($F65,1)="②",3,1))-IF($K65&gt;0,0.3,0),2)+ROW()/100000))</f>
        <v>3.67065</v>
      </c>
      <c r="Z65" s="62" t="n">
        <f aca="false">IF($Y65="","",RANK($Y65,$Y$5:$Y$94))</f>
        <v>32</v>
      </c>
      <c r="AA65" s="79" t="s">
        <v>707</v>
      </c>
      <c r="AB65" s="69" t="s">
        <v>715</v>
      </c>
      <c r="AC65" s="65" t="s">
        <v>237</v>
      </c>
      <c r="AD65" s="72" t="s">
        <v>709</v>
      </c>
    </row>
    <row r="66" customFormat="false" ht="49.5" hidden="false" customHeight="true" outlineLevel="0" collapsed="false">
      <c r="A66" s="50" t="s">
        <v>716</v>
      </c>
      <c r="B66" s="51" t="s">
        <v>717</v>
      </c>
      <c r="C66" s="52" t="s">
        <v>718</v>
      </c>
      <c r="D66" s="52" t="s">
        <v>701</v>
      </c>
      <c r="E66" s="53" t="s">
        <v>719</v>
      </c>
      <c r="F66" s="53" t="s">
        <v>225</v>
      </c>
      <c r="G66" s="54" t="str">
        <f aca="false">IF($A66="","",IF($H66=0,"（尚無對應能力）",IFERROR(INDEX(16_能力商機矩陣_CapOppMap!$D$160:$CO$160,MATCH($A66,16_能力商機矩陣_CapOppMap!$D$4:$CO$4,0)),"")))</f>
        <v>D08</v>
      </c>
      <c r="H66" s="55" t="n">
        <f aca="false">IF($A66="","",IFERROR(INDEX(16_能力商機矩陣_CapOppMap!$D$156:$CO$156,MATCH($A66,16_能力商機矩陣_CapOppMap!$D$4:$CO$4,0)),""))</f>
        <v>5</v>
      </c>
      <c r="I66" s="56" t="n">
        <f aca="false">IF($A66="","",IFERROR(INDEX(16_能力商機矩陣_CapOppMap!$D$157:$CO$157,MATCH($A66,16_能力商機矩陣_CapOppMap!$D$4:$CO$4,0)),""))</f>
        <v>4.2</v>
      </c>
      <c r="J66" s="56" t="n">
        <f aca="false">IF($A66="","",IFERROR(INDEX(16_能力商機矩陣_CapOppMap!$D$158:$CO$158,MATCH($A66,16_能力商機矩陣_CapOppMap!$D$4:$CO$4,0)),""))</f>
        <v>3</v>
      </c>
      <c r="K66" s="57" t="n">
        <f aca="false">IF($A66="","",IFERROR(INDEX(16_能力商機矩陣_CapOppMap!$D$159:$CO$159,MATCH($A66,16_能力商機矩陣_CapOppMap!$D$4:$CO$4,0)),""))</f>
        <v>1</v>
      </c>
      <c r="L66" s="58" t="str">
        <f aca="false">IF($A66="","",IF($H66=0,"★白地商機：目前無對應能力，需新增能力或找新夥伴",IF($K66&gt;0,"有缺口："&amp;$K66&amp;"項可對外招募","已有能力可承接")))</f>
        <v>有缺口：1項可對外招募</v>
      </c>
      <c r="M66" s="59" t="s">
        <v>269</v>
      </c>
      <c r="N66" s="60" t="s">
        <v>583</v>
      </c>
      <c r="O66" s="59" t="s">
        <v>584</v>
      </c>
      <c r="P66" s="59" t="s">
        <v>245</v>
      </c>
      <c r="Q66" s="60" t="s">
        <v>230</v>
      </c>
      <c r="R66" s="59" t="s">
        <v>720</v>
      </c>
      <c r="S66" s="53" t="s">
        <v>721</v>
      </c>
      <c r="T66" s="55" t="n">
        <f aca="false">IF($A66="","",COUNTIF(14_商機清單_Pipeline!$A$5:$A$34,$U66))</f>
        <v>0</v>
      </c>
      <c r="U66" s="54" t="str">
        <f aca="false">IF($B66="","",$A66&amp;" "&amp;$B66)</f>
        <v>OPP-62 臨床人才培訓、模擬中心與技術移轉</v>
      </c>
      <c r="V66" s="70" t="s">
        <v>275</v>
      </c>
      <c r="W66" s="52"/>
      <c r="X66" s="55" t="n">
        <f aca="false">IF($A66="","",IFERROR(INDEX(16_能力商機矩陣_CapOppMap!$D$162:$CO$162,MATCH($A66,16_能力商機矩陣_CapOppMap!$D$4:$CO$4,0)),""))</f>
        <v>0</v>
      </c>
      <c r="Y66" s="61" t="n">
        <f aca="false">IF(OR($A66="",$H66=""),"",IF($H66=0,"",ROUND(0.45*$I66+0.35*$J66+0.2*IF(LEFT($F66,1)="③",5,IF(LEFT($F66,1)="②",3,1))-IF($K66&gt;0,0.3,0),2)+ROW()/100000))</f>
        <v>3.24066</v>
      </c>
      <c r="Z66" s="62" t="n">
        <f aca="false">IF($Y66="","",RANK($Y66,$Y$5:$Y$94))</f>
        <v>66</v>
      </c>
      <c r="AA66" s="79" t="s">
        <v>707</v>
      </c>
      <c r="AB66" s="69" t="s">
        <v>722</v>
      </c>
      <c r="AC66" s="65" t="s">
        <v>237</v>
      </c>
      <c r="AD66" s="72" t="s">
        <v>709</v>
      </c>
    </row>
    <row r="67" customFormat="false" ht="49.5" hidden="false" customHeight="true" outlineLevel="0" collapsed="false">
      <c r="A67" s="50" t="s">
        <v>723</v>
      </c>
      <c r="B67" s="51" t="s">
        <v>724</v>
      </c>
      <c r="C67" s="52" t="s">
        <v>725</v>
      </c>
      <c r="D67" s="52" t="s">
        <v>701</v>
      </c>
      <c r="E67" s="53" t="s">
        <v>726</v>
      </c>
      <c r="F67" s="53" t="s">
        <v>343</v>
      </c>
      <c r="G67" s="54" t="str">
        <f aca="false">IF($A67="","",IF($H67=0,"（尚無對應能力）",IFERROR(INDEX(16_能力商機矩陣_CapOppMap!$D$160:$CO$160,MATCH($A67,16_能力商機矩陣_CapOppMap!$D$4:$CO$4,0)),"")))</f>
        <v>D07; D08</v>
      </c>
      <c r="H67" s="55" t="n">
        <f aca="false">IF($A67="","",IFERROR(INDEX(16_能力商機矩陣_CapOppMap!$D$156:$CO$156,MATCH($A67,16_能力商機矩陣_CapOppMap!$D$4:$CO$4,0)),""))</f>
        <v>3</v>
      </c>
      <c r="I67" s="56" t="n">
        <f aca="false">IF($A67="","",IFERROR(INDEX(16_能力商機矩陣_CapOppMap!$D$157:$CO$157,MATCH($A67,16_能力商機矩陣_CapOppMap!$D$4:$CO$4,0)),""))</f>
        <v>4.4</v>
      </c>
      <c r="J67" s="56" t="n">
        <f aca="false">IF($A67="","",IFERROR(INDEX(16_能力商機矩陣_CapOppMap!$D$158:$CO$158,MATCH($A67,16_能力商機矩陣_CapOppMap!$D$4:$CO$4,0)),""))</f>
        <v>3</v>
      </c>
      <c r="K67" s="57" t="n">
        <f aca="false">IF($A67="","",IFERROR(INDEX(16_能力商機矩陣_CapOppMap!$D$159:$CO$159,MATCH($A67,16_能力商機矩陣_CapOppMap!$D$4:$CO$4,0)),""))</f>
        <v>0</v>
      </c>
      <c r="L67" s="58" t="str">
        <f aca="false">IF($A67="","",IF($H67=0,"★白地商機：目前無對應能力，需新增能力或找新夥伴",IF($K67&gt;0,"有缺口："&amp;$K67&amp;"項可對外招募","已有能力可承接")))</f>
        <v>已有能力可承接</v>
      </c>
      <c r="M67" s="59" t="s">
        <v>344</v>
      </c>
      <c r="N67" s="60" t="s">
        <v>244</v>
      </c>
      <c r="O67" s="60" t="s">
        <v>228</v>
      </c>
      <c r="P67" s="59" t="s">
        <v>245</v>
      </c>
      <c r="Q67" s="60" t="s">
        <v>272</v>
      </c>
      <c r="R67" s="59" t="s">
        <v>727</v>
      </c>
      <c r="S67" s="53" t="s">
        <v>728</v>
      </c>
      <c r="T67" s="55" t="n">
        <f aca="false">IF($A67="","",COUNTIF(14_商機清單_Pipeline!$A$5:$A$34,$U67))</f>
        <v>0</v>
      </c>
      <c r="U67" s="54" t="str">
        <f aca="false">IF($B67="","",$A67&amp;" "&amp;$B67)</f>
        <v>OPP-63 開院前臨床安全驗證與試營運</v>
      </c>
      <c r="V67" s="70" t="s">
        <v>275</v>
      </c>
      <c r="W67" s="52"/>
      <c r="X67" s="55" t="n">
        <f aca="false">IF($A67="","",IFERROR(INDEX(16_能力商機矩陣_CapOppMap!$D$162:$CO$162,MATCH($A67,16_能力商機矩陣_CapOppMap!$D$4:$CO$4,0)),""))</f>
        <v>0</v>
      </c>
      <c r="Y67" s="61" t="n">
        <f aca="false">IF(OR($A67="",$H67=""),"",IF($H67=0,"",ROUND(0.45*$I67+0.35*$J67+0.2*IF(LEFT($F67,1)="③",5,IF(LEFT($F67,1)="②",3,1))-IF($K67&gt;0,0.3,0),2)+ROW()/100000))</f>
        <v>4.03067</v>
      </c>
      <c r="Z67" s="62" t="n">
        <f aca="false">IF($Y67="","",RANK($Y67,$Y$5:$Y$94))</f>
        <v>6</v>
      </c>
      <c r="AA67" s="79" t="s">
        <v>707</v>
      </c>
      <c r="AB67" s="64" t="s">
        <v>729</v>
      </c>
      <c r="AC67" s="65" t="s">
        <v>237</v>
      </c>
      <c r="AD67" s="72" t="s">
        <v>709</v>
      </c>
    </row>
    <row r="68" customFormat="false" ht="49.5" hidden="false" customHeight="true" outlineLevel="0" collapsed="false">
      <c r="A68" s="50" t="s">
        <v>730</v>
      </c>
      <c r="B68" s="51" t="s">
        <v>731</v>
      </c>
      <c r="C68" s="52" t="s">
        <v>732</v>
      </c>
      <c r="D68" s="52" t="s">
        <v>733</v>
      </c>
      <c r="E68" s="53" t="s">
        <v>734</v>
      </c>
      <c r="F68" s="53" t="s">
        <v>343</v>
      </c>
      <c r="G68" s="54" t="str">
        <f aca="false">IF($A68="","",IF($H68=0,"（尚無對應能力）",IFERROR(INDEX(16_能力商機矩陣_CapOppMap!$D$160:$CO$160,MATCH($A68,16_能力商機矩陣_CapOppMap!$D$4:$CO$4,0)),"")))</f>
        <v>D09</v>
      </c>
      <c r="H68" s="55" t="n">
        <f aca="false">IF($A68="","",IFERROR(INDEX(16_能力商機矩陣_CapOppMap!$D$156:$CO$156,MATCH($A68,16_能力商機矩陣_CapOppMap!$D$4:$CO$4,0)),""))</f>
        <v>2</v>
      </c>
      <c r="I68" s="56" t="n">
        <f aca="false">IF($A68="","",IFERROR(INDEX(16_能力商機矩陣_CapOppMap!$D$157:$CO$157,MATCH($A68,16_能力商機矩陣_CapOppMap!$D$4:$CO$4,0)),""))</f>
        <v>3.9</v>
      </c>
      <c r="J68" s="56" t="n">
        <f aca="false">IF($A68="","",IFERROR(INDEX(16_能力商機矩陣_CapOppMap!$D$158:$CO$158,MATCH($A68,16_能力商機矩陣_CapOppMap!$D$4:$CO$4,0)),""))</f>
        <v>3</v>
      </c>
      <c r="K68" s="57" t="n">
        <f aca="false">IF($A68="","",IFERROR(INDEX(16_能力商機矩陣_CapOppMap!$D$159:$CO$159,MATCH($A68,16_能力商機矩陣_CapOppMap!$D$4:$CO$4,0)),""))</f>
        <v>0</v>
      </c>
      <c r="L68" s="58" t="str">
        <f aca="false">IF($A68="","",IF($H68=0,"★白地商機：目前無對應能力，需新增能力或找新夥伴",IF($K68&gt;0,"有缺口："&amp;$K68&amp;"項可對外招募","已有能力可承接")))</f>
        <v>已有能力可承接</v>
      </c>
      <c r="M68" s="59" t="s">
        <v>344</v>
      </c>
      <c r="N68" s="60" t="s">
        <v>332</v>
      </c>
      <c r="O68" s="60" t="s">
        <v>333</v>
      </c>
      <c r="P68" s="59" t="s">
        <v>229</v>
      </c>
      <c r="Q68" s="60" t="s">
        <v>230</v>
      </c>
      <c r="R68" s="59" t="s">
        <v>658</v>
      </c>
      <c r="S68" s="53" t="s">
        <v>735</v>
      </c>
      <c r="T68" s="55" t="n">
        <f aca="false">IF($A68="","",COUNTIF(14_商機清單_Pipeline!$A$5:$A$34,$U68))</f>
        <v>1</v>
      </c>
      <c r="U68" s="54" t="str">
        <f aca="false">IF($B68="","",$A68&amp;" "&amp;$B68)</f>
        <v>OPP-64 院內物流SPD委外</v>
      </c>
      <c r="V68" s="53" t="s">
        <v>736</v>
      </c>
      <c r="W68" s="53" t="s">
        <v>737</v>
      </c>
      <c r="X68" s="55" t="n">
        <f aca="false">IF($A68="","",IFERROR(INDEX(16_能力商機矩陣_CapOppMap!$D$162:$CO$162,MATCH($A68,16_能力商機矩陣_CapOppMap!$D$4:$CO$4,0)),""))</f>
        <v>0</v>
      </c>
      <c r="Y68" s="61" t="n">
        <f aca="false">IF(OR($A68="",$H68=""),"",IF($H68=0,"",ROUND(0.45*$I68+0.35*$J68+0.2*IF(LEFT($F68,1)="③",5,IF(LEFT($F68,1)="②",3,1))-IF($K68&gt;0,0.3,0),2)+ROW()/100000))</f>
        <v>3.81068</v>
      </c>
      <c r="Z68" s="62" t="n">
        <f aca="false">IF($Y68="","",RANK($Y68,$Y$5:$Y$94))</f>
        <v>20</v>
      </c>
      <c r="AA68" s="79" t="s">
        <v>707</v>
      </c>
      <c r="AB68" s="64" t="s">
        <v>738</v>
      </c>
      <c r="AC68" s="73" t="s">
        <v>327</v>
      </c>
      <c r="AD68" s="66" t="s">
        <v>739</v>
      </c>
    </row>
    <row r="69" customFormat="false" ht="49.5" hidden="false" customHeight="true" outlineLevel="0" collapsed="false">
      <c r="A69" s="50" t="s">
        <v>740</v>
      </c>
      <c r="B69" s="51" t="s">
        <v>741</v>
      </c>
      <c r="C69" s="52" t="s">
        <v>742</v>
      </c>
      <c r="D69" s="52" t="s">
        <v>733</v>
      </c>
      <c r="E69" s="53" t="s">
        <v>743</v>
      </c>
      <c r="F69" s="53" t="s">
        <v>343</v>
      </c>
      <c r="G69" s="54" t="str">
        <f aca="false">IF($A69="","",IF($H69=0,"（尚無對應能力）",IFERROR(INDEX(16_能力商機矩陣_CapOppMap!$D$160:$CO$160,MATCH($A69,16_能力商機矩陣_CapOppMap!$D$4:$CO$4,0)),"")))</f>
        <v>D03; D05</v>
      </c>
      <c r="H69" s="55" t="n">
        <f aca="false">IF($A69="","",IFERROR(INDEX(16_能力商機矩陣_CapOppMap!$D$156:$CO$156,MATCH($A69,16_能力商機矩陣_CapOppMap!$D$4:$CO$4,0)),""))</f>
        <v>2</v>
      </c>
      <c r="I69" s="56" t="n">
        <f aca="false">IF($A69="","",IFERROR(INDEX(16_能力商機矩陣_CapOppMap!$D$157:$CO$157,MATCH($A69,16_能力商機矩陣_CapOppMap!$D$4:$CO$4,0)),""))</f>
        <v>4.7</v>
      </c>
      <c r="J69" s="56" t="n">
        <f aca="false">IF($A69="","",IFERROR(INDEX(16_能力商機矩陣_CapOppMap!$D$158:$CO$158,MATCH($A69,16_能力商機矩陣_CapOppMap!$D$4:$CO$4,0)),""))</f>
        <v>2.4</v>
      </c>
      <c r="K69" s="57" t="n">
        <f aca="false">IF($A69="","",IFERROR(INDEX(16_能力商機矩陣_CapOppMap!$D$159:$CO$159,MATCH($A69,16_能力商機矩陣_CapOppMap!$D$4:$CO$4,0)),""))</f>
        <v>0</v>
      </c>
      <c r="L69" s="58" t="str">
        <f aca="false">IF($A69="","",IF($H69=0,"★白地商機：目前無對應能力，需新增能力或找新夥伴",IF($K69&gt;0,"有缺口："&amp;$K69&amp;"項可對外招募","已有能力可承接")))</f>
        <v>已有能力可承接</v>
      </c>
      <c r="M69" s="59" t="s">
        <v>744</v>
      </c>
      <c r="N69" s="60" t="s">
        <v>332</v>
      </c>
      <c r="O69" s="60" t="s">
        <v>333</v>
      </c>
      <c r="P69" s="59" t="s">
        <v>229</v>
      </c>
      <c r="Q69" s="60" t="s">
        <v>230</v>
      </c>
      <c r="R69" s="59" t="s">
        <v>664</v>
      </c>
      <c r="S69" s="53" t="s">
        <v>745</v>
      </c>
      <c r="T69" s="55" t="n">
        <f aca="false">IF($A69="","",COUNTIF(14_商機清單_Pipeline!$A$5:$A$34,$U69))</f>
        <v>0</v>
      </c>
      <c r="U69" s="54" t="str">
        <f aca="false">IF($B69="","",$A69&amp;" "&amp;$B69)</f>
        <v>OPP-65 消毒供應外包（區域CSSD服務化）</v>
      </c>
      <c r="V69" s="53" t="s">
        <v>746</v>
      </c>
      <c r="W69" s="53" t="s">
        <v>747</v>
      </c>
      <c r="X69" s="55" t="n">
        <f aca="false">IF($A69="","",IFERROR(INDEX(16_能力商機矩陣_CapOppMap!$D$162:$CO$162,MATCH($A69,16_能力商機矩陣_CapOppMap!$D$4:$CO$4,0)),""))</f>
        <v>0</v>
      </c>
      <c r="Y69" s="61" t="n">
        <f aca="false">IF(OR($A69="",$H69=""),"",IF($H69=0,"",ROUND(0.45*$I69+0.35*$J69+0.2*IF(LEFT($F69,1)="③",5,IF(LEFT($F69,1)="②",3,1))-IF($K69&gt;0,0.3,0),2)+ROW()/100000))</f>
        <v>3.96069</v>
      </c>
      <c r="Z69" s="62" t="n">
        <f aca="false">IF($Y69="","",RANK($Y69,$Y$5:$Y$94))</f>
        <v>8</v>
      </c>
      <c r="AA69" s="79" t="s">
        <v>707</v>
      </c>
      <c r="AB69" s="64" t="s">
        <v>748</v>
      </c>
      <c r="AC69" s="73" t="s">
        <v>327</v>
      </c>
      <c r="AD69" s="66" t="s">
        <v>739</v>
      </c>
    </row>
    <row r="70" customFormat="false" ht="49.5" hidden="false" customHeight="true" outlineLevel="0" collapsed="false">
      <c r="A70" s="50" t="s">
        <v>749</v>
      </c>
      <c r="B70" s="51" t="s">
        <v>750</v>
      </c>
      <c r="C70" s="52" t="s">
        <v>751</v>
      </c>
      <c r="D70" s="52" t="s">
        <v>733</v>
      </c>
      <c r="E70" s="53" t="s">
        <v>752</v>
      </c>
      <c r="F70" s="53" t="s">
        <v>343</v>
      </c>
      <c r="G70" s="54" t="str">
        <f aca="false">IF($A70="","",IF($H70=0,"（尚無對應能力）",IFERROR(INDEX(16_能力商機矩陣_CapOppMap!$D$160:$CO$160,MATCH($A70,16_能力商機矩陣_CapOppMap!$D$4:$CO$4,0)),"")))</f>
        <v>D05; D09</v>
      </c>
      <c r="H70" s="55" t="n">
        <f aca="false">IF($A70="","",IFERROR(INDEX(16_能力商機矩陣_CapOppMap!$D$156:$CO$156,MATCH($A70,16_能力商機矩陣_CapOppMap!$D$4:$CO$4,0)),""))</f>
        <v>2</v>
      </c>
      <c r="I70" s="56" t="n">
        <f aca="false">IF($A70="","",IFERROR(INDEX(16_能力商機矩陣_CapOppMap!$D$157:$CO$157,MATCH($A70,16_能力商機矩陣_CapOppMap!$D$4:$CO$4,0)),""))</f>
        <v>4.2</v>
      </c>
      <c r="J70" s="56" t="n">
        <f aca="false">IF($A70="","",IFERROR(INDEX(16_能力商機矩陣_CapOppMap!$D$158:$CO$158,MATCH($A70,16_能力商機矩陣_CapOppMap!$D$4:$CO$4,0)),""))</f>
        <v>2.7</v>
      </c>
      <c r="K70" s="57" t="n">
        <f aca="false">IF($A70="","",IFERROR(INDEX(16_能力商機矩陣_CapOppMap!$D$159:$CO$159,MATCH($A70,16_能力商機矩陣_CapOppMap!$D$4:$CO$4,0)),""))</f>
        <v>0</v>
      </c>
      <c r="L70" s="58" t="str">
        <f aca="false">IF($A70="","",IF($H70=0,"★白地商機：目前無對應能力，需新增能力或找新夥伴",IF($K70&gt;0,"有缺口："&amp;$K70&amp;"項可對外招募","已有能力可承接")))</f>
        <v>已有能力可承接</v>
      </c>
      <c r="M70" s="59" t="s">
        <v>744</v>
      </c>
      <c r="N70" s="60" t="s">
        <v>332</v>
      </c>
      <c r="O70" s="60" t="s">
        <v>333</v>
      </c>
      <c r="P70" s="59" t="s">
        <v>229</v>
      </c>
      <c r="Q70" s="60" t="s">
        <v>230</v>
      </c>
      <c r="R70" s="59" t="s">
        <v>354</v>
      </c>
      <c r="S70" s="53" t="s">
        <v>753</v>
      </c>
      <c r="T70" s="55" t="n">
        <f aca="false">IF($A70="","",COUNTIF(14_商機清單_Pipeline!$A$5:$A$34,$U70))</f>
        <v>0</v>
      </c>
      <c r="U70" s="54" t="str">
        <f aca="false">IF($B70="","",$A70&amp;" "&amp;$B70)</f>
        <v>OPP-66 醫材維運與託管服務(MES)</v>
      </c>
      <c r="V70" s="53" t="s">
        <v>754</v>
      </c>
      <c r="W70" s="53" t="s">
        <v>755</v>
      </c>
      <c r="X70" s="55" t="n">
        <f aca="false">IF($A70="","",IFERROR(INDEX(16_能力商機矩陣_CapOppMap!$D$162:$CO$162,MATCH($A70,16_能力商機矩陣_CapOppMap!$D$4:$CO$4,0)),""))</f>
        <v>0</v>
      </c>
      <c r="Y70" s="61" t="n">
        <f aca="false">IF(OR($A70="",$H70=""),"",IF($H70=0,"",ROUND(0.45*$I70+0.35*$J70+0.2*IF(LEFT($F70,1)="③",5,IF(LEFT($F70,1)="②",3,1))-IF($K70&gt;0,0.3,0),2)+ROW()/100000))</f>
        <v>3.8407</v>
      </c>
      <c r="Z70" s="62" t="n">
        <f aca="false">IF($Y70="","",RANK($Y70,$Y$5:$Y$94))</f>
        <v>18</v>
      </c>
      <c r="AA70" s="79" t="s">
        <v>707</v>
      </c>
      <c r="AB70" s="64" t="s">
        <v>756</v>
      </c>
      <c r="AC70" s="65" t="s">
        <v>237</v>
      </c>
      <c r="AD70" s="66" t="s">
        <v>739</v>
      </c>
    </row>
    <row r="71" customFormat="false" ht="49.5" hidden="false" customHeight="true" outlineLevel="0" collapsed="false">
      <c r="A71" s="50" t="s">
        <v>757</v>
      </c>
      <c r="B71" s="51" t="s">
        <v>758</v>
      </c>
      <c r="C71" s="52" t="s">
        <v>759</v>
      </c>
      <c r="D71" s="52" t="s">
        <v>733</v>
      </c>
      <c r="E71" s="53" t="s">
        <v>760</v>
      </c>
      <c r="F71" s="53" t="s">
        <v>343</v>
      </c>
      <c r="G71" s="54" t="str">
        <f aca="false">IF($A71="","",IF($H71=0,"（尚無對應能力）",IFERROR(INDEX(16_能力商機矩陣_CapOppMap!$D$160:$CO$160,MATCH($A71,16_能力商機矩陣_CapOppMap!$D$4:$CO$4,0)),"")))</f>
        <v>D09</v>
      </c>
      <c r="H71" s="55" t="n">
        <f aca="false">IF($A71="","",IFERROR(INDEX(16_能力商機矩陣_CapOppMap!$D$156:$CO$156,MATCH($A71,16_能力商機矩陣_CapOppMap!$D$4:$CO$4,0)),""))</f>
        <v>1</v>
      </c>
      <c r="I71" s="56" t="n">
        <f aca="false">IF($A71="","",IFERROR(INDEX(16_能力商機矩陣_CapOppMap!$D$157:$CO$157,MATCH($A71,16_能力商機矩陣_CapOppMap!$D$4:$CO$4,0)),""))</f>
        <v>3.7</v>
      </c>
      <c r="J71" s="56" t="n">
        <f aca="false">IF($A71="","",IFERROR(INDEX(16_能力商機矩陣_CapOppMap!$D$158:$CO$158,MATCH($A71,16_能力商機矩陣_CapOppMap!$D$4:$CO$4,0)),""))</f>
        <v>3.4</v>
      </c>
      <c r="K71" s="57" t="n">
        <f aca="false">IF($A71="","",IFERROR(INDEX(16_能力商機矩陣_CapOppMap!$D$159:$CO$159,MATCH($A71,16_能力商機矩陣_CapOppMap!$D$4:$CO$4,0)),""))</f>
        <v>0</v>
      </c>
      <c r="L71" s="58" t="str">
        <f aca="false">IF($A71="","",IF($H71=0,"★白地商機：目前無對應能力，需新增能力或找新夥伴",IF($K71&gt;0,"有缺口："&amp;$K71&amp;"項可對外招募","已有能力可承接")))</f>
        <v>已有能力可承接</v>
      </c>
      <c r="M71" s="59" t="s">
        <v>744</v>
      </c>
      <c r="N71" s="60" t="s">
        <v>332</v>
      </c>
      <c r="O71" s="60" t="s">
        <v>333</v>
      </c>
      <c r="P71" s="59" t="s">
        <v>229</v>
      </c>
      <c r="Q71" s="60" t="s">
        <v>230</v>
      </c>
      <c r="R71" s="59" t="s">
        <v>664</v>
      </c>
      <c r="S71" s="53" t="s">
        <v>761</v>
      </c>
      <c r="T71" s="55" t="n">
        <f aca="false">IF($A71="","",COUNTIF(14_商機清單_Pipeline!$A$5:$A$34,$U71))</f>
        <v>0</v>
      </c>
      <c r="U71" s="54" t="str">
        <f aca="false">IF($B71="","",$A71&amp;" "&amp;$B71)</f>
        <v>OPP-67 醫院設施管理委外（醫療級FM）</v>
      </c>
      <c r="V71" s="70" t="s">
        <v>275</v>
      </c>
      <c r="W71" s="52"/>
      <c r="X71" s="55" t="n">
        <f aca="false">IF($A71="","",IFERROR(INDEX(16_能力商機矩陣_CapOppMap!$D$162:$CO$162,MATCH($A71,16_能力商機矩陣_CapOppMap!$D$4:$CO$4,0)),""))</f>
        <v>1</v>
      </c>
      <c r="Y71" s="61" t="n">
        <f aca="false">IF(OR($A71="",$H71=""),"",IF($H71=0,"",ROUND(0.45*$I71+0.35*$J71+0.2*IF(LEFT($F71,1)="③",5,IF(LEFT($F71,1)="②",3,1))-IF($K71&gt;0,0.3,0),2)+ROW()/100000))</f>
        <v>3.86071</v>
      </c>
      <c r="Z71" s="62" t="n">
        <f aca="false">IF($Y71="","",RANK($Y71,$Y$5:$Y$94))</f>
        <v>15</v>
      </c>
      <c r="AA71" s="79" t="s">
        <v>707</v>
      </c>
      <c r="AB71" s="64" t="s">
        <v>762</v>
      </c>
      <c r="AC71" s="65" t="s">
        <v>237</v>
      </c>
      <c r="AD71" s="66" t="s">
        <v>739</v>
      </c>
    </row>
    <row r="72" customFormat="false" ht="49.5" hidden="false" customHeight="true" outlineLevel="0" collapsed="false">
      <c r="A72" s="50" t="s">
        <v>763</v>
      </c>
      <c r="B72" s="51" t="s">
        <v>764</v>
      </c>
      <c r="C72" s="52" t="s">
        <v>765</v>
      </c>
      <c r="D72" s="52" t="s">
        <v>733</v>
      </c>
      <c r="E72" s="53" t="s">
        <v>766</v>
      </c>
      <c r="F72" s="53" t="s">
        <v>225</v>
      </c>
      <c r="G72" s="54" t="str">
        <f aca="false">IF($A72="","",IF($H72=0,"（尚無對應能力）",IFERROR(INDEX(16_能力商機矩陣_CapOppMap!$D$160:$CO$160,MATCH($A72,16_能力商機矩陣_CapOppMap!$D$4:$CO$4,0)),"")))</f>
        <v>D09</v>
      </c>
      <c r="H72" s="55" t="n">
        <f aca="false">IF($A72="","",IFERROR(INDEX(16_能力商機矩陣_CapOppMap!$D$156:$CO$156,MATCH($A72,16_能力商機矩陣_CapOppMap!$D$4:$CO$4,0)),""))</f>
        <v>1</v>
      </c>
      <c r="I72" s="56" t="n">
        <f aca="false">IF($A72="","",IFERROR(INDEX(16_能力商機矩陣_CapOppMap!$D$157:$CO$157,MATCH($A72,16_能力商機矩陣_CapOppMap!$D$4:$CO$4,0)),""))</f>
        <v>4</v>
      </c>
      <c r="J72" s="56" t="n">
        <f aca="false">IF($A72="","",IFERROR(INDEX(16_能力商機矩陣_CapOppMap!$D$158:$CO$158,MATCH($A72,16_能力商機矩陣_CapOppMap!$D$4:$CO$4,0)),""))</f>
        <v>3</v>
      </c>
      <c r="K72" s="57" t="n">
        <f aca="false">IF($A72="","",IFERROR(INDEX(16_能力商機矩陣_CapOppMap!$D$159:$CO$159,MATCH($A72,16_能力商機矩陣_CapOppMap!$D$4:$CO$4,0)),""))</f>
        <v>0</v>
      </c>
      <c r="L72" s="58" t="str">
        <f aca="false">IF($A72="","",IF($H72=0,"★白地商機：目前無對應能力，需新增能力或找新夥伴",IF($K72&gt;0,"有缺口："&amp;$K72&amp;"項可對外招募","已有能力可承接")))</f>
        <v>已有能力可承接</v>
      </c>
      <c r="M72" s="59" t="s">
        <v>344</v>
      </c>
      <c r="N72" s="60" t="s">
        <v>332</v>
      </c>
      <c r="O72" s="60" t="s">
        <v>333</v>
      </c>
      <c r="P72" s="59" t="s">
        <v>245</v>
      </c>
      <c r="Q72" s="60" t="s">
        <v>230</v>
      </c>
      <c r="R72" s="59" t="s">
        <v>658</v>
      </c>
      <c r="S72" s="53" t="s">
        <v>767</v>
      </c>
      <c r="T72" s="55" t="n">
        <f aca="false">IF($A72="","",COUNTIF(14_商機清單_Pipeline!$A$5:$A$34,$U72))</f>
        <v>0</v>
      </c>
      <c r="U72" s="54" t="str">
        <f aca="false">IF($B72="","",$A72&amp;" "&amp;$B72)</f>
        <v>OPP-68 冷鏈與特殊物料物流</v>
      </c>
      <c r="V72" s="70" t="s">
        <v>275</v>
      </c>
      <c r="W72" s="52"/>
      <c r="X72" s="55" t="n">
        <f aca="false">IF($A72="","",IFERROR(INDEX(16_能力商機矩陣_CapOppMap!$D$162:$CO$162,MATCH($A72,16_能力商機矩陣_CapOppMap!$D$4:$CO$4,0)),""))</f>
        <v>0</v>
      </c>
      <c r="Y72" s="61" t="n">
        <f aca="false">IF(OR($A72="",$H72=""),"",IF($H72=0,"",ROUND(0.45*$I72+0.35*$J72+0.2*IF(LEFT($F72,1)="③",5,IF(LEFT($F72,1)="②",3,1))-IF($K72&gt;0,0.3,0),2)+ROW()/100000))</f>
        <v>3.45072</v>
      </c>
      <c r="Z72" s="62" t="n">
        <f aca="false">IF($Y72="","",RANK($Y72,$Y$5:$Y$94))</f>
        <v>48</v>
      </c>
      <c r="AA72" s="79" t="s">
        <v>707</v>
      </c>
      <c r="AB72" s="64" t="s">
        <v>768</v>
      </c>
      <c r="AC72" s="65" t="s">
        <v>237</v>
      </c>
      <c r="AD72" s="66" t="s">
        <v>739</v>
      </c>
    </row>
    <row r="73" customFormat="false" ht="49.5" hidden="false" customHeight="true" outlineLevel="0" collapsed="false">
      <c r="A73" s="50" t="s">
        <v>769</v>
      </c>
      <c r="B73" s="51" t="s">
        <v>770</v>
      </c>
      <c r="C73" s="52" t="s">
        <v>771</v>
      </c>
      <c r="D73" s="52" t="s">
        <v>733</v>
      </c>
      <c r="E73" s="53" t="s">
        <v>772</v>
      </c>
      <c r="F73" s="53" t="s">
        <v>225</v>
      </c>
      <c r="G73" s="54" t="str">
        <f aca="false">IF($A73="","",IF($H73=0,"（尚無對應能力）",IFERROR(INDEX(16_能力商機矩陣_CapOppMap!$D$160:$CO$160,MATCH($A73,16_能力商機矩陣_CapOppMap!$D$4:$CO$4,0)),"")))</f>
        <v>D03; D09</v>
      </c>
      <c r="H73" s="55" t="n">
        <f aca="false">IF($A73="","",IFERROR(INDEX(16_能力商機矩陣_CapOppMap!$D$156:$CO$156,MATCH($A73,16_能力商機矩陣_CapOppMap!$D$4:$CO$4,0)),""))</f>
        <v>2</v>
      </c>
      <c r="I73" s="56" t="n">
        <f aca="false">IF($A73="","",IFERROR(INDEX(16_能力商機矩陣_CapOppMap!$D$157:$CO$157,MATCH($A73,16_能力商機矩陣_CapOppMap!$D$4:$CO$4,0)),""))</f>
        <v>4.1</v>
      </c>
      <c r="J73" s="56" t="n">
        <f aca="false">IF($A73="","",IFERROR(INDEX(16_能力商機矩陣_CapOppMap!$D$158:$CO$158,MATCH($A73,16_能力商機矩陣_CapOppMap!$D$4:$CO$4,0)),""))</f>
        <v>2.7</v>
      </c>
      <c r="K73" s="57" t="n">
        <f aca="false">IF($A73="","",IFERROR(INDEX(16_能力商機矩陣_CapOppMap!$D$159:$CO$159,MATCH($A73,16_能力商機矩陣_CapOppMap!$D$4:$CO$4,0)),""))</f>
        <v>0</v>
      </c>
      <c r="L73" s="58" t="str">
        <f aca="false">IF($A73="","",IF($H73=0,"★白地商機：目前無對應能力，需新增能力或找新夥伴",IF($K73&gt;0,"有缺口："&amp;$K73&amp;"項可對外招募","已有能力可承接")))</f>
        <v>已有能力可承接</v>
      </c>
      <c r="M73" s="59" t="s">
        <v>744</v>
      </c>
      <c r="N73" s="60" t="s">
        <v>332</v>
      </c>
      <c r="O73" s="60" t="s">
        <v>333</v>
      </c>
      <c r="P73" s="59" t="s">
        <v>229</v>
      </c>
      <c r="Q73" s="60" t="s">
        <v>230</v>
      </c>
      <c r="R73" s="59" t="s">
        <v>334</v>
      </c>
      <c r="S73" s="53" t="s">
        <v>773</v>
      </c>
      <c r="T73" s="55" t="n">
        <f aca="false">IF($A73="","",COUNTIF(14_商機清單_Pipeline!$A$5:$A$34,$U73))</f>
        <v>0</v>
      </c>
      <c r="U73" s="54" t="str">
        <f aca="false">IF($B73="","",$A73&amp;" "&amp;$B73)</f>
        <v>OPP-69 醫療廢棄物收運處理服務</v>
      </c>
      <c r="V73" s="70" t="s">
        <v>275</v>
      </c>
      <c r="W73" s="52"/>
      <c r="X73" s="55" t="n">
        <f aca="false">IF($A73="","",IFERROR(INDEX(16_能力商機矩陣_CapOppMap!$D$162:$CO$162,MATCH($A73,16_能力商機矩陣_CapOppMap!$D$4:$CO$4,0)),""))</f>
        <v>0</v>
      </c>
      <c r="Y73" s="61" t="n">
        <f aca="false">IF(OR($A73="",$H73=""),"",IF($H73=0,"",ROUND(0.45*$I73+0.35*$J73+0.2*IF(LEFT($F73,1)="③",5,IF(LEFT($F73,1)="②",3,1))-IF($K73&gt;0,0.3,0),2)+ROW()/100000))</f>
        <v>3.39073</v>
      </c>
      <c r="Z73" s="62" t="n">
        <f aca="false">IF($Y73="","",RANK($Y73,$Y$5:$Y$94))</f>
        <v>52</v>
      </c>
      <c r="AA73" s="79" t="s">
        <v>707</v>
      </c>
      <c r="AB73" s="64" t="s">
        <v>774</v>
      </c>
      <c r="AC73" s="65" t="s">
        <v>237</v>
      </c>
      <c r="AD73" s="66" t="s">
        <v>739</v>
      </c>
    </row>
    <row r="74" customFormat="false" ht="49.5" hidden="false" customHeight="true" outlineLevel="0" collapsed="false">
      <c r="A74" s="50" t="s">
        <v>775</v>
      </c>
      <c r="B74" s="51" t="s">
        <v>776</v>
      </c>
      <c r="C74" s="52" t="s">
        <v>777</v>
      </c>
      <c r="D74" s="52" t="s">
        <v>733</v>
      </c>
      <c r="E74" s="53" t="s">
        <v>778</v>
      </c>
      <c r="F74" s="53" t="s">
        <v>225</v>
      </c>
      <c r="G74" s="54" t="str">
        <f aca="false">IF($A74="","",IF($H74=0,"（尚無對應能力）",IFERROR(INDEX(16_能力商機矩陣_CapOppMap!$D$160:$CO$160,MATCH($A74,16_能力商機矩陣_CapOppMap!$D$4:$CO$4,0)),"")))</f>
        <v>D09</v>
      </c>
      <c r="H74" s="55" t="n">
        <f aca="false">IF($A74="","",IFERROR(INDEX(16_能力商機矩陣_CapOppMap!$D$156:$CO$156,MATCH($A74,16_能力商機矩陣_CapOppMap!$D$4:$CO$4,0)),""))</f>
        <v>1</v>
      </c>
      <c r="I74" s="56" t="n">
        <f aca="false">IF($A74="","",IFERROR(INDEX(16_能力商機矩陣_CapOppMap!$D$157:$CO$157,MATCH($A74,16_能力商機矩陣_CapOppMap!$D$4:$CO$4,0)),""))</f>
        <v>3.7</v>
      </c>
      <c r="J74" s="56" t="n">
        <f aca="false">IF($A74="","",IFERROR(INDEX(16_能力商機矩陣_CapOppMap!$D$158:$CO$158,MATCH($A74,16_能力商機矩陣_CapOppMap!$D$4:$CO$4,0)),""))</f>
        <v>3</v>
      </c>
      <c r="K74" s="57" t="n">
        <f aca="false">IF($A74="","",IFERROR(INDEX(16_能力商機矩陣_CapOppMap!$D$159:$CO$159,MATCH($A74,16_能力商機矩陣_CapOppMap!$D$4:$CO$4,0)),""))</f>
        <v>0</v>
      </c>
      <c r="L74" s="58" t="str">
        <f aca="false">IF($A74="","",IF($H74=0,"★白地商機：目前無對應能力，需新增能力或找新夥伴",IF($K74&gt;0,"有缺口："&amp;$K74&amp;"項可對外招募","已有能力可承接")))</f>
        <v>已有能力可承接</v>
      </c>
      <c r="M74" s="59" t="s">
        <v>744</v>
      </c>
      <c r="N74" s="60" t="s">
        <v>332</v>
      </c>
      <c r="O74" s="60" t="s">
        <v>333</v>
      </c>
      <c r="P74" s="59" t="s">
        <v>245</v>
      </c>
      <c r="Q74" s="60" t="s">
        <v>230</v>
      </c>
      <c r="R74" s="59" t="s">
        <v>664</v>
      </c>
      <c r="S74" s="53" t="s">
        <v>779</v>
      </c>
      <c r="T74" s="55" t="n">
        <f aca="false">IF($A74="","",COUNTIF(14_商機清單_Pipeline!$A$5:$A$34,$U74))</f>
        <v>0</v>
      </c>
      <c r="U74" s="54" t="str">
        <f aca="false">IF($B74="","",$A74&amp;" "&amp;$B74)</f>
        <v>OPP-70 在地備品、維修與汰換服務網</v>
      </c>
      <c r="V74" s="70" t="s">
        <v>275</v>
      </c>
      <c r="W74" s="52"/>
      <c r="X74" s="55" t="n">
        <f aca="false">IF($A74="","",IFERROR(INDEX(16_能力商機矩陣_CapOppMap!$D$162:$CO$162,MATCH($A74,16_能力商機矩陣_CapOppMap!$D$4:$CO$4,0)),""))</f>
        <v>0</v>
      </c>
      <c r="Y74" s="61" t="n">
        <f aca="false">IF(OR($A74="",$H74=""),"",IF($H74=0,"",ROUND(0.45*$I74+0.35*$J74+0.2*IF(LEFT($F74,1)="③",5,IF(LEFT($F74,1)="②",3,1))-IF($K74&gt;0,0.3,0),2)+ROW()/100000))</f>
        <v>3.32074</v>
      </c>
      <c r="Z74" s="62" t="n">
        <f aca="false">IF($Y74="","",RANK($Y74,$Y$5:$Y$94))</f>
        <v>56</v>
      </c>
      <c r="AA74" s="79" t="s">
        <v>707</v>
      </c>
      <c r="AB74" s="64" t="s">
        <v>250</v>
      </c>
      <c r="AC74" s="67" t="s">
        <v>251</v>
      </c>
      <c r="AD74" s="66" t="s">
        <v>739</v>
      </c>
    </row>
    <row r="75" customFormat="false" ht="49.5" hidden="false" customHeight="true" outlineLevel="0" collapsed="false">
      <c r="A75" s="50" t="s">
        <v>780</v>
      </c>
      <c r="B75" s="51" t="s">
        <v>781</v>
      </c>
      <c r="C75" s="52" t="s">
        <v>782</v>
      </c>
      <c r="D75" s="52" t="s">
        <v>783</v>
      </c>
      <c r="E75" s="53" t="s">
        <v>784</v>
      </c>
      <c r="F75" s="53" t="s">
        <v>343</v>
      </c>
      <c r="G75" s="54" t="str">
        <f aca="false">IF($A75="","",IF($H75=0,"（尚無對應能力）",IFERROR(INDEX(16_能力商機矩陣_CapOppMap!$D$160:$CO$160,MATCH($A75,16_能力商機矩陣_CapOppMap!$D$4:$CO$4,0)),"")))</f>
        <v>D05</v>
      </c>
      <c r="H75" s="55" t="n">
        <f aca="false">IF($A75="","",IFERROR(INDEX(16_能力商機矩陣_CapOppMap!$D$156:$CO$156,MATCH($A75,16_能力商機矩陣_CapOppMap!$D$4:$CO$4,0)),""))</f>
        <v>1</v>
      </c>
      <c r="I75" s="56" t="n">
        <f aca="false">IF($A75="","",IFERROR(INDEX(16_能力商機矩陣_CapOppMap!$D$157:$CO$157,MATCH($A75,16_能力商機矩陣_CapOppMap!$D$4:$CO$4,0)),""))</f>
        <v>4.7</v>
      </c>
      <c r="J75" s="56" t="n">
        <f aca="false">IF($A75="","",IFERROR(INDEX(16_能力商機矩陣_CapOppMap!$D$158:$CO$158,MATCH($A75,16_能力商機矩陣_CapOppMap!$D$4:$CO$4,0)),""))</f>
        <v>2.4</v>
      </c>
      <c r="K75" s="57" t="n">
        <f aca="false">IF($A75="","",IFERROR(INDEX(16_能力商機矩陣_CapOppMap!$D$159:$CO$159,MATCH($A75,16_能力商機矩陣_CapOppMap!$D$4:$CO$4,0)),""))</f>
        <v>0</v>
      </c>
      <c r="L75" s="58" t="str">
        <f aca="false">IF($A75="","",IF($H75=0,"★白地商機：目前無對應能力，需新增能力或找新夥伴",IF($K75&gt;0,"有缺口："&amp;$K75&amp;"項可對外招募","已有能力可承接")))</f>
        <v>已有能力可承接</v>
      </c>
      <c r="M75" s="59" t="s">
        <v>744</v>
      </c>
      <c r="N75" s="60" t="s">
        <v>645</v>
      </c>
      <c r="O75" s="60" t="s">
        <v>257</v>
      </c>
      <c r="P75" s="59" t="s">
        <v>229</v>
      </c>
      <c r="Q75" s="60" t="s">
        <v>230</v>
      </c>
      <c r="R75" s="59" t="s">
        <v>785</v>
      </c>
      <c r="S75" s="53" t="s">
        <v>786</v>
      </c>
      <c r="T75" s="55" t="n">
        <f aca="false">IF($A75="","",COUNTIF(14_商機清單_Pipeline!$A$5:$A$34,$U75))</f>
        <v>0</v>
      </c>
      <c r="U75" s="54" t="str">
        <f aca="false">IF($B75="","",$A75&amp;" "&amp;$B75)</f>
        <v>OPP-71 洗腎連鎖（衛星洗腎中心）</v>
      </c>
      <c r="V75" s="53" t="s">
        <v>787</v>
      </c>
      <c r="W75" s="53" t="s">
        <v>788</v>
      </c>
      <c r="X75" s="55" t="n">
        <f aca="false">IF($A75="","",IFERROR(INDEX(16_能力商機矩陣_CapOppMap!$D$162:$CO$162,MATCH($A75,16_能力商機矩陣_CapOppMap!$D$4:$CO$4,0)),""))</f>
        <v>0</v>
      </c>
      <c r="Y75" s="61" t="n">
        <f aca="false">IF(OR($A75="",$H75=""),"",IF($H75=0,"",ROUND(0.45*$I75+0.35*$J75+0.2*IF(LEFT($F75,1)="③",5,IF(LEFT($F75,1)="②",3,1))-IF($K75&gt;0,0.3,0),2)+ROW()/100000))</f>
        <v>3.96075</v>
      </c>
      <c r="Z75" s="62" t="n">
        <f aca="false">IF($Y75="","",RANK($Y75,$Y$5:$Y$94))</f>
        <v>7</v>
      </c>
      <c r="AA75" s="79" t="s">
        <v>707</v>
      </c>
      <c r="AB75" s="64" t="s">
        <v>789</v>
      </c>
      <c r="AC75" s="65" t="s">
        <v>237</v>
      </c>
      <c r="AD75" s="72" t="s">
        <v>790</v>
      </c>
    </row>
    <row r="76" customFormat="false" ht="49.5" hidden="false" customHeight="true" outlineLevel="0" collapsed="false">
      <c r="A76" s="50" t="s">
        <v>791</v>
      </c>
      <c r="B76" s="51" t="s">
        <v>792</v>
      </c>
      <c r="C76" s="52" t="s">
        <v>793</v>
      </c>
      <c r="D76" s="52" t="s">
        <v>783</v>
      </c>
      <c r="E76" s="53" t="s">
        <v>794</v>
      </c>
      <c r="F76" s="53" t="s">
        <v>343</v>
      </c>
      <c r="G76" s="54" t="str">
        <f aca="false">IF($A76="","",IF($H76=0,"（尚無對應能力）",IFERROR(INDEX(16_能力商機矩陣_CapOppMap!$D$160:$CO$160,MATCH($A76,16_能力商機矩陣_CapOppMap!$D$4:$CO$4,0)),"")))</f>
        <v>D02; D05</v>
      </c>
      <c r="H76" s="55" t="n">
        <f aca="false">IF($A76="","",IFERROR(INDEX(16_能力商機矩陣_CapOppMap!$D$156:$CO$156,MATCH($A76,16_能力商機矩陣_CapOppMap!$D$4:$CO$4,0)),""))</f>
        <v>2</v>
      </c>
      <c r="I76" s="56" t="n">
        <f aca="false">IF($A76="","",IFERROR(INDEX(16_能力商機矩陣_CapOppMap!$D$157:$CO$157,MATCH($A76,16_能力商機矩陣_CapOppMap!$D$4:$CO$4,0)),""))</f>
        <v>4.7</v>
      </c>
      <c r="J76" s="56" t="n">
        <f aca="false">IF($A76="","",IFERROR(INDEX(16_能力商機矩陣_CapOppMap!$D$158:$CO$158,MATCH($A76,16_能力商機矩陣_CapOppMap!$D$4:$CO$4,0)),""))</f>
        <v>2.6</v>
      </c>
      <c r="K76" s="57" t="n">
        <f aca="false">IF($A76="","",IFERROR(INDEX(16_能力商機矩陣_CapOppMap!$D$159:$CO$159,MATCH($A76,16_能力商機矩陣_CapOppMap!$D$4:$CO$4,0)),""))</f>
        <v>1</v>
      </c>
      <c r="L76" s="58" t="str">
        <f aca="false">IF($A76="","",IF($H76=0,"★白地商機：目前無對應能力，需新增能力或找新夥伴",IF($K76&gt;0,"有缺口："&amp;$K76&amp;"項可對外招募","已有能力可承接")))</f>
        <v>有缺口：1項可對外招募</v>
      </c>
      <c r="M76" s="59" t="s">
        <v>744</v>
      </c>
      <c r="N76" s="60" t="s">
        <v>407</v>
      </c>
      <c r="O76" s="60" t="s">
        <v>257</v>
      </c>
      <c r="P76" s="59" t="s">
        <v>271</v>
      </c>
      <c r="Q76" s="60" t="s">
        <v>230</v>
      </c>
      <c r="R76" s="59" t="s">
        <v>785</v>
      </c>
      <c r="S76" s="52" t="s">
        <v>795</v>
      </c>
      <c r="T76" s="55" t="n">
        <f aca="false">IF($A76="","",COUNTIF(14_商機清單_Pipeline!$A$5:$A$34,$U76))</f>
        <v>0</v>
      </c>
      <c r="U76" s="54" t="str">
        <f aca="false">IF($B76="","",$A76&amp;" "&amp;$B76)</f>
        <v>OPP-72 日間手術中心(ASC)</v>
      </c>
      <c r="V76" s="53" t="s">
        <v>796</v>
      </c>
      <c r="W76" s="53" t="s">
        <v>797</v>
      </c>
      <c r="X76" s="55" t="n">
        <f aca="false">IF($A76="","",IFERROR(INDEX(16_能力商機矩陣_CapOppMap!$D$162:$CO$162,MATCH($A76,16_能力商機矩陣_CapOppMap!$D$4:$CO$4,0)),""))</f>
        <v>0</v>
      </c>
      <c r="Y76" s="61" t="n">
        <f aca="false">IF(OR($A76="",$H76=""),"",IF($H76=0,"",ROUND(0.45*$I76+0.35*$J76+0.2*IF(LEFT($F76,1)="③",5,IF(LEFT($F76,1)="②",3,1))-IF($K76&gt;0,0.3,0),2)+ROW()/100000))</f>
        <v>3.73076</v>
      </c>
      <c r="Z76" s="62" t="n">
        <f aca="false">IF($Y76="","",RANK($Y76,$Y$5:$Y$94))</f>
        <v>26</v>
      </c>
      <c r="AA76" s="79" t="s">
        <v>707</v>
      </c>
      <c r="AB76" s="64" t="s">
        <v>798</v>
      </c>
      <c r="AC76" s="73" t="s">
        <v>327</v>
      </c>
      <c r="AD76" s="72" t="s">
        <v>790</v>
      </c>
    </row>
    <row r="77" customFormat="false" ht="49.5" hidden="false" customHeight="true" outlineLevel="0" collapsed="false">
      <c r="A77" s="50" t="s">
        <v>799</v>
      </c>
      <c r="B77" s="51" t="s">
        <v>800</v>
      </c>
      <c r="C77" s="52" t="s">
        <v>801</v>
      </c>
      <c r="D77" s="52" t="s">
        <v>783</v>
      </c>
      <c r="E77" s="53" t="s">
        <v>802</v>
      </c>
      <c r="F77" s="53" t="s">
        <v>343</v>
      </c>
      <c r="G77" s="54" t="str">
        <f aca="false">IF($A77="","",IF($H77=0,"（尚無對應能力）",IFERROR(INDEX(16_能力商機矩陣_CapOppMap!$D$160:$CO$160,MATCH($A77,16_能力商機矩陣_CapOppMap!$D$4:$CO$4,0)),"")))</f>
        <v>D05</v>
      </c>
      <c r="H77" s="55" t="n">
        <f aca="false">IF($A77="","",IFERROR(INDEX(16_能力商機矩陣_CapOppMap!$D$156:$CO$156,MATCH($A77,16_能力商機矩陣_CapOppMap!$D$4:$CO$4,0)),""))</f>
        <v>2</v>
      </c>
      <c r="I77" s="56" t="n">
        <f aca="false">IF($A77="","",IFERROR(INDEX(16_能力商機矩陣_CapOppMap!$D$157:$CO$157,MATCH($A77,16_能力商機矩陣_CapOppMap!$D$4:$CO$4,0)),""))</f>
        <v>4.7</v>
      </c>
      <c r="J77" s="56" t="n">
        <f aca="false">IF($A77="","",IFERROR(INDEX(16_能力商機矩陣_CapOppMap!$D$158:$CO$158,MATCH($A77,16_能力商機矩陣_CapOppMap!$D$4:$CO$4,0)),""))</f>
        <v>2.4</v>
      </c>
      <c r="K77" s="57" t="n">
        <f aca="false">IF($A77="","",IFERROR(INDEX(16_能力商機矩陣_CapOppMap!$D$159:$CO$159,MATCH($A77,16_能力商機矩陣_CapOppMap!$D$4:$CO$4,0)),""))</f>
        <v>1</v>
      </c>
      <c r="L77" s="58" t="str">
        <f aca="false">IF($A77="","",IF($H77=0,"★白地商機：目前無對應能力，需新增能力或找新夥伴",IF($K77&gt;0,"有缺口："&amp;$K77&amp;"項可對外招募","已有能力可承接")))</f>
        <v>有缺口：1項可對外招募</v>
      </c>
      <c r="M77" s="59" t="s">
        <v>744</v>
      </c>
      <c r="N77" s="60" t="s">
        <v>645</v>
      </c>
      <c r="O77" s="60" t="s">
        <v>270</v>
      </c>
      <c r="P77" s="59" t="s">
        <v>258</v>
      </c>
      <c r="Q77" s="60" t="s">
        <v>272</v>
      </c>
      <c r="R77" s="59" t="s">
        <v>785</v>
      </c>
      <c r="S77" s="53" t="s">
        <v>803</v>
      </c>
      <c r="T77" s="55" t="n">
        <f aca="false">IF($A77="","",COUNTIF(14_商機清單_Pipeline!$A$5:$A$34,$U77))</f>
        <v>0</v>
      </c>
      <c r="U77" s="54" t="str">
        <f aca="false">IF($B77="","",$A77&amp;" "&amp;$B77)</f>
        <v>OPP-73 癌症中心合資經營</v>
      </c>
      <c r="V77" s="52" t="s">
        <v>804</v>
      </c>
      <c r="W77" s="53" t="s">
        <v>805</v>
      </c>
      <c r="X77" s="55" t="n">
        <f aca="false">IF($A77="","",IFERROR(INDEX(16_能力商機矩陣_CapOppMap!$D$162:$CO$162,MATCH($A77,16_能力商機矩陣_CapOppMap!$D$4:$CO$4,0)),""))</f>
        <v>0</v>
      </c>
      <c r="Y77" s="61" t="n">
        <f aca="false">IF(OR($A77="",$H77=""),"",IF($H77=0,"",ROUND(0.45*$I77+0.35*$J77+0.2*IF(LEFT($F77,1)="③",5,IF(LEFT($F77,1)="②",3,1))-IF($K77&gt;0,0.3,0),2)+ROW()/100000))</f>
        <v>3.66077</v>
      </c>
      <c r="Z77" s="62" t="n">
        <f aca="false">IF($Y77="","",RANK($Y77,$Y$5:$Y$94))</f>
        <v>33</v>
      </c>
      <c r="AA77" s="79" t="s">
        <v>707</v>
      </c>
      <c r="AB77" s="64" t="s">
        <v>806</v>
      </c>
      <c r="AC77" s="65" t="s">
        <v>237</v>
      </c>
      <c r="AD77" s="72" t="s">
        <v>790</v>
      </c>
    </row>
    <row r="78" customFormat="false" ht="49.5" hidden="false" customHeight="true" outlineLevel="0" collapsed="false">
      <c r="A78" s="50" t="s">
        <v>807</v>
      </c>
      <c r="B78" s="51" t="s">
        <v>808</v>
      </c>
      <c r="C78" s="52" t="s">
        <v>809</v>
      </c>
      <c r="D78" s="52" t="s">
        <v>783</v>
      </c>
      <c r="E78" s="53" t="s">
        <v>810</v>
      </c>
      <c r="F78" s="53" t="s">
        <v>225</v>
      </c>
      <c r="G78" s="54" t="str">
        <f aca="false">IF($A78="","",IF($H78=0,"（尚無對應能力）",IFERROR(INDEX(16_能力商機矩陣_CapOppMap!$D$160:$CO$160,MATCH($A78,16_能力商機矩陣_CapOppMap!$D$4:$CO$4,0)),"")))</f>
        <v>D02</v>
      </c>
      <c r="H78" s="55" t="n">
        <f aca="false">IF($A78="","",IFERROR(INDEX(16_能力商機矩陣_CapOppMap!$D$156:$CO$156,MATCH($A78,16_能力商機矩陣_CapOppMap!$D$4:$CO$4,0)),""))</f>
        <v>2</v>
      </c>
      <c r="I78" s="56" t="n">
        <f aca="false">IF($A78="","",IFERROR(INDEX(16_能力商機矩陣_CapOppMap!$D$157:$CO$157,MATCH($A78,16_能力商機矩陣_CapOppMap!$D$4:$CO$4,0)),""))</f>
        <v>4.9</v>
      </c>
      <c r="J78" s="56" t="n">
        <f aca="false">IF($A78="","",IFERROR(INDEX(16_能力商機矩陣_CapOppMap!$D$158:$CO$158,MATCH($A78,16_能力商機矩陣_CapOppMap!$D$4:$CO$4,0)),""))</f>
        <v>2.7</v>
      </c>
      <c r="K78" s="57" t="n">
        <f aca="false">IF($A78="","",IFERROR(INDEX(16_能力商機矩陣_CapOppMap!$D$159:$CO$159,MATCH($A78,16_能力商機矩陣_CapOppMap!$D$4:$CO$4,0)),""))</f>
        <v>0</v>
      </c>
      <c r="L78" s="58" t="str">
        <f aca="false">IF($A78="","",IF($H78=0,"★白地商機：目前無對應能力，需新增能力或找新夥伴",IF($K78&gt;0,"有缺口："&amp;$K78&amp;"項可對外招募","已有能力可承接")))</f>
        <v>已有能力可承接</v>
      </c>
      <c r="M78" s="59" t="s">
        <v>744</v>
      </c>
      <c r="N78" s="60" t="s">
        <v>407</v>
      </c>
      <c r="O78" s="60" t="s">
        <v>257</v>
      </c>
      <c r="P78" s="59" t="s">
        <v>271</v>
      </c>
      <c r="Q78" s="60" t="s">
        <v>230</v>
      </c>
      <c r="R78" s="59" t="s">
        <v>785</v>
      </c>
      <c r="S78" s="53" t="s">
        <v>811</v>
      </c>
      <c r="T78" s="55" t="n">
        <f aca="false">IF($A78="","",COUNTIF(14_商機清單_Pipeline!$A$5:$A$34,$U78))</f>
        <v>0</v>
      </c>
      <c r="U78" s="54" t="str">
        <f aca="false">IF($B78="","",$A78&amp;" "&amp;$B78)</f>
        <v>OPP-74 生殖醫學(IVF)連鎖</v>
      </c>
      <c r="V78" s="70" t="s">
        <v>275</v>
      </c>
      <c r="W78" s="52"/>
      <c r="X78" s="55" t="n">
        <f aca="false">IF($A78="","",IFERROR(INDEX(16_能力商機矩陣_CapOppMap!$D$162:$CO$162,MATCH($A78,16_能力商機矩陣_CapOppMap!$D$4:$CO$4,0)),""))</f>
        <v>0</v>
      </c>
      <c r="Y78" s="61" t="n">
        <f aca="false">IF(OR($A78="",$H78=""),"",IF($H78=0,"",ROUND(0.45*$I78+0.35*$J78+0.2*IF(LEFT($F78,1)="③",5,IF(LEFT($F78,1)="②",3,1))-IF($K78&gt;0,0.3,0),2)+ROW()/100000))</f>
        <v>3.75078</v>
      </c>
      <c r="Z78" s="62" t="n">
        <f aca="false">IF($Y78="","",RANK($Y78,$Y$5:$Y$94))</f>
        <v>25</v>
      </c>
      <c r="AA78" s="79" t="s">
        <v>707</v>
      </c>
      <c r="AB78" s="64" t="s">
        <v>812</v>
      </c>
      <c r="AC78" s="65" t="s">
        <v>237</v>
      </c>
      <c r="AD78" s="72" t="s">
        <v>790</v>
      </c>
    </row>
    <row r="79" customFormat="false" ht="49.5" hidden="false" customHeight="true" outlineLevel="0" collapsed="false">
      <c r="A79" s="50" t="s">
        <v>813</v>
      </c>
      <c r="B79" s="51" t="s">
        <v>814</v>
      </c>
      <c r="C79" s="52" t="s">
        <v>815</v>
      </c>
      <c r="D79" s="52" t="s">
        <v>783</v>
      </c>
      <c r="E79" s="53" t="s">
        <v>816</v>
      </c>
      <c r="F79" s="53" t="s">
        <v>225</v>
      </c>
      <c r="G79" s="54" t="str">
        <f aca="false">IF($A79="","",IF($H79=0,"（尚無對應能力）",IFERROR(INDEX(16_能力商機矩陣_CapOppMap!$D$160:$CO$160,MATCH($A79,16_能力商機矩陣_CapOppMap!$D$4:$CO$4,0)),"")))</f>
        <v>D02</v>
      </c>
      <c r="H79" s="55" t="n">
        <f aca="false">IF($A79="","",IFERROR(INDEX(16_能力商機矩陣_CapOppMap!$D$156:$CO$156,MATCH($A79,16_能力商機矩陣_CapOppMap!$D$4:$CO$4,0)),""))</f>
        <v>2</v>
      </c>
      <c r="I79" s="56" t="n">
        <f aca="false">IF($A79="","",IFERROR(INDEX(16_能力商機矩陣_CapOppMap!$D$157:$CO$157,MATCH($A79,16_能力商機矩陣_CapOppMap!$D$4:$CO$4,0)),""))</f>
        <v>4.9</v>
      </c>
      <c r="J79" s="56" t="n">
        <f aca="false">IF($A79="","",IFERROR(INDEX(16_能力商機矩陣_CapOppMap!$D$158:$CO$158,MATCH($A79,16_能力商機矩陣_CapOppMap!$D$4:$CO$4,0)),""))</f>
        <v>2.7</v>
      </c>
      <c r="K79" s="57" t="n">
        <f aca="false">IF($A79="","",IFERROR(INDEX(16_能力商機矩陣_CapOppMap!$D$159:$CO$159,MATCH($A79,16_能力商機矩陣_CapOppMap!$D$4:$CO$4,0)),""))</f>
        <v>0</v>
      </c>
      <c r="L79" s="58" t="str">
        <f aca="false">IF($A79="","",IF($H79=0,"★白地商機：目前無對應能力，需新增能力或找新夥伴",IF($K79&gt;0,"有缺口："&amp;$K79&amp;"項可對外招募","已有能力可承接")))</f>
        <v>已有能力可承接</v>
      </c>
      <c r="M79" s="59" t="s">
        <v>744</v>
      </c>
      <c r="N79" s="60" t="s">
        <v>281</v>
      </c>
      <c r="O79" s="60" t="s">
        <v>345</v>
      </c>
      <c r="P79" s="59" t="s">
        <v>271</v>
      </c>
      <c r="Q79" s="60" t="s">
        <v>230</v>
      </c>
      <c r="R79" s="59" t="s">
        <v>785</v>
      </c>
      <c r="S79" s="52" t="s">
        <v>817</v>
      </c>
      <c r="T79" s="55" t="n">
        <f aca="false">IF($A79="","",COUNTIF(14_商機清單_Pipeline!$A$5:$A$34,$U79))</f>
        <v>1</v>
      </c>
      <c r="U79" s="54" t="str">
        <f aca="false">IF($B79="","",$A79&amp;" "&amp;$B79)</f>
        <v>OPP-75 健檢連鎖與行動篩檢營運</v>
      </c>
      <c r="V79" s="52" t="s">
        <v>818</v>
      </c>
      <c r="W79" s="53" t="s">
        <v>819</v>
      </c>
      <c r="X79" s="55" t="n">
        <f aca="false">IF($A79="","",IFERROR(INDEX(16_能力商機矩陣_CapOppMap!$D$162:$CO$162,MATCH($A79,16_能力商機矩陣_CapOppMap!$D$4:$CO$4,0)),""))</f>
        <v>0</v>
      </c>
      <c r="Y79" s="61" t="n">
        <f aca="false">IF(OR($A79="",$H79=""),"",IF($H79=0,"",ROUND(0.45*$I79+0.35*$J79+0.2*IF(LEFT($F79,1)="③",5,IF(LEFT($F79,1)="②",3,1))-IF($K79&gt;0,0.3,0),2)+ROW()/100000))</f>
        <v>3.75079</v>
      </c>
      <c r="Z79" s="62" t="n">
        <f aca="false">IF($Y79="","",RANK($Y79,$Y$5:$Y$94))</f>
        <v>24</v>
      </c>
      <c r="AA79" s="79" t="s">
        <v>707</v>
      </c>
      <c r="AB79" s="69" t="s">
        <v>820</v>
      </c>
      <c r="AC79" s="65" t="s">
        <v>237</v>
      </c>
      <c r="AD79" s="72" t="s">
        <v>790</v>
      </c>
    </row>
    <row r="80" customFormat="false" ht="49.5" hidden="false" customHeight="true" outlineLevel="0" collapsed="false">
      <c r="A80" s="50" t="s">
        <v>821</v>
      </c>
      <c r="B80" s="51" t="s">
        <v>822</v>
      </c>
      <c r="C80" s="52" t="s">
        <v>823</v>
      </c>
      <c r="D80" s="52" t="s">
        <v>783</v>
      </c>
      <c r="E80" s="53" t="s">
        <v>824</v>
      </c>
      <c r="F80" s="53" t="s">
        <v>225</v>
      </c>
      <c r="G80" s="54" t="str">
        <f aca="false">IF($A80="","",IF($H80=0,"（尚無對應能力）",IFERROR(INDEX(16_能力商機矩陣_CapOppMap!$D$160:$CO$160,MATCH($A80,16_能力商機矩陣_CapOppMap!$D$4:$CO$4,0)),"")))</f>
        <v>D05</v>
      </c>
      <c r="H80" s="55" t="n">
        <f aca="false">IF($A80="","",IFERROR(INDEX(16_能力商機矩陣_CapOppMap!$D$156:$CO$156,MATCH($A80,16_能力商機矩陣_CapOppMap!$D$4:$CO$4,0)),""))</f>
        <v>1</v>
      </c>
      <c r="I80" s="56" t="n">
        <f aca="false">IF($A80="","",IFERROR(INDEX(16_能力商機矩陣_CapOppMap!$D$157:$CO$157,MATCH($A80,16_能力商機矩陣_CapOppMap!$D$4:$CO$4,0)),""))</f>
        <v>4.3</v>
      </c>
      <c r="J80" s="56" t="n">
        <f aca="false">IF($A80="","",IFERROR(INDEX(16_能力商機矩陣_CapOppMap!$D$158:$CO$158,MATCH($A80,16_能力商機矩陣_CapOppMap!$D$4:$CO$4,0)),""))</f>
        <v>2.4</v>
      </c>
      <c r="K80" s="57" t="n">
        <f aca="false">IF($A80="","",IFERROR(INDEX(16_能力商機矩陣_CapOppMap!$D$159:$CO$159,MATCH($A80,16_能力商機矩陣_CapOppMap!$D$4:$CO$4,0)),""))</f>
        <v>1</v>
      </c>
      <c r="L80" s="58" t="str">
        <f aca="false">IF($A80="","",IF($H80=0,"★白地商機：目前無對應能力，需新增能力或找新夥伴",IF($K80&gt;0,"有缺口："&amp;$K80&amp;"項可對外招募","已有能力可承接")))</f>
        <v>有缺口：1項可對外招募</v>
      </c>
      <c r="M80" s="59" t="s">
        <v>744</v>
      </c>
      <c r="N80" s="60" t="s">
        <v>332</v>
      </c>
      <c r="O80" s="60" t="s">
        <v>345</v>
      </c>
      <c r="P80" s="59" t="s">
        <v>271</v>
      </c>
      <c r="Q80" s="60" t="s">
        <v>230</v>
      </c>
      <c r="R80" s="59" t="s">
        <v>414</v>
      </c>
      <c r="S80" s="52" t="s">
        <v>825</v>
      </c>
      <c r="T80" s="55" t="n">
        <f aca="false">IF($A80="","",COUNTIF(14_商機清單_Pipeline!$A$5:$A$34,$U80))</f>
        <v>0</v>
      </c>
      <c r="U80" s="54" t="str">
        <f aca="false">IF($B80="","",$A80&amp;" "&amp;$B80)</f>
        <v>OPP-76 委外檢驗與區域中心實驗室</v>
      </c>
      <c r="V80" s="52" t="s">
        <v>826</v>
      </c>
      <c r="W80" s="53" t="s">
        <v>827</v>
      </c>
      <c r="X80" s="55" t="n">
        <f aca="false">IF($A80="","",IFERROR(INDEX(16_能力商機矩陣_CapOppMap!$D$162:$CO$162,MATCH($A80,16_能力商機矩陣_CapOppMap!$D$4:$CO$4,0)),""))</f>
        <v>0</v>
      </c>
      <c r="Y80" s="61" t="n">
        <f aca="false">IF(OR($A80="",$H80=""),"",IF($H80=0,"",ROUND(0.45*$I80+0.35*$J80+0.2*IF(LEFT($F80,1)="③",5,IF(LEFT($F80,1)="②",3,1))-IF($K80&gt;0,0.3,0),2)+ROW()/100000))</f>
        <v>3.0808</v>
      </c>
      <c r="Z80" s="62" t="n">
        <f aca="false">IF($Y80="","",RANK($Y80,$Y$5:$Y$94))</f>
        <v>70</v>
      </c>
      <c r="AA80" s="79" t="s">
        <v>707</v>
      </c>
      <c r="AB80" s="64" t="s">
        <v>250</v>
      </c>
      <c r="AC80" s="67" t="s">
        <v>251</v>
      </c>
      <c r="AD80" s="72" t="s">
        <v>790</v>
      </c>
    </row>
    <row r="81" customFormat="false" ht="49.5" hidden="false" customHeight="true" outlineLevel="0" collapsed="false">
      <c r="A81" s="50" t="s">
        <v>828</v>
      </c>
      <c r="B81" s="51" t="s">
        <v>829</v>
      </c>
      <c r="C81" s="52" t="s">
        <v>830</v>
      </c>
      <c r="D81" s="52" t="s">
        <v>783</v>
      </c>
      <c r="E81" s="53" t="s">
        <v>831</v>
      </c>
      <c r="F81" s="53" t="s">
        <v>343</v>
      </c>
      <c r="G81" s="54" t="str">
        <f aca="false">IF($A81="","",IF($H81=0,"（尚無對應能力）",IFERROR(INDEX(16_能力商機矩陣_CapOppMap!$D$160:$CO$160,MATCH($A81,16_能力商機矩陣_CapOppMap!$D$4:$CO$4,0)),"")))</f>
        <v>D02; D08</v>
      </c>
      <c r="H81" s="55" t="n">
        <f aca="false">IF($A81="","",IFERROR(INDEX(16_能力商機矩陣_CapOppMap!$D$156:$CO$156,MATCH($A81,16_能力商機矩陣_CapOppMap!$D$4:$CO$4,0)),""))</f>
        <v>2</v>
      </c>
      <c r="I81" s="56" t="n">
        <f aca="false">IF($A81="","",IFERROR(INDEX(16_能力商機矩陣_CapOppMap!$D$157:$CO$157,MATCH($A81,16_能力商機矩陣_CapOppMap!$D$4:$CO$4,0)),""))</f>
        <v>4.7</v>
      </c>
      <c r="J81" s="56" t="n">
        <f aca="false">IF($A81="","",IFERROR(INDEX(16_能力商機矩陣_CapOppMap!$D$158:$CO$158,MATCH($A81,16_能力商機矩陣_CapOppMap!$D$4:$CO$4,0)),""))</f>
        <v>2.9</v>
      </c>
      <c r="K81" s="57" t="n">
        <f aca="false">IF($A81="","",IFERROR(INDEX(16_能力商機矩陣_CapOppMap!$D$159:$CO$159,MATCH($A81,16_能力商機矩陣_CapOppMap!$D$4:$CO$4,0)),""))</f>
        <v>1</v>
      </c>
      <c r="L81" s="58" t="str">
        <f aca="false">IF($A81="","",IF($H81=0,"★白地商機：目前無對應能力，需新增能力或找新夥伴",IF($K81&gt;0,"有缺口："&amp;$K81&amp;"項可對外招募","已有能力可承接")))</f>
        <v>有缺口：1項可對外招募</v>
      </c>
      <c r="M81" s="59" t="s">
        <v>744</v>
      </c>
      <c r="N81" s="60" t="s">
        <v>407</v>
      </c>
      <c r="O81" s="60" t="s">
        <v>257</v>
      </c>
      <c r="P81" s="59" t="s">
        <v>271</v>
      </c>
      <c r="Q81" s="60" t="s">
        <v>230</v>
      </c>
      <c r="R81" s="59" t="s">
        <v>785</v>
      </c>
      <c r="S81" s="53" t="s">
        <v>832</v>
      </c>
      <c r="T81" s="55" t="n">
        <f aca="false">IF($A81="","",COUNTIF(14_商機清單_Pipeline!$A$5:$A$34,$U81))</f>
        <v>0</v>
      </c>
      <c r="U81" s="54" t="str">
        <f aca="false">IF($B81="","",$A81&amp;" "&amp;$B81)</f>
        <v>OPP-77 長照機構與失智照護</v>
      </c>
      <c r="V81" s="53" t="s">
        <v>833</v>
      </c>
      <c r="W81" s="53" t="s">
        <v>834</v>
      </c>
      <c r="X81" s="55" t="n">
        <f aca="false">IF($A81="","",IFERROR(INDEX(16_能力商機矩陣_CapOppMap!$D$162:$CO$162,MATCH($A81,16_能力商機矩陣_CapOppMap!$D$4:$CO$4,0)),""))</f>
        <v>0</v>
      </c>
      <c r="Y81" s="61" t="n">
        <f aca="false">IF(OR($A81="",$H81=""),"",IF($H81=0,"",ROUND(0.45*$I81+0.35*$J81+0.2*IF(LEFT($F81,1)="③",5,IF(LEFT($F81,1)="②",3,1))-IF($K81&gt;0,0.3,0),2)+ROW()/100000))</f>
        <v>3.83081</v>
      </c>
      <c r="Z81" s="62" t="n">
        <f aca="false">IF($Y81="","",RANK($Y81,$Y$5:$Y$94))</f>
        <v>19</v>
      </c>
      <c r="AA81" s="79" t="s">
        <v>707</v>
      </c>
      <c r="AB81" s="69" t="s">
        <v>835</v>
      </c>
      <c r="AC81" s="65" t="s">
        <v>237</v>
      </c>
      <c r="AD81" s="72" t="s">
        <v>790</v>
      </c>
    </row>
    <row r="82" customFormat="false" ht="49.5" hidden="false" customHeight="true" outlineLevel="0" collapsed="false">
      <c r="A82" s="50" t="s">
        <v>836</v>
      </c>
      <c r="B82" s="51" t="s">
        <v>837</v>
      </c>
      <c r="C82" s="52" t="s">
        <v>838</v>
      </c>
      <c r="D82" s="52" t="s">
        <v>783</v>
      </c>
      <c r="E82" s="53" t="s">
        <v>839</v>
      </c>
      <c r="F82" s="53" t="s">
        <v>343</v>
      </c>
      <c r="G82" s="54" t="str">
        <f aca="false">IF($A82="","",IF($H82=0,"（尚無對應能力）",IFERROR(INDEX(16_能力商機矩陣_CapOppMap!$D$160:$CO$160,MATCH($A82,16_能力商機矩陣_CapOppMap!$D$4:$CO$4,0)),"")))</f>
        <v>D02</v>
      </c>
      <c r="H82" s="55" t="n">
        <f aca="false">IF($A82="","",IFERROR(INDEX(16_能力商機矩陣_CapOppMap!$D$156:$CO$156,MATCH($A82,16_能力商機矩陣_CapOppMap!$D$4:$CO$4,0)),""))</f>
        <v>1</v>
      </c>
      <c r="I82" s="56" t="n">
        <f aca="false">IF($A82="","",IFERROR(INDEX(16_能力商機矩陣_CapOppMap!$D$157:$CO$157,MATCH($A82,16_能力商機矩陣_CapOppMap!$D$4:$CO$4,0)),""))</f>
        <v>5</v>
      </c>
      <c r="J82" s="56" t="n">
        <f aca="false">IF($A82="","",IFERROR(INDEX(16_能力商機矩陣_CapOppMap!$D$158:$CO$158,MATCH($A82,16_能力商機矩陣_CapOppMap!$D$4:$CO$4,0)),""))</f>
        <v>2.7</v>
      </c>
      <c r="K82" s="57" t="n">
        <f aca="false">IF($A82="","",IFERROR(INDEX(16_能力商機矩陣_CapOppMap!$D$159:$CO$159,MATCH($A82,16_能力商機矩陣_CapOppMap!$D$4:$CO$4,0)),""))</f>
        <v>0</v>
      </c>
      <c r="L82" s="58" t="str">
        <f aca="false">IF($A82="","",IF($H82=0,"★白地商機：目前無對應能力，需新增能力或找新夥伴",IF($K82&gt;0,"有缺口："&amp;$K82&amp;"項可對外招募","已有能力可承接")))</f>
        <v>已有能力可承接</v>
      </c>
      <c r="M82" s="59" t="s">
        <v>744</v>
      </c>
      <c r="N82" s="60" t="s">
        <v>407</v>
      </c>
      <c r="O82" s="60" t="s">
        <v>345</v>
      </c>
      <c r="P82" s="59" t="s">
        <v>245</v>
      </c>
      <c r="Q82" s="60" t="s">
        <v>230</v>
      </c>
      <c r="R82" s="59" t="s">
        <v>785</v>
      </c>
      <c r="S82" s="53" t="s">
        <v>840</v>
      </c>
      <c r="T82" s="55" t="n">
        <f aca="false">IF($A82="","",COUNTIF(14_商機清單_Pipeline!$A$5:$A$34,$U82))</f>
        <v>0</v>
      </c>
      <c r="U82" s="54" t="str">
        <f aca="false">IF($B82="","",$A82&amp;" "&amp;$B82)</f>
        <v>OPP-78 居家醫療、居家護理與安寧</v>
      </c>
      <c r="V82" s="53" t="s">
        <v>841</v>
      </c>
      <c r="W82" s="53" t="s">
        <v>842</v>
      </c>
      <c r="X82" s="55" t="n">
        <f aca="false">IF($A82="","",IFERROR(INDEX(16_能力商機矩陣_CapOppMap!$D$162:$CO$162,MATCH($A82,16_能力商機矩陣_CapOppMap!$D$4:$CO$4,0)),""))</f>
        <v>0</v>
      </c>
      <c r="Y82" s="61" t="n">
        <f aca="false">IF(OR($A82="",$H82=""),"",IF($H82=0,"",ROUND(0.45*$I82+0.35*$J82+0.2*IF(LEFT($F82,1)="③",5,IF(LEFT($F82,1)="②",3,1))-IF($K82&gt;0,0.3,0),2)+ROW()/100000))</f>
        <v>4.20082</v>
      </c>
      <c r="Z82" s="62" t="n">
        <f aca="false">IF($Y82="","",RANK($Y82,$Y$5:$Y$94))</f>
        <v>1</v>
      </c>
      <c r="AA82" s="79" t="s">
        <v>707</v>
      </c>
      <c r="AB82" s="64" t="s">
        <v>250</v>
      </c>
      <c r="AC82" s="67" t="s">
        <v>251</v>
      </c>
      <c r="AD82" s="72" t="s">
        <v>790</v>
      </c>
    </row>
    <row r="83" customFormat="false" ht="49.5" hidden="false" customHeight="true" outlineLevel="0" collapsed="false">
      <c r="A83" s="50" t="s">
        <v>843</v>
      </c>
      <c r="B83" s="51" t="s">
        <v>844</v>
      </c>
      <c r="C83" s="52" t="s">
        <v>845</v>
      </c>
      <c r="D83" s="52" t="s">
        <v>783</v>
      </c>
      <c r="E83" s="53" t="s">
        <v>846</v>
      </c>
      <c r="F83" s="53" t="s">
        <v>343</v>
      </c>
      <c r="G83" s="54" t="str">
        <f aca="false">IF($A83="","",IF($H83=0,"（尚無對應能力）",IFERROR(INDEX(16_能力商機矩陣_CapOppMap!$D$160:$CO$160,MATCH($A83,16_能力商機矩陣_CapOppMap!$D$4:$CO$4,0)),"")))</f>
        <v>D02</v>
      </c>
      <c r="H83" s="55" t="n">
        <f aca="false">IF($A83="","",IFERROR(INDEX(16_能力商機矩陣_CapOppMap!$D$156:$CO$156,MATCH($A83,16_能力商機矩陣_CapOppMap!$D$4:$CO$4,0)),""))</f>
        <v>2</v>
      </c>
      <c r="I83" s="56" t="n">
        <f aca="false">IF($A83="","",IFERROR(INDEX(16_能力商機矩陣_CapOppMap!$D$157:$CO$157,MATCH($A83,16_能力商機矩陣_CapOppMap!$D$4:$CO$4,0)),""))</f>
        <v>4.9</v>
      </c>
      <c r="J83" s="56" t="n">
        <f aca="false">IF($A83="","",IFERROR(INDEX(16_能力商機矩陣_CapOppMap!$D$158:$CO$158,MATCH($A83,16_能力商機矩陣_CapOppMap!$D$4:$CO$4,0)),""))</f>
        <v>2.7</v>
      </c>
      <c r="K83" s="57" t="n">
        <f aca="false">IF($A83="","",IFERROR(INDEX(16_能力商機矩陣_CapOppMap!$D$159:$CO$159,MATCH($A83,16_能力商機矩陣_CapOppMap!$D$4:$CO$4,0)),""))</f>
        <v>0</v>
      </c>
      <c r="L83" s="58" t="str">
        <f aca="false">IF($A83="","",IF($H83=0,"★白地商機：目前無對應能力，需新增能力或找新夥伴",IF($K83&gt;0,"有缺口："&amp;$K83&amp;"項可對外招募","已有能力可承接")))</f>
        <v>已有能力可承接</v>
      </c>
      <c r="M83" s="59" t="s">
        <v>744</v>
      </c>
      <c r="N83" s="60" t="s">
        <v>645</v>
      </c>
      <c r="O83" s="60" t="s">
        <v>257</v>
      </c>
      <c r="P83" s="59" t="s">
        <v>229</v>
      </c>
      <c r="Q83" s="60" t="s">
        <v>230</v>
      </c>
      <c r="R83" s="59" t="s">
        <v>785</v>
      </c>
      <c r="S83" s="53" t="s">
        <v>847</v>
      </c>
      <c r="T83" s="55" t="n">
        <f aca="false">IF($A83="","",COUNTIF(14_商機清單_Pipeline!$A$5:$A$34,$U83))</f>
        <v>0</v>
      </c>
      <c r="U83" s="54" t="str">
        <f aca="false">IF($B83="","",$A83&amp;" "&amp;$B83)</f>
        <v>OPP-79 復健與亞急性照護中心</v>
      </c>
      <c r="V83" s="70" t="s">
        <v>275</v>
      </c>
      <c r="W83" s="52"/>
      <c r="X83" s="55" t="n">
        <f aca="false">IF($A83="","",IFERROR(INDEX(16_能力商機矩陣_CapOppMap!$D$162:$CO$162,MATCH($A83,16_能力商機矩陣_CapOppMap!$D$4:$CO$4,0)),""))</f>
        <v>0</v>
      </c>
      <c r="Y83" s="61" t="n">
        <f aca="false">IF(OR($A83="",$H83=""),"",IF($H83=0,"",ROUND(0.45*$I83+0.35*$J83+0.2*IF(LEFT($F83,1)="③",5,IF(LEFT($F83,1)="②",3,1))-IF($K83&gt;0,0.3,0),2)+ROW()/100000))</f>
        <v>4.15083</v>
      </c>
      <c r="Z83" s="62" t="n">
        <f aca="false">IF($Y83="","",RANK($Y83,$Y$5:$Y$94))</f>
        <v>2</v>
      </c>
      <c r="AA83" s="79" t="s">
        <v>707</v>
      </c>
      <c r="AB83" s="64" t="s">
        <v>848</v>
      </c>
      <c r="AC83" s="73" t="s">
        <v>327</v>
      </c>
      <c r="AD83" s="72" t="s">
        <v>790</v>
      </c>
    </row>
    <row r="84" customFormat="false" ht="49.5" hidden="false" customHeight="true" outlineLevel="0" collapsed="false">
      <c r="A84" s="50" t="s">
        <v>849</v>
      </c>
      <c r="B84" s="51" t="s">
        <v>850</v>
      </c>
      <c r="C84" s="52" t="s">
        <v>851</v>
      </c>
      <c r="D84" s="52" t="s">
        <v>783</v>
      </c>
      <c r="E84" s="53" t="s">
        <v>852</v>
      </c>
      <c r="F84" s="53" t="s">
        <v>225</v>
      </c>
      <c r="G84" s="54" t="str">
        <f aca="false">IF($A84="","",IF($H84=0,"（尚無對應能力）",IFERROR(INDEX(16_能力商機矩陣_CapOppMap!$D$160:$CO$160,MATCH($A84,16_能力商機矩陣_CapOppMap!$D$4:$CO$4,0)),"")))</f>
        <v>D06</v>
      </c>
      <c r="H84" s="55" t="n">
        <f aca="false">IF($A84="","",IFERROR(INDEX(16_能力商機矩陣_CapOppMap!$D$156:$CO$156,MATCH($A84,16_能力商機矩陣_CapOppMap!$D$4:$CO$4,0)),""))</f>
        <v>1</v>
      </c>
      <c r="I84" s="56" t="n">
        <f aca="false">IF($A84="","",IFERROR(INDEX(16_能力商機矩陣_CapOppMap!$D$157:$CO$157,MATCH($A84,16_能力商機矩陣_CapOppMap!$D$4:$CO$4,0)),""))</f>
        <v>4</v>
      </c>
      <c r="J84" s="56" t="n">
        <f aca="false">IF($A84="","",IFERROR(INDEX(16_能力商機矩陣_CapOppMap!$D$158:$CO$158,MATCH($A84,16_能力商機矩陣_CapOppMap!$D$4:$CO$4,0)),""))</f>
        <v>2.4</v>
      </c>
      <c r="K84" s="57" t="n">
        <f aca="false">IF($A84="","",IFERROR(INDEX(16_能力商機矩陣_CapOppMap!$D$159:$CO$159,MATCH($A84,16_能力商機矩陣_CapOppMap!$D$4:$CO$4,0)),""))</f>
        <v>1</v>
      </c>
      <c r="L84" s="58" t="str">
        <f aca="false">IF($A84="","",IF($H84=0,"★白地商機：目前無對應能力，需新增能力或找新夥伴",IF($K84&gt;0,"有缺口："&amp;$K84&amp;"項可對外招募","已有能力可承接")))</f>
        <v>有缺口：1項可對外招募</v>
      </c>
      <c r="M84" s="59" t="s">
        <v>744</v>
      </c>
      <c r="N84" s="60" t="s">
        <v>645</v>
      </c>
      <c r="O84" s="60" t="s">
        <v>450</v>
      </c>
      <c r="P84" s="59" t="s">
        <v>245</v>
      </c>
      <c r="Q84" s="60" t="s">
        <v>272</v>
      </c>
      <c r="R84" s="59" t="s">
        <v>675</v>
      </c>
      <c r="S84" s="53" t="s">
        <v>853</v>
      </c>
      <c r="T84" s="55" t="n">
        <f aca="false">IF($A84="","",COUNTIF(14_商機清單_Pipeline!$A$5:$A$34,$U84))</f>
        <v>0</v>
      </c>
      <c r="U84" s="54" t="str">
        <f aca="false">IF($B84="","",$A84&amp;" "&amp;$B84)</f>
        <v>OPP-80 遠距醫療與居家遠端監測</v>
      </c>
      <c r="V84" s="52" t="s">
        <v>854</v>
      </c>
      <c r="W84" s="53" t="s">
        <v>855</v>
      </c>
      <c r="X84" s="55" t="n">
        <f aca="false">IF($A84="","",IFERROR(INDEX(16_能力商機矩陣_CapOppMap!$D$162:$CO$162,MATCH($A84,16_能力商機矩陣_CapOppMap!$D$4:$CO$4,0)),""))</f>
        <v>0</v>
      </c>
      <c r="Y84" s="61" t="n">
        <f aca="false">IF(OR($A84="",$H84=""),"",IF($H84=0,"",ROUND(0.45*$I84+0.35*$J84+0.2*IF(LEFT($F84,1)="③",5,IF(LEFT($F84,1)="②",3,1))-IF($K84&gt;0,0.3,0),2)+ROW()/100000))</f>
        <v>2.94084</v>
      </c>
      <c r="Z84" s="62" t="n">
        <f aca="false">IF($Y84="","",RANK($Y84,$Y$5:$Y$94))</f>
        <v>74</v>
      </c>
      <c r="AA84" s="79" t="s">
        <v>707</v>
      </c>
      <c r="AB84" s="64" t="s">
        <v>856</v>
      </c>
      <c r="AC84" s="65" t="s">
        <v>237</v>
      </c>
      <c r="AD84" s="72" t="s">
        <v>790</v>
      </c>
    </row>
    <row r="85" customFormat="false" ht="49.5" hidden="false" customHeight="true" outlineLevel="0" collapsed="false">
      <c r="A85" s="50" t="s">
        <v>857</v>
      </c>
      <c r="B85" s="51" t="s">
        <v>858</v>
      </c>
      <c r="C85" s="52" t="s">
        <v>859</v>
      </c>
      <c r="D85" s="52" t="s">
        <v>860</v>
      </c>
      <c r="E85" s="53" t="s">
        <v>861</v>
      </c>
      <c r="F85" s="53" t="s">
        <v>225</v>
      </c>
      <c r="G85" s="54" t="str">
        <f aca="false">IF($A85="","",IF($H85=0,"（尚無對應能力）",IFERROR(INDEX(16_能力商機矩陣_CapOppMap!$D$160:$CO$160,MATCH($A85,16_能力商機矩陣_CapOppMap!$D$4:$CO$4,0)),"")))</f>
        <v>D06; D10</v>
      </c>
      <c r="H85" s="55" t="n">
        <f aca="false">IF($A85="","",IFERROR(INDEX(16_能力商機矩陣_CapOppMap!$D$156:$CO$156,MATCH($A85,16_能力商機矩陣_CapOppMap!$D$4:$CO$4,0)),""))</f>
        <v>2</v>
      </c>
      <c r="I85" s="56" t="n">
        <f aca="false">IF($A85="","",IFERROR(INDEX(16_能力商機矩陣_CapOppMap!$D$157:$CO$157,MATCH($A85,16_能力商機矩陣_CapOppMap!$D$4:$CO$4,0)),""))</f>
        <v>3.6</v>
      </c>
      <c r="J85" s="56" t="n">
        <f aca="false">IF($A85="","",IFERROR(INDEX(16_能力商機矩陣_CapOppMap!$D$158:$CO$158,MATCH($A85,16_能力商機矩陣_CapOppMap!$D$4:$CO$4,0)),""))</f>
        <v>2.2</v>
      </c>
      <c r="K85" s="57" t="n">
        <f aca="false">IF($A85="","",IFERROR(INDEX(16_能力商機矩陣_CapOppMap!$D$159:$CO$159,MATCH($A85,16_能力商機矩陣_CapOppMap!$D$4:$CO$4,0)),""))</f>
        <v>2</v>
      </c>
      <c r="L85" s="58" t="str">
        <f aca="false">IF($A85="","",IF($H85=0,"★白地商機：目前無對應能力，需新增能力或找新夥伴",IF($K85&gt;0,"有缺口："&amp;$K85&amp;"項可對外招募","已有能力可承接")))</f>
        <v>有缺口：2項可對外招募</v>
      </c>
      <c r="M85" s="59" t="s">
        <v>344</v>
      </c>
      <c r="N85" s="60" t="s">
        <v>332</v>
      </c>
      <c r="O85" s="60" t="s">
        <v>345</v>
      </c>
      <c r="P85" s="59" t="s">
        <v>245</v>
      </c>
      <c r="Q85" s="60" t="s">
        <v>230</v>
      </c>
      <c r="R85" s="59" t="s">
        <v>675</v>
      </c>
      <c r="S85" s="53" t="s">
        <v>862</v>
      </c>
      <c r="T85" s="55" t="n">
        <f aca="false">IF($A85="","",COUNTIF(14_商機清單_Pipeline!$A$5:$A$34,$U85))</f>
        <v>0</v>
      </c>
      <c r="U85" s="54" t="str">
        <f aca="false">IF($B85="","",$A85&amp;" "&amp;$B85)</f>
        <v>OPP-81 病人App、無現金支付與報到機</v>
      </c>
      <c r="V85" s="70" t="s">
        <v>275</v>
      </c>
      <c r="W85" s="52"/>
      <c r="X85" s="55" t="n">
        <f aca="false">IF($A85="","",IFERROR(INDEX(16_能力商機矩陣_CapOppMap!$D$162:$CO$162,MATCH($A85,16_能力商機矩陣_CapOppMap!$D$4:$CO$4,0)),""))</f>
        <v>0</v>
      </c>
      <c r="Y85" s="61" t="n">
        <f aca="false">IF(OR($A85="",$H85=""),"",IF($H85=0,"",ROUND(0.45*$I85+0.35*$J85+0.2*IF(LEFT($F85,1)="③",5,IF(LEFT($F85,1)="②",3,1))-IF($K85&gt;0,0.3,0),2)+ROW()/100000))</f>
        <v>2.69085</v>
      </c>
      <c r="Z85" s="62" t="n">
        <f aca="false">IF($Y85="","",RANK($Y85,$Y$5:$Y$94))</f>
        <v>77</v>
      </c>
      <c r="AA85" s="68" t="s">
        <v>263</v>
      </c>
      <c r="AB85" s="64" t="s">
        <v>863</v>
      </c>
      <c r="AC85" s="65" t="s">
        <v>237</v>
      </c>
      <c r="AD85" s="66" t="s">
        <v>864</v>
      </c>
    </row>
    <row r="86" customFormat="false" ht="49.5" hidden="false" customHeight="true" outlineLevel="0" collapsed="false">
      <c r="A86" s="50" t="s">
        <v>865</v>
      </c>
      <c r="B86" s="51" t="s">
        <v>866</v>
      </c>
      <c r="C86" s="52" t="s">
        <v>867</v>
      </c>
      <c r="D86" s="52" t="s">
        <v>860</v>
      </c>
      <c r="E86" s="53" t="s">
        <v>868</v>
      </c>
      <c r="F86" s="53" t="s">
        <v>225</v>
      </c>
      <c r="G86" s="54" t="str">
        <f aca="false">IF($A86="","",IF($H86=0,"（尚無對應能力）",IFERROR(INDEX(16_能力商機矩陣_CapOppMap!$D$160:$CO$160,MATCH($A86,16_能力商機矩陣_CapOppMap!$D$4:$CO$4,0)),"")))</f>
        <v>D10</v>
      </c>
      <c r="H86" s="55" t="n">
        <f aca="false">IF($A86="","",IFERROR(INDEX(16_能力商機矩陣_CapOppMap!$D$156:$CO$156,MATCH($A86,16_能力商機矩陣_CapOppMap!$D$4:$CO$4,0)),""))</f>
        <v>2</v>
      </c>
      <c r="I86" s="56" t="n">
        <f aca="false">IF($A86="","",IFERROR(INDEX(16_能力商機矩陣_CapOppMap!$D$157:$CO$157,MATCH($A86,16_能力商機矩陣_CapOppMap!$D$4:$CO$4,0)),""))</f>
        <v>3.6</v>
      </c>
      <c r="J86" s="56" t="n">
        <f aca="false">IF($A86="","",IFERROR(INDEX(16_能力商機矩陣_CapOppMap!$D$158:$CO$158,MATCH($A86,16_能力商機矩陣_CapOppMap!$D$4:$CO$4,0)),""))</f>
        <v>2</v>
      </c>
      <c r="K86" s="57" t="n">
        <f aca="false">IF($A86="","",IFERROR(INDEX(16_能力商機矩陣_CapOppMap!$D$159:$CO$159,MATCH($A86,16_能力商機矩陣_CapOppMap!$D$4:$CO$4,0)),""))</f>
        <v>2</v>
      </c>
      <c r="L86" s="58" t="str">
        <f aca="false">IF($A86="","",IF($H86=0,"★白地商機：目前無對應能力，需新增能力或找新夥伴",IF($K86&gt;0,"有缺口："&amp;$K86&amp;"項可對外招募","已有能力可承接")))</f>
        <v>有缺口：2項可對外招募</v>
      </c>
      <c r="M86" s="59" t="s">
        <v>344</v>
      </c>
      <c r="N86" s="60" t="s">
        <v>332</v>
      </c>
      <c r="O86" s="60" t="s">
        <v>450</v>
      </c>
      <c r="P86" s="59" t="s">
        <v>245</v>
      </c>
      <c r="Q86" s="60" t="s">
        <v>230</v>
      </c>
      <c r="R86" s="59" t="s">
        <v>646</v>
      </c>
      <c r="S86" s="53" t="s">
        <v>869</v>
      </c>
      <c r="T86" s="55" t="n">
        <f aca="false">IF($A86="","",COUNTIF(14_商機清單_Pipeline!$A$5:$A$34,$U86))</f>
        <v>0</v>
      </c>
      <c r="U86" s="54" t="str">
        <f aca="false">IF($B86="","",$A86&amp;" "&amp;$B86)</f>
        <v>OPP-82 健保申報介接與收入循環管理</v>
      </c>
      <c r="V86" s="70" t="s">
        <v>275</v>
      </c>
      <c r="W86" s="52"/>
      <c r="X86" s="55" t="n">
        <f aca="false">IF($A86="","",IFERROR(INDEX(16_能力商機矩陣_CapOppMap!$D$162:$CO$162,MATCH($A86,16_能力商機矩陣_CapOppMap!$D$4:$CO$4,0)),""))</f>
        <v>0</v>
      </c>
      <c r="Y86" s="61" t="n">
        <f aca="false">IF(OR($A86="",$H86=""),"",IF($H86=0,"",ROUND(0.45*$I86+0.35*$J86+0.2*IF(LEFT($F86,1)="③",5,IF(LEFT($F86,1)="②",3,1))-IF($K86&gt;0,0.3,0),2)+ROW()/100000))</f>
        <v>2.62086</v>
      </c>
      <c r="Z86" s="62" t="n">
        <f aca="false">IF($Y86="","",RANK($Y86,$Y$5:$Y$94))</f>
        <v>78</v>
      </c>
      <c r="AA86" s="68" t="s">
        <v>263</v>
      </c>
      <c r="AB86" s="69" t="s">
        <v>870</v>
      </c>
      <c r="AC86" s="65" t="s">
        <v>237</v>
      </c>
      <c r="AD86" s="66" t="s">
        <v>864</v>
      </c>
    </row>
    <row r="87" customFormat="false" ht="49.5" hidden="false" customHeight="true" outlineLevel="0" collapsed="false">
      <c r="A87" s="50" t="s">
        <v>871</v>
      </c>
      <c r="B87" s="51" t="s">
        <v>872</v>
      </c>
      <c r="C87" s="52" t="s">
        <v>873</v>
      </c>
      <c r="D87" s="52" t="s">
        <v>860</v>
      </c>
      <c r="E87" s="53" t="s">
        <v>874</v>
      </c>
      <c r="F87" s="53" t="s">
        <v>225</v>
      </c>
      <c r="G87" s="54" t="str">
        <f aca="false">IF($A87="","",IF($H87=0,"（尚無對應能力）",IFERROR(INDEX(16_能力商機矩陣_CapOppMap!$D$160:$CO$160,MATCH($A87,16_能力商機矩陣_CapOppMap!$D$4:$CO$4,0)),"")))</f>
        <v>D10</v>
      </c>
      <c r="H87" s="55" t="n">
        <f aca="false">IF($A87="","",IFERROR(INDEX(16_能力商機矩陣_CapOppMap!$D$156:$CO$156,MATCH($A87,16_能力商機矩陣_CapOppMap!$D$4:$CO$4,0)),""))</f>
        <v>1</v>
      </c>
      <c r="I87" s="56" t="n">
        <f aca="false">IF($A87="","",IFERROR(INDEX(16_能力商機矩陣_CapOppMap!$D$157:$CO$157,MATCH($A87,16_能力商機矩陣_CapOppMap!$D$4:$CO$4,0)),""))</f>
        <v>3.1</v>
      </c>
      <c r="J87" s="56" t="n">
        <f aca="false">IF($A87="","",IFERROR(INDEX(16_能力商機矩陣_CapOppMap!$D$158:$CO$158,MATCH($A87,16_能力商機矩陣_CapOppMap!$D$4:$CO$4,0)),""))</f>
        <v>2</v>
      </c>
      <c r="K87" s="57" t="n">
        <f aca="false">IF($A87="","",IFERROR(INDEX(16_能力商機矩陣_CapOppMap!$D$159:$CO$159,MATCH($A87,16_能力商機矩陣_CapOppMap!$D$4:$CO$4,0)),""))</f>
        <v>1</v>
      </c>
      <c r="L87" s="58" t="str">
        <f aca="false">IF($A87="","",IF($H87=0,"★白地商機：目前無對應能力，需新增能力或找新夥伴",IF($K87&gt;0,"有缺口："&amp;$K87&amp;"項可對外招募","已有能力可承接")))</f>
        <v>有缺口：1項可對外招募</v>
      </c>
      <c r="M87" s="59" t="s">
        <v>744</v>
      </c>
      <c r="N87" s="60" t="s">
        <v>875</v>
      </c>
      <c r="O87" s="60" t="s">
        <v>345</v>
      </c>
      <c r="P87" s="59" t="s">
        <v>229</v>
      </c>
      <c r="Q87" s="60" t="s">
        <v>230</v>
      </c>
      <c r="R87" s="59" t="s">
        <v>259</v>
      </c>
      <c r="S87" s="53" t="s">
        <v>876</v>
      </c>
      <c r="T87" s="55" t="n">
        <f aca="false">IF($A87="","",COUNTIF(14_商機清單_Pipeline!$A$5:$A$34,$U87))</f>
        <v>0</v>
      </c>
      <c r="U87" s="54" t="str">
        <f aca="false">IF($B87="","",$A87&amp;" "&amp;$B87)</f>
        <v>OPP-83 國際醫療與病患回流方案</v>
      </c>
      <c r="V87" s="53" t="s">
        <v>877</v>
      </c>
      <c r="W87" s="53" t="s">
        <v>878</v>
      </c>
      <c r="X87" s="55" t="n">
        <f aca="false">IF($A87="","",IFERROR(INDEX(16_能力商機矩陣_CapOppMap!$D$162:$CO$162,MATCH($A87,16_能力商機矩陣_CapOppMap!$D$4:$CO$4,0)),""))</f>
        <v>0</v>
      </c>
      <c r="Y87" s="61" t="n">
        <f aca="false">IF(OR($A87="",$H87=""),"",IF($H87=0,"",ROUND(0.45*$I87+0.35*$J87+0.2*IF(LEFT($F87,1)="③",5,IF(LEFT($F87,1)="②",3,1))-IF($K87&gt;0,0.3,0),2)+ROW()/100000))</f>
        <v>2.40087</v>
      </c>
      <c r="Z87" s="62" t="n">
        <f aca="false">IF($Y87="","",RANK($Y87,$Y$5:$Y$94))</f>
        <v>79</v>
      </c>
      <c r="AA87" s="68" t="s">
        <v>263</v>
      </c>
      <c r="AB87" s="64" t="s">
        <v>879</v>
      </c>
      <c r="AC87" s="65" t="s">
        <v>237</v>
      </c>
      <c r="AD87" s="66" t="s">
        <v>864</v>
      </c>
    </row>
    <row r="88" customFormat="false" ht="49.5" hidden="false" customHeight="true" outlineLevel="0" collapsed="false">
      <c r="A88" s="50" t="s">
        <v>880</v>
      </c>
      <c r="B88" s="51" t="s">
        <v>881</v>
      </c>
      <c r="C88" s="52" t="s">
        <v>882</v>
      </c>
      <c r="D88" s="52" t="s">
        <v>860</v>
      </c>
      <c r="E88" s="53" t="s">
        <v>883</v>
      </c>
      <c r="F88" s="53" t="s">
        <v>343</v>
      </c>
      <c r="G88" s="54" t="str">
        <f aca="false">IF($A88="","",IF($H88=0,"（尚無對應能力）",IFERROR(INDEX(16_能力商機矩陣_CapOppMap!$D$160:$CO$160,MATCH($A88,16_能力商機矩陣_CapOppMap!$D$4:$CO$4,0)),"")))</f>
        <v>D10</v>
      </c>
      <c r="H88" s="55" t="n">
        <f aca="false">IF($A88="","",IFERROR(INDEX(16_能力商機矩陣_CapOppMap!$D$156:$CO$156,MATCH($A88,16_能力商機矩陣_CapOppMap!$D$4:$CO$4,0)),""))</f>
        <v>2</v>
      </c>
      <c r="I88" s="56" t="n">
        <f aca="false">IF($A88="","",IFERROR(INDEX(16_能力商機矩陣_CapOppMap!$D$157:$CO$157,MATCH($A88,16_能力商機矩陣_CapOppMap!$D$4:$CO$4,0)),""))</f>
        <v>3.6</v>
      </c>
      <c r="J88" s="56" t="n">
        <f aca="false">IF($A88="","",IFERROR(INDEX(16_能力商機矩陣_CapOppMap!$D$158:$CO$158,MATCH($A88,16_能力商機矩陣_CapOppMap!$D$4:$CO$4,0)),""))</f>
        <v>2</v>
      </c>
      <c r="K88" s="57" t="n">
        <f aca="false">IF($A88="","",IFERROR(INDEX(16_能力商機矩陣_CapOppMap!$D$159:$CO$159,MATCH($A88,16_能力商機矩陣_CapOppMap!$D$4:$CO$4,0)),""))</f>
        <v>1</v>
      </c>
      <c r="L88" s="58" t="str">
        <f aca="false">IF($A88="","",IF($H88=0,"★白地商機：目前無對應能力，需新增能力或找新夥伴",IF($K88&gt;0,"有缺口："&amp;$K88&amp;"項可對外招募","已有能力可承接")))</f>
        <v>有缺口：1項可對外招募</v>
      </c>
      <c r="M88" s="59" t="s">
        <v>744</v>
      </c>
      <c r="N88" s="60" t="s">
        <v>875</v>
      </c>
      <c r="O88" s="60" t="s">
        <v>345</v>
      </c>
      <c r="P88" s="59" t="s">
        <v>245</v>
      </c>
      <c r="Q88" s="60" t="s">
        <v>272</v>
      </c>
      <c r="R88" s="59" t="s">
        <v>259</v>
      </c>
      <c r="S88" s="53" t="s">
        <v>884</v>
      </c>
      <c r="T88" s="55" t="n">
        <f aca="false">IF($A88="","",COUNTIF(14_商機清單_Pipeline!$A$5:$A$34,$U88))</f>
        <v>0</v>
      </c>
      <c r="U88" s="54" t="str">
        <f aca="false">IF($B88="","",$A88&amp;" "&amp;$B88)</f>
        <v>OPP-84 商業健康保險合作與給付方案設計</v>
      </c>
      <c r="V88" s="70" t="s">
        <v>275</v>
      </c>
      <c r="W88" s="52"/>
      <c r="X88" s="55" t="n">
        <f aca="false">IF($A88="","",IFERROR(INDEX(16_能力商機矩陣_CapOppMap!$D$162:$CO$162,MATCH($A88,16_能力商機矩陣_CapOppMap!$D$4:$CO$4,0)),""))</f>
        <v>0</v>
      </c>
      <c r="Y88" s="61" t="n">
        <f aca="false">IF(OR($A88="",$H88=""),"",IF($H88=0,"",ROUND(0.45*$I88+0.35*$J88+0.2*IF(LEFT($F88,1)="③",5,IF(LEFT($F88,1)="②",3,1))-IF($K88&gt;0,0.3,0),2)+ROW()/100000))</f>
        <v>3.02088</v>
      </c>
      <c r="Z88" s="62" t="n">
        <f aca="false">IF($Y88="","",RANK($Y88,$Y$5:$Y$94))</f>
        <v>71</v>
      </c>
      <c r="AA88" s="68" t="s">
        <v>263</v>
      </c>
      <c r="AB88" s="64" t="s">
        <v>885</v>
      </c>
      <c r="AC88" s="65" t="s">
        <v>237</v>
      </c>
      <c r="AD88" s="66" t="s">
        <v>864</v>
      </c>
    </row>
    <row r="89" customFormat="false" ht="49.5" hidden="false" customHeight="true" outlineLevel="0" collapsed="false">
      <c r="A89" s="50" t="s">
        <v>886</v>
      </c>
      <c r="B89" s="51" t="s">
        <v>887</v>
      </c>
      <c r="C89" s="52" t="s">
        <v>888</v>
      </c>
      <c r="D89" s="52" t="s">
        <v>860</v>
      </c>
      <c r="E89" s="53" t="s">
        <v>889</v>
      </c>
      <c r="F89" s="53" t="s">
        <v>343</v>
      </c>
      <c r="G89" s="54" t="str">
        <f aca="false">IF($A89="","",IF($H89=0,"（尚無對應能力）",IFERROR(INDEX(16_能力商機矩陣_CapOppMap!$D$160:$CO$160,MATCH($A89,16_能力商機矩陣_CapOppMap!$D$4:$CO$4,0)),"")))</f>
        <v>D01; D10</v>
      </c>
      <c r="H89" s="55" t="n">
        <f aca="false">IF($A89="","",IFERROR(INDEX(16_能力商機矩陣_CapOppMap!$D$156:$CO$156,MATCH($A89,16_能力商機矩陣_CapOppMap!$D$4:$CO$4,0)),""))</f>
        <v>2</v>
      </c>
      <c r="I89" s="56" t="n">
        <f aca="false">IF($A89="","",IFERROR(INDEX(16_能力商機矩陣_CapOppMap!$D$157:$CO$157,MATCH($A89,16_能力商機矩陣_CapOppMap!$D$4:$CO$4,0)),""))</f>
        <v>3.5</v>
      </c>
      <c r="J89" s="56" t="n">
        <f aca="false">IF($A89="","",IFERROR(INDEX(16_能力商機矩陣_CapOppMap!$D$158:$CO$158,MATCH($A89,16_能力商機矩陣_CapOppMap!$D$4:$CO$4,0)),""))</f>
        <v>2</v>
      </c>
      <c r="K89" s="57" t="n">
        <f aca="false">IF($A89="","",IFERROR(INDEX(16_能力商機矩陣_CapOppMap!$D$159:$CO$159,MATCH($A89,16_能力商機矩陣_CapOppMap!$D$4:$CO$4,0)),""))</f>
        <v>0</v>
      </c>
      <c r="L89" s="58" t="str">
        <f aca="false">IF($A89="","",IF($H89=0,"★白地商機：目前無對應能力，需新增能力或找新夥伴",IF($K89&gt;0,"有缺口："&amp;$K89&amp;"項可對外招募","已有能力可承接")))</f>
        <v>已有能力可承接</v>
      </c>
      <c r="M89" s="59" t="s">
        <v>744</v>
      </c>
      <c r="N89" s="60" t="s">
        <v>244</v>
      </c>
      <c r="O89" s="60" t="s">
        <v>228</v>
      </c>
      <c r="P89" s="59" t="s">
        <v>245</v>
      </c>
      <c r="Q89" s="60" t="s">
        <v>272</v>
      </c>
      <c r="R89" s="59" t="s">
        <v>890</v>
      </c>
      <c r="S89" s="53" t="s">
        <v>891</v>
      </c>
      <c r="T89" s="55" t="n">
        <f aca="false">IF($A89="","",COUNTIF(14_商機清單_Pipeline!$A$5:$A$34,$U89))</f>
        <v>0</v>
      </c>
      <c r="U89" s="54" t="str">
        <f aca="false">IF($B89="","",$A89&amp;" "&amp;$B89)</f>
        <v>OPP-85 效益實現與第二院區複製藍圖</v>
      </c>
      <c r="V89" s="70" t="s">
        <v>275</v>
      </c>
      <c r="W89" s="52"/>
      <c r="X89" s="55" t="n">
        <f aca="false">IF($A89="","",IFERROR(INDEX(16_能力商機矩陣_CapOppMap!$D$162:$CO$162,MATCH($A89,16_能力商機矩陣_CapOppMap!$D$4:$CO$4,0)),""))</f>
        <v>0</v>
      </c>
      <c r="Y89" s="61" t="n">
        <f aca="false">IF(OR($A89="",$H89=""),"",IF($H89=0,"",ROUND(0.45*$I89+0.35*$J89+0.2*IF(LEFT($F89,1)="③",5,IF(LEFT($F89,1)="②",3,1))-IF($K89&gt;0,0.3,0),2)+ROW()/100000))</f>
        <v>3.28089</v>
      </c>
      <c r="Z89" s="62" t="n">
        <f aca="false">IF($Y89="","",RANK($Y89,$Y$5:$Y$94))</f>
        <v>58</v>
      </c>
      <c r="AA89" s="68" t="s">
        <v>263</v>
      </c>
      <c r="AB89" s="69" t="s">
        <v>892</v>
      </c>
      <c r="AC89" s="65" t="s">
        <v>237</v>
      </c>
      <c r="AD89" s="66" t="s">
        <v>864</v>
      </c>
    </row>
    <row r="90" customFormat="false" ht="49.5" hidden="false" customHeight="true" outlineLevel="0" collapsed="false">
      <c r="A90" s="50" t="str">
        <f aca="false">IF($B90="","",IFERROR("OPP-"&amp;TEXT(VALUE(MID($A89,5,2))+1,"00"),"OPP-??"))</f>
        <v/>
      </c>
      <c r="B90" s="76"/>
      <c r="C90" s="52"/>
      <c r="D90" s="52"/>
      <c r="E90" s="52"/>
      <c r="F90" s="53"/>
      <c r="G90" s="54" t="str">
        <f aca="false">IF($A90="","",IF($H90=0,"（尚無對應能力）",IFERROR(INDEX(16_能力商機矩陣_CapOppMap!$D$160:$CO$160,MATCH($A90,16_能力商機矩陣_CapOppMap!$D$4:$CO$4,0)),"")))</f>
        <v/>
      </c>
      <c r="H90" s="55" t="str">
        <f aca="false">IF($A90="","",IFERROR(INDEX(16_能力商機矩陣_CapOppMap!$D$156:$CO$156,MATCH($A90,16_能力商機矩陣_CapOppMap!$D$4:$CO$4,0)),""))</f>
        <v/>
      </c>
      <c r="I90" s="56" t="str">
        <f aca="false">IF($A90="","",IFERROR(INDEX(16_能力商機矩陣_CapOppMap!$D$157:$CO$157,MATCH($A90,16_能力商機矩陣_CapOppMap!$D$4:$CO$4,0)),""))</f>
        <v/>
      </c>
      <c r="J90" s="56" t="str">
        <f aca="false">IF($A90="","",IFERROR(INDEX(16_能力商機矩陣_CapOppMap!$D$158:$CO$158,MATCH($A90,16_能力商機矩陣_CapOppMap!$D$4:$CO$4,0)),""))</f>
        <v/>
      </c>
      <c r="K90" s="57" t="str">
        <f aca="false">IF($A90="","",IFERROR(INDEX(16_能力商機矩陣_CapOppMap!$D$159:$CO$159,MATCH($A90,16_能力商機矩陣_CapOppMap!$D$4:$CO$4,0)),""))</f>
        <v/>
      </c>
      <c r="L90" s="58" t="str">
        <f aca="false">IF($A90="","",IF($H90=0,"★白地商機：目前無對應能力，需新增能力或找新夥伴",IF($K90&gt;0,"有缺口："&amp;$K90&amp;"項可對外招募","已有能力可承接")))</f>
        <v/>
      </c>
      <c r="M90" s="59"/>
      <c r="N90" s="60"/>
      <c r="O90" s="59"/>
      <c r="P90" s="59"/>
      <c r="Q90" s="60"/>
      <c r="R90" s="59"/>
      <c r="S90" s="52"/>
      <c r="T90" s="55" t="str">
        <f aca="false">IF($A90="","",COUNTIF(14_商機清單_Pipeline!$A$5:$A$34,$U90))</f>
        <v/>
      </c>
      <c r="U90" s="54" t="str">
        <f aca="false">IF($B90="","",$A90&amp;" "&amp;$B90)</f>
        <v/>
      </c>
      <c r="V90" s="52"/>
      <c r="W90" s="52"/>
      <c r="X90" s="55" t="str">
        <f aca="false">IF($A90="","",IFERROR(INDEX(16_能力商機矩陣_CapOppMap!$D$162:$CO$162,MATCH($A90,16_能力商機矩陣_CapOppMap!$D$4:$CO$4,0)),""))</f>
        <v/>
      </c>
      <c r="Y90" s="61" t="str">
        <f aca="false">IF(OR($A90="",$H90=""),"",IF($H90=0,"",ROUND(0.45*$I90+0.35*$J90+0.2*IF(LEFT($F90,1)="③",5,IF(LEFT($F90,1)="②",3,1))-IF($K90&gt;0,0.3,0),2)+ROW()/100000))</f>
        <v/>
      </c>
      <c r="Z90" s="62" t="str">
        <f aca="false">IF($Y90="","",RANK($Y90,$Y$5:$Y$94))</f>
        <v/>
      </c>
    </row>
    <row r="91" customFormat="false" ht="49.5" hidden="false" customHeight="true" outlineLevel="0" collapsed="false">
      <c r="A91" s="50" t="str">
        <f aca="false">IF($B91="","",IFERROR("OPP-"&amp;TEXT(VALUE(MID($A90,5,2))+1,"00"),"OPP-??"))</f>
        <v/>
      </c>
      <c r="B91" s="76"/>
      <c r="C91" s="52"/>
      <c r="D91" s="52"/>
      <c r="E91" s="52"/>
      <c r="F91" s="53"/>
      <c r="G91" s="54" t="str">
        <f aca="false">IF($A91="","",IF($H91=0,"（尚無對應能力）",IFERROR(INDEX(16_能力商機矩陣_CapOppMap!$D$160:$CO$160,MATCH($A91,16_能力商機矩陣_CapOppMap!$D$4:$CO$4,0)),"")))</f>
        <v/>
      </c>
      <c r="H91" s="55" t="str">
        <f aca="false">IF($A91="","",IFERROR(INDEX(16_能力商機矩陣_CapOppMap!$D$156:$CO$156,MATCH($A91,16_能力商機矩陣_CapOppMap!$D$4:$CO$4,0)),""))</f>
        <v/>
      </c>
      <c r="I91" s="56" t="str">
        <f aca="false">IF($A91="","",IFERROR(INDEX(16_能力商機矩陣_CapOppMap!$D$157:$CO$157,MATCH($A91,16_能力商機矩陣_CapOppMap!$D$4:$CO$4,0)),""))</f>
        <v/>
      </c>
      <c r="J91" s="56" t="str">
        <f aca="false">IF($A91="","",IFERROR(INDEX(16_能力商機矩陣_CapOppMap!$D$158:$CO$158,MATCH($A91,16_能力商機矩陣_CapOppMap!$D$4:$CO$4,0)),""))</f>
        <v/>
      </c>
      <c r="K91" s="57" t="str">
        <f aca="false">IF($A91="","",IFERROR(INDEX(16_能力商機矩陣_CapOppMap!$D$159:$CO$159,MATCH($A91,16_能力商機矩陣_CapOppMap!$D$4:$CO$4,0)),""))</f>
        <v/>
      </c>
      <c r="L91" s="58" t="str">
        <f aca="false">IF($A91="","",IF($H91=0,"★白地商機：目前無對應能力，需新增能力或找新夥伴",IF($K91&gt;0,"有缺口："&amp;$K91&amp;"項可對外招募","已有能力可承接")))</f>
        <v/>
      </c>
      <c r="M91" s="59"/>
      <c r="N91" s="60"/>
      <c r="O91" s="59"/>
      <c r="P91" s="59"/>
      <c r="Q91" s="60"/>
      <c r="R91" s="59"/>
      <c r="S91" s="52"/>
      <c r="T91" s="55" t="str">
        <f aca="false">IF($A91="","",COUNTIF(14_商機清單_Pipeline!$A$5:$A$34,$U91))</f>
        <v/>
      </c>
      <c r="U91" s="54" t="str">
        <f aca="false">IF($B91="","",$A91&amp;" "&amp;$B91)</f>
        <v/>
      </c>
      <c r="V91" s="52"/>
      <c r="W91" s="52"/>
      <c r="X91" s="55" t="str">
        <f aca="false">IF($A91="","",IFERROR(INDEX(16_能力商機矩陣_CapOppMap!$D$162:$CO$162,MATCH($A91,16_能力商機矩陣_CapOppMap!$D$4:$CO$4,0)),""))</f>
        <v/>
      </c>
      <c r="Y91" s="61" t="str">
        <f aca="false">IF(OR($A91="",$H91=""),"",IF($H91=0,"",ROUND(0.45*$I91+0.35*$J91+0.2*IF(LEFT($F91,1)="③",5,IF(LEFT($F91,1)="②",3,1))-IF($K91&gt;0,0.3,0),2)+ROW()/100000))</f>
        <v/>
      </c>
      <c r="Z91" s="62" t="str">
        <f aca="false">IF($Y91="","",RANK($Y91,$Y$5:$Y$94))</f>
        <v/>
      </c>
    </row>
    <row r="92" customFormat="false" ht="49.5" hidden="false" customHeight="true" outlineLevel="0" collapsed="false">
      <c r="A92" s="50" t="str">
        <f aca="false">IF($B92="","",IFERROR("OPP-"&amp;TEXT(VALUE(MID($A91,5,2))+1,"00"),"OPP-??"))</f>
        <v/>
      </c>
      <c r="B92" s="76"/>
      <c r="C92" s="52"/>
      <c r="D92" s="52"/>
      <c r="E92" s="52"/>
      <c r="F92" s="53"/>
      <c r="G92" s="54" t="str">
        <f aca="false">IF($A92="","",IF($H92=0,"（尚無對應能力）",IFERROR(INDEX(16_能力商機矩陣_CapOppMap!$D$160:$CO$160,MATCH($A92,16_能力商機矩陣_CapOppMap!$D$4:$CO$4,0)),"")))</f>
        <v/>
      </c>
      <c r="H92" s="55" t="str">
        <f aca="false">IF($A92="","",IFERROR(INDEX(16_能力商機矩陣_CapOppMap!$D$156:$CO$156,MATCH($A92,16_能力商機矩陣_CapOppMap!$D$4:$CO$4,0)),""))</f>
        <v/>
      </c>
      <c r="I92" s="56" t="str">
        <f aca="false">IF($A92="","",IFERROR(INDEX(16_能力商機矩陣_CapOppMap!$D$157:$CO$157,MATCH($A92,16_能力商機矩陣_CapOppMap!$D$4:$CO$4,0)),""))</f>
        <v/>
      </c>
      <c r="J92" s="56" t="str">
        <f aca="false">IF($A92="","",IFERROR(INDEX(16_能力商機矩陣_CapOppMap!$D$158:$CO$158,MATCH($A92,16_能力商機矩陣_CapOppMap!$D$4:$CO$4,0)),""))</f>
        <v/>
      </c>
      <c r="K92" s="57" t="str">
        <f aca="false">IF($A92="","",IFERROR(INDEX(16_能力商機矩陣_CapOppMap!$D$159:$CO$159,MATCH($A92,16_能力商機矩陣_CapOppMap!$D$4:$CO$4,0)),""))</f>
        <v/>
      </c>
      <c r="L92" s="58" t="str">
        <f aca="false">IF($A92="","",IF($H92=0,"★白地商機：目前無對應能力，需新增能力或找新夥伴",IF($K92&gt;0,"有缺口："&amp;$K92&amp;"項可對外招募","已有能力可承接")))</f>
        <v/>
      </c>
      <c r="M92" s="59"/>
      <c r="N92" s="60"/>
      <c r="O92" s="59"/>
      <c r="P92" s="59"/>
      <c r="Q92" s="60"/>
      <c r="R92" s="59"/>
      <c r="S92" s="52"/>
      <c r="T92" s="55" t="str">
        <f aca="false">IF($A92="","",COUNTIF(14_商機清單_Pipeline!$A$5:$A$34,$U92))</f>
        <v/>
      </c>
      <c r="U92" s="54" t="str">
        <f aca="false">IF($B92="","",$A92&amp;" "&amp;$B92)</f>
        <v/>
      </c>
      <c r="V92" s="52"/>
      <c r="W92" s="52"/>
      <c r="X92" s="55" t="str">
        <f aca="false">IF($A92="","",IFERROR(INDEX(16_能力商機矩陣_CapOppMap!$D$162:$CO$162,MATCH($A92,16_能力商機矩陣_CapOppMap!$D$4:$CO$4,0)),""))</f>
        <v/>
      </c>
      <c r="Y92" s="61" t="str">
        <f aca="false">IF(OR($A92="",$H92=""),"",IF($H92=0,"",ROUND(0.45*$I92+0.35*$J92+0.2*IF(LEFT($F92,1)="③",5,IF(LEFT($F92,1)="②",3,1))-IF($K92&gt;0,0.3,0),2)+ROW()/100000))</f>
        <v/>
      </c>
      <c r="Z92" s="62" t="str">
        <f aca="false">IF($Y92="","",RANK($Y92,$Y$5:$Y$94))</f>
        <v/>
      </c>
    </row>
    <row r="93" customFormat="false" ht="49.5" hidden="false" customHeight="true" outlineLevel="0" collapsed="false">
      <c r="A93" s="50" t="str">
        <f aca="false">IF($B93="","",IFERROR("OPP-"&amp;TEXT(VALUE(MID($A92,5,2))+1,"00"),"OPP-??"))</f>
        <v/>
      </c>
      <c r="B93" s="76"/>
      <c r="C93" s="52"/>
      <c r="D93" s="52"/>
      <c r="E93" s="52"/>
      <c r="F93" s="53"/>
      <c r="G93" s="54" t="str">
        <f aca="false">IF($A93="","",IF($H93=0,"（尚無對應能力）",IFERROR(INDEX(16_能力商機矩陣_CapOppMap!$D$160:$CO$160,MATCH($A93,16_能力商機矩陣_CapOppMap!$D$4:$CO$4,0)),"")))</f>
        <v/>
      </c>
      <c r="H93" s="55" t="str">
        <f aca="false">IF($A93="","",IFERROR(INDEX(16_能力商機矩陣_CapOppMap!$D$156:$CO$156,MATCH($A93,16_能力商機矩陣_CapOppMap!$D$4:$CO$4,0)),""))</f>
        <v/>
      </c>
      <c r="I93" s="56" t="str">
        <f aca="false">IF($A93="","",IFERROR(INDEX(16_能力商機矩陣_CapOppMap!$D$157:$CO$157,MATCH($A93,16_能力商機矩陣_CapOppMap!$D$4:$CO$4,0)),""))</f>
        <v/>
      </c>
      <c r="J93" s="56" t="str">
        <f aca="false">IF($A93="","",IFERROR(INDEX(16_能力商機矩陣_CapOppMap!$D$158:$CO$158,MATCH($A93,16_能力商機矩陣_CapOppMap!$D$4:$CO$4,0)),""))</f>
        <v/>
      </c>
      <c r="K93" s="57" t="str">
        <f aca="false">IF($A93="","",IFERROR(INDEX(16_能力商機矩陣_CapOppMap!$D$159:$CO$159,MATCH($A93,16_能力商機矩陣_CapOppMap!$D$4:$CO$4,0)),""))</f>
        <v/>
      </c>
      <c r="L93" s="58" t="str">
        <f aca="false">IF($A93="","",IF($H93=0,"★白地商機：目前無對應能力，需新增能力或找新夥伴",IF($K93&gt;0,"有缺口："&amp;$K93&amp;"項可對外招募","已有能力可承接")))</f>
        <v/>
      </c>
      <c r="M93" s="59"/>
      <c r="N93" s="60"/>
      <c r="O93" s="59"/>
      <c r="P93" s="59"/>
      <c r="Q93" s="60"/>
      <c r="R93" s="59"/>
      <c r="S93" s="52"/>
      <c r="T93" s="55" t="str">
        <f aca="false">IF($A93="","",COUNTIF(14_商機清單_Pipeline!$A$5:$A$34,$U93))</f>
        <v/>
      </c>
      <c r="U93" s="54" t="str">
        <f aca="false">IF($B93="","",$A93&amp;" "&amp;$B93)</f>
        <v/>
      </c>
      <c r="V93" s="52"/>
      <c r="W93" s="52"/>
      <c r="X93" s="55" t="str">
        <f aca="false">IF($A93="","",IFERROR(INDEX(16_能力商機矩陣_CapOppMap!$D$162:$CO$162,MATCH($A93,16_能力商機矩陣_CapOppMap!$D$4:$CO$4,0)),""))</f>
        <v/>
      </c>
      <c r="Y93" s="61" t="str">
        <f aca="false">IF(OR($A93="",$H93=""),"",IF($H93=0,"",ROUND(0.45*$I93+0.35*$J93+0.2*IF(LEFT($F93,1)="③",5,IF(LEFT($F93,1)="②",3,1))-IF($K93&gt;0,0.3,0),2)+ROW()/100000))</f>
        <v/>
      </c>
      <c r="Z93" s="62" t="str">
        <f aca="false">IF($Y93="","",RANK($Y93,$Y$5:$Y$94))</f>
        <v/>
      </c>
    </row>
    <row r="94" customFormat="false" ht="49.5" hidden="false" customHeight="true" outlineLevel="0" collapsed="false">
      <c r="A94" s="50" t="str">
        <f aca="false">IF($B94="","",IFERROR("OPP-"&amp;TEXT(VALUE(MID($A93,5,2))+1,"00"),"OPP-??"))</f>
        <v/>
      </c>
      <c r="B94" s="76"/>
      <c r="C94" s="52"/>
      <c r="D94" s="52"/>
      <c r="E94" s="52"/>
      <c r="F94" s="53"/>
      <c r="G94" s="54" t="str">
        <f aca="false">IF($A94="","",IF($H94=0,"（尚無對應能力）",IFERROR(INDEX(16_能力商機矩陣_CapOppMap!$D$160:$CO$160,MATCH($A94,16_能力商機矩陣_CapOppMap!$D$4:$CO$4,0)),"")))</f>
        <v/>
      </c>
      <c r="H94" s="55" t="str">
        <f aca="false">IF($A94="","",IFERROR(INDEX(16_能力商機矩陣_CapOppMap!$D$156:$CO$156,MATCH($A94,16_能力商機矩陣_CapOppMap!$D$4:$CO$4,0)),""))</f>
        <v/>
      </c>
      <c r="I94" s="56" t="str">
        <f aca="false">IF($A94="","",IFERROR(INDEX(16_能力商機矩陣_CapOppMap!$D$157:$CO$157,MATCH($A94,16_能力商機矩陣_CapOppMap!$D$4:$CO$4,0)),""))</f>
        <v/>
      </c>
      <c r="J94" s="56" t="str">
        <f aca="false">IF($A94="","",IFERROR(INDEX(16_能力商機矩陣_CapOppMap!$D$158:$CO$158,MATCH($A94,16_能力商機矩陣_CapOppMap!$D$4:$CO$4,0)),""))</f>
        <v/>
      </c>
      <c r="K94" s="57" t="str">
        <f aca="false">IF($A94="","",IFERROR(INDEX(16_能力商機矩陣_CapOppMap!$D$159:$CO$159,MATCH($A94,16_能力商機矩陣_CapOppMap!$D$4:$CO$4,0)),""))</f>
        <v/>
      </c>
      <c r="L94" s="58" t="str">
        <f aca="false">IF($A94="","",IF($H94=0,"★白地商機：目前無對應能力，需新增能力或找新夥伴",IF($K94&gt;0,"有缺口："&amp;$K94&amp;"項可對外招募","已有能力可承接")))</f>
        <v/>
      </c>
      <c r="M94" s="59"/>
      <c r="N94" s="60"/>
      <c r="O94" s="59"/>
      <c r="P94" s="59"/>
      <c r="Q94" s="60"/>
      <c r="R94" s="59"/>
      <c r="S94" s="52"/>
      <c r="T94" s="55" t="str">
        <f aca="false">IF($A94="","",COUNTIF(14_商機清單_Pipeline!$A$5:$A$34,$U94))</f>
        <v/>
      </c>
      <c r="U94" s="54" t="str">
        <f aca="false">IF($B94="","",$A94&amp;" "&amp;$B94)</f>
        <v/>
      </c>
      <c r="V94" s="52"/>
      <c r="W94" s="52"/>
      <c r="X94" s="55" t="str">
        <f aca="false">IF($A94="","",IFERROR(INDEX(16_能力商機矩陣_CapOppMap!$D$162:$CO$162,MATCH($A94,16_能力商機矩陣_CapOppMap!$D$4:$CO$4,0)),""))</f>
        <v/>
      </c>
      <c r="Y94" s="61" t="str">
        <f aca="false">IF(OR($A94="",$H94=""),"",IF($H94=0,"",ROUND(0.45*$I94+0.35*$J94+0.2*IF(LEFT($F94,1)="③",5,IF(LEFT($F94,1)="②",3,1))-IF($K94&gt;0,0.3,0),2)+ROW()/100000))</f>
        <v/>
      </c>
      <c r="Z94" s="62" t="str">
        <f aca="false">IF($Y94="","",RANK($Y94,$Y$5:$Y$94))</f>
        <v/>
      </c>
    </row>
    <row r="96" customFormat="false" ht="15" hidden="false" customHeight="true" outlineLevel="0" collapsed="false">
      <c r="A96" s="80" t="s">
        <v>893</v>
      </c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</row>
    <row r="97" customFormat="false" ht="15" hidden="false" customHeight="false" outlineLevel="0" collapsed="false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</row>
    <row r="98" customFormat="false" ht="15" hidden="false" customHeight="false" outlineLevel="0" collapsed="false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</row>
    <row r="99" customFormat="false" ht="15" hidden="false" customHeight="false" outlineLevel="0" collapsed="false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</row>
  </sheetData>
  <sheetProtection sheet="true" formatColumns="false" formatRows="false" autoFilter="false"/>
  <autoFilter ref="A4:AD94"/>
  <mergeCells count="5">
    <mergeCell ref="A1:U1"/>
    <mergeCell ref="A2:U2"/>
    <mergeCell ref="A3:F3"/>
    <mergeCell ref="G3:U3"/>
    <mergeCell ref="A96:Z99"/>
  </mergeCells>
  <conditionalFormatting sqref="Z5:Z94">
    <cfRule type="cellIs" priority="2" operator="lessThanOrEqual" aboveAverage="0" equalAverage="0" bottom="0" percent="0" rank="0" text="" dxfId="31">
      <formula>10</formula>
    </cfRule>
  </conditionalFormatting>
  <conditionalFormatting sqref="F5:F94">
    <cfRule type="expression" priority="3" aboveAverage="0" equalAverage="0" bottom="0" percent="0" rank="0" text="" dxfId="32">
      <formula>ISNUMBER(SEARCH("③",F5))</formula>
    </cfRule>
    <cfRule type="expression" priority="4" aboveAverage="0" equalAverage="0" bottom="0" percent="0" rank="0" text="" dxfId="33">
      <formula>ISNUMBER(SEARCH("②",F5))</formula>
    </cfRule>
    <cfRule type="expression" priority="5" aboveAverage="0" equalAverage="0" bottom="0" percent="0" rank="0" text="" dxfId="34">
      <formula>ISNUMBER(SEARCH("①",F5))</formula>
    </cfRule>
  </conditionalFormatting>
  <conditionalFormatting sqref="L5:L94">
    <cfRule type="expression" priority="6" aboveAverage="0" equalAverage="0" bottom="0" percent="0" rank="0" text="" dxfId="32">
      <formula>ISNUMBER(SEARCH("★白地",L5))</formula>
    </cfRule>
    <cfRule type="expression" priority="7" aboveAverage="0" equalAverage="0" bottom="0" percent="0" rank="0" text="" dxfId="33">
      <formula>ISNUMBER(SEARCH("有缺口",L5))</formula>
    </cfRule>
    <cfRule type="expression" priority="8" aboveAverage="0" equalAverage="0" bottom="0" percent="0" rank="0" text="" dxfId="35">
      <formula>ISNUMBER(SEARCH("已有能力",L5))</formula>
    </cfRule>
  </conditionalFormatting>
  <conditionalFormatting sqref="Q5:Q94">
    <cfRule type="expression" priority="9" aboveAverage="0" equalAverage="0" bottom="0" percent="0" rank="0" text="" dxfId="35">
      <formula>ISNUMBER(SEARCH("是",Q5))</formula>
    </cfRule>
  </conditionalFormatting>
  <dataValidations count="8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D5:D94" type="list">
      <formula1>L_OppFam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F5:F94" type="list">
      <formula1>L_VNMat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M5:M94" type="list">
      <formula1>L_Stage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N5:N94" type="list">
      <formula1>L_Payer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O5:O94" type="list">
      <formula1>L_PkgTxn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P5:P94" type="list">
      <formula1>L_AmtTier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Q5:Q94" type="list">
      <formula1>L_PkgStd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R5:R94" type="list">
      <formula1>L_Lead</formula1>
      <formula2>0</formula2>
    </dataValidation>
  </dataValidations>
  <hyperlinks>
    <hyperlink ref="V3" r:id="rId1" location="'00A_從這裡開始_Start'!A1" display="⌂ 回導引頁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7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20"/>
  </cols>
  <sheetData>
    <row r="1" customFormat="false" ht="30" hidden="false" customHeight="true" outlineLevel="0" collapsed="false">
      <c r="A1" s="1" t="s">
        <v>894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5.5" hidden="false" customHeight="true" outlineLevel="0" collapsed="false">
      <c r="A2" s="4" t="s">
        <v>895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customFormat="false" ht="15" hidden="false" customHeight="false" outlineLevel="0" collapsed="false">
      <c r="A3" s="5" t="s">
        <v>12</v>
      </c>
    </row>
    <row r="4" customFormat="false" ht="30" hidden="false" customHeight="true" outlineLevel="0" collapsed="false">
      <c r="A4" s="81" t="s">
        <v>896</v>
      </c>
      <c r="B4" s="81"/>
      <c r="C4" s="82" t="s">
        <v>897</v>
      </c>
      <c r="D4" s="82"/>
      <c r="E4" s="82"/>
      <c r="F4" s="83" t="s">
        <v>898</v>
      </c>
      <c r="G4" s="83" t="s">
        <v>185</v>
      </c>
      <c r="H4" s="83" t="s">
        <v>899</v>
      </c>
      <c r="I4" s="83" t="s">
        <v>900</v>
      </c>
      <c r="J4" s="83" t="s">
        <v>901</v>
      </c>
      <c r="K4" s="83" t="s">
        <v>144</v>
      </c>
    </row>
    <row r="5" customFormat="false" ht="17.35" hidden="false" customHeight="false" outlineLevel="0" collapsed="false">
      <c r="F5" s="84" t="n">
        <f aca="false">IFERROR(INDEX(15_商機字典_OppLibrary!$H$5:$H$94,MATCH($C$4,15_商機字典_OppLibrary!$U$5:$U$94,0)),"")</f>
        <v>3</v>
      </c>
      <c r="G5" s="85" t="n">
        <f aca="false">IFERROR(INDEX(15_商機字典_OppLibrary!$K$5:$K$94,MATCH($C$4,15_商機字典_OppLibrary!$U$5:$U$94,0)),"")</f>
        <v>0</v>
      </c>
      <c r="H5" s="86" t="n">
        <f aca="false">IFERROR(INDEX(15_商機字典_OppLibrary!$X$5:$X$94,MATCH($C$4,15_商機字典_OppLibrary!$U$5:$U$94,0)),"")</f>
        <v>3</v>
      </c>
      <c r="I5" s="87" t="n">
        <f aca="false">IFERROR(INDEX(15_商機字典_OppLibrary!$J$5:$J$94,MATCH($C$4,15_商機字典_OppLibrary!$U$5:$U$94,0)),"")</f>
        <v>3.4</v>
      </c>
      <c r="J5" s="88" t="str">
        <f aca="false">IFERROR(INDEX(15_商機字典_OppLibrary!$P$5:$P$94,MATCH($C$4,15_商機字典_OppLibrary!$U$5:$U$94,0)),"")</f>
        <v>2M-10M USD</v>
      </c>
      <c r="K5" s="89" t="str">
        <f aca="false">IFERROR(INDEX(15_商機字典_OppLibrary!$F$5:$F$94,MATCH($C$4,15_商機字典_OppLibrary!$U$5:$U$94,0)),"")</f>
        <v>② 起步中：剛開始有人做</v>
      </c>
    </row>
    <row r="6" customFormat="false" ht="25.5" hidden="false" customHeight="true" outlineLevel="0" collapsed="false">
      <c r="A6" s="90" t="str">
        <f aca="false">IFERROR("主要競爭者／在地玩家："&amp;INDEX(15_商機字典_OppLibrary!$V$5:$V$94,MATCH($C$4,15_商機字典_OppLibrary!$U$5:$U$94,0)),"")</f>
        <v>主要競爭者／在地玩家：Viettel IDC/VNPT/FPT 自有機房（通用型）</v>
      </c>
      <c r="B6" s="90"/>
      <c r="C6" s="90"/>
      <c r="D6" s="90"/>
      <c r="E6" s="90"/>
      <c r="F6" s="90"/>
      <c r="G6" s="90"/>
      <c r="H6" s="90"/>
      <c r="I6" s="90"/>
      <c r="J6" s="90"/>
      <c r="K6" s="90"/>
    </row>
    <row r="7" customFormat="false" ht="25.5" hidden="false" customHeight="true" outlineLevel="0" collapsed="false">
      <c r="A7" s="91" t="str">
        <f aca="false">IFERROR("我們的切入角度："&amp;INDEX(15_商機字典_OppLibrary!$W$5:$W$94,MATCH($C$4,15_商機字典_OppLibrary!$U$5:$U$94,0)),"")</f>
        <v>我們的切入角度：醫院級機房（IEC 80001＋隔離電源整合），非通用機房</v>
      </c>
      <c r="B7" s="91"/>
      <c r="C7" s="91"/>
      <c r="D7" s="91"/>
      <c r="E7" s="91"/>
      <c r="F7" s="91"/>
      <c r="G7" s="91"/>
      <c r="H7" s="91"/>
      <c r="I7" s="91"/>
      <c r="J7" s="91"/>
      <c r="K7" s="91"/>
    </row>
    <row r="8" customFormat="false" ht="25.5" hidden="false" customHeight="true" outlineLevel="0" collapsed="false">
      <c r="A8" s="90" t="str">
        <f aca="false">IFERROR("越南在地重點："&amp;INDEX(15_商機字典_OppLibrary!$S$5:$S$94,MATCH($C$4,15_商機字典_OppLibrary!$U$5:$U$94,0)),"")</f>
        <v>越南在地重點：★群晶核心強項。越南資料在地化(Decree 53)與資安法要求機房落地，機房選址須與OPP-10供電一起談</v>
      </c>
      <c r="B8" s="90"/>
      <c r="C8" s="90"/>
      <c r="D8" s="90"/>
      <c r="E8" s="90"/>
      <c r="F8" s="90"/>
      <c r="G8" s="90"/>
      <c r="H8" s="90"/>
      <c r="I8" s="90"/>
      <c r="J8" s="90"/>
      <c r="K8" s="90"/>
    </row>
    <row r="10" customFormat="false" ht="25.5" hidden="false" customHeight="true" outlineLevel="0" collapsed="false">
      <c r="A10" s="92" t="s">
        <v>902</v>
      </c>
      <c r="B10" s="92" t="s">
        <v>903</v>
      </c>
      <c r="C10" s="48" t="s">
        <v>904</v>
      </c>
      <c r="D10" s="48" t="s">
        <v>905</v>
      </c>
      <c r="E10" s="48" t="s">
        <v>906</v>
      </c>
      <c r="F10" s="48" t="s">
        <v>907</v>
      </c>
      <c r="G10" s="48" t="s">
        <v>908</v>
      </c>
      <c r="H10" s="48" t="s">
        <v>909</v>
      </c>
      <c r="I10" s="48" t="s">
        <v>910</v>
      </c>
      <c r="J10" s="48" t="s">
        <v>911</v>
      </c>
      <c r="K10" s="48" t="s">
        <v>912</v>
      </c>
    </row>
    <row r="11" customFormat="false" ht="25.5" hidden="false" customHeight="true" outlineLevel="0" collapsed="false">
      <c r="A11" s="93" t="n">
        <f aca="false">IF($B11="","",1)</f>
        <v>1</v>
      </c>
      <c r="B11" s="94" t="str">
        <f aca="false">IFERROR(INDEX(03_能力總表_Master!$A$5:$A$154,MATCH(1,_計算_Calc!$CC$5:$CC$154,0)),"")</f>
        <v>CAP-020</v>
      </c>
      <c r="C11" s="95" t="str">
        <f aca="false">IFERROR(INDEX(03_能力總表_Master!$E$5:$E$154,MATCH(1,_計算_Calc!$CC$5:$CC$154,0)),"")</f>
        <v>IDC與邊緣運算底座</v>
      </c>
      <c r="D11" s="96" t="str">
        <f aca="false">IFERROR(INDEX(03_能力總表_Master!$H$5:$H$154,MATCH(1,_計算_Calc!$CC$5:$CC$154,0)),"")</f>
        <v>群晶主導</v>
      </c>
      <c r="E11" s="93" t="str">
        <f aca="false">IFERROR(INDEX(03_能力總表_Master!$I$5:$I$154,MATCH(1,_計算_Calc!$CC$5:$CC$154,0)),"")</f>
        <v>Digital Infrastructure Lead</v>
      </c>
      <c r="F11" s="95" t="str">
        <f aca="false">IFERROR(INDEX(03_能力總表_Master!$J$5:$J$154,MATCH(1,_計算_Calc!$CC$5:$CC$154,0)),"")</f>
        <v>P-001 群晶科技</v>
      </c>
      <c r="G11" s="97" t="n">
        <f aca="false">IFERROR(INDEX(03_能力總表_Master!$U$5:$U$154,MATCH(1,_計算_Calc!$CC$5:$CC$154,0)),"")</f>
        <v>3.4</v>
      </c>
      <c r="H11" s="95" t="str">
        <f aca="false">IFERROR(INDEX(03_能力總表_Master!$K$5:$K$154,MATCH(1,_計算_Calc!$CC$5:$CC$154,0)),"")</f>
        <v>群晶提出方案書與實績</v>
      </c>
      <c r="I11" s="95" t="str">
        <f aca="false">IFERROR(INDEX(03_能力總表_Master!$L$5:$L$154,MATCH(1,_計算_Calc!$CC$5:$CC$154,0)),"")</f>
        <v>HIMSS-INFRAM; ISO-27001</v>
      </c>
      <c r="J11" s="96" t="str">
        <f aca="false">IFERROR(INDEX(03_能力總表_Master!$W$5:$W$154,MATCH(1,_計算_Calc!$CC$5:$CC$154,0)),"")</f>
        <v>立即推進 Go</v>
      </c>
      <c r="K11" s="95" t="str">
        <f aca="false">IFERROR(INDEX(03_能力總表_Master!$AF$5:$AF$154,MATCH(1,_計算_Calc!$CC$5:$CC$154,0)),"")</f>
        <v>OPP-24; OPP-25; OPP-40; OPP-57</v>
      </c>
    </row>
    <row r="12" customFormat="false" ht="25.5" hidden="false" customHeight="true" outlineLevel="0" collapsed="false">
      <c r="A12" s="93" t="n">
        <f aca="false">IF($B12="","",2)</f>
        <v>2</v>
      </c>
      <c r="B12" s="94" t="str">
        <f aca="false">IFERROR(INDEX(03_能力總表_Master!$A$5:$A$154,MATCH(2,_計算_Calc!$CC$5:$CC$154,0)),"")</f>
        <v>CAP-021</v>
      </c>
      <c r="C12" s="95" t="str">
        <f aca="false">IFERROR(INDEX(03_能力總表_Master!$E$5:$E$154,MATCH(2,_計算_Calc!$CC$5:$CC$154,0)),"")</f>
        <v>有線無線網路與分區</v>
      </c>
      <c r="D12" s="96" t="str">
        <f aca="false">IFERROR(INDEX(03_能力總表_Master!$H$5:$H$154,MATCH(2,_計算_Calc!$CC$5:$CC$154,0)),"")</f>
        <v>群晶主導</v>
      </c>
      <c r="E12" s="93" t="str">
        <f aca="false">IFERROR(INDEX(03_能力總表_Master!$I$5:$I$154,MATCH(2,_計算_Calc!$CC$5:$CC$154,0)),"")</f>
        <v>Network Lead</v>
      </c>
      <c r="F12" s="95" t="str">
        <f aca="false">IFERROR(INDEX(03_能力總表_Master!$J$5:$J$154,MATCH(2,_計算_Calc!$CC$5:$CC$154,0)),"")</f>
        <v>P-001 群晶科技</v>
      </c>
      <c r="G12" s="97" t="n">
        <f aca="false">IFERROR(INDEX(03_能力總表_Master!$U$5:$U$154,MATCH(2,_計算_Calc!$CC$5:$CC$154,0)),"")</f>
        <v>3.4</v>
      </c>
      <c r="H12" s="95" t="str">
        <f aca="false">IFERROR(INDEX(03_能力總表_Master!$K$5:$K$154,MATCH(2,_計算_Calc!$CC$5:$CC$154,0)),"")</f>
        <v>群晶提出方案書與實績</v>
      </c>
      <c r="I12" s="95" t="str">
        <f aca="false">IFERROR(INDEX(03_能力總表_Master!$L$5:$L$154,MATCH(2,_計算_Calc!$CC$5:$CC$154,0)),"")</f>
        <v>HIMSS-INFRAM; ISO-27001</v>
      </c>
      <c r="J12" s="96" t="str">
        <f aca="false">IFERROR(INDEX(03_能力總表_Master!$W$5:$W$154,MATCH(2,_計算_Calc!$CC$5:$CC$154,0)),"")</f>
        <v>快速小案 Quick-win</v>
      </c>
      <c r="K12" s="95" t="str">
        <f aca="false">IFERROR(INDEX(03_能力總表_Master!$AF$5:$AF$154,MATCH(2,_計算_Calc!$CC$5:$CC$154,0)),"")</f>
        <v>OPP-24</v>
      </c>
    </row>
    <row r="13" customFormat="false" ht="25.5" hidden="false" customHeight="true" outlineLevel="0" collapsed="false">
      <c r="A13" s="93" t="n">
        <f aca="false">IF($B13="","",3)</f>
        <v>3</v>
      </c>
      <c r="B13" s="94" t="str">
        <f aca="false">IFERROR(INDEX(03_能力總表_Master!$A$5:$A$154,MATCH(3,_計算_Calc!$CC$5:$CC$154,0)),"")</f>
        <v>CAP-026</v>
      </c>
      <c r="C13" s="95" t="str">
        <f aca="false">IFERROR(INDEX(03_能力總表_Master!$E$5:$E$154,MATCH(3,_計算_Calc!$CC$5:$CC$154,0)),"")</f>
        <v>災難復原與營運持續</v>
      </c>
      <c r="D13" s="96" t="str">
        <f aca="false">IFERROR(INDEX(03_能力總表_Master!$H$5:$H$154,MATCH(3,_計算_Calc!$CC$5:$CC$154,0)),"")</f>
        <v>群晶主導</v>
      </c>
      <c r="E13" s="93" t="str">
        <f aca="false">IFERROR(INDEX(03_能力總表_Master!$I$5:$I$154,MATCH(3,_計算_Calc!$CC$5:$CC$154,0)),"")</f>
        <v>BCM Lead</v>
      </c>
      <c r="F13" s="95" t="str">
        <f aca="false">IFERROR(INDEX(03_能力總表_Master!$J$5:$J$154,MATCH(3,_計算_Calc!$CC$5:$CC$154,0)),"")</f>
        <v>P-001 群晶科技</v>
      </c>
      <c r="G13" s="97" t="n">
        <f aca="false">IFERROR(INDEX(03_能力總表_Master!$U$5:$U$154,MATCH(3,_計算_Calc!$CC$5:$CC$154,0)),"")</f>
        <v>3.4</v>
      </c>
      <c r="H13" s="95" t="str">
        <f aca="false">IFERROR(INDEX(03_能力總表_Master!$K$5:$K$154,MATCH(3,_計算_Calc!$CC$5:$CC$154,0)),"")</f>
        <v>群晶提出方案書與實績</v>
      </c>
      <c r="I13" s="95" t="str">
        <f aca="false">IFERROR(INDEX(03_能力總表_Master!$L$5:$L$154,MATCH(3,_計算_Calc!$CC$5:$CC$154,0)),"")</f>
        <v>ISO-22301; ISO-27001</v>
      </c>
      <c r="J13" s="96" t="str">
        <f aca="false">IFERROR(INDEX(03_能力總表_Master!$W$5:$W$154,MATCH(3,_計算_Calc!$CC$5:$CC$154,0)),"")</f>
        <v>立即推進 Go</v>
      </c>
      <c r="K13" s="95" t="str">
        <f aca="false">IFERROR(INDEX(03_能力總表_Master!$AF$5:$AF$154,MATCH(3,_計算_Calc!$CC$5:$CC$154,0)),"")</f>
        <v>OPP-24; OPP-25; OPP-27; OPP-29; OPP-39; OPP-59</v>
      </c>
    </row>
    <row r="14" customFormat="false" ht="25.5" hidden="false" customHeight="true" outlineLevel="0" collapsed="false">
      <c r="A14" s="93" t="str">
        <f aca="false">IF($B14="","",4)</f>
        <v/>
      </c>
      <c r="B14" s="94" t="str">
        <f aca="false">IFERROR(INDEX(03_能力總表_Master!$A$5:$A$154,MATCH(4,_計算_Calc!$CC$5:$CC$154,0)),"")</f>
        <v/>
      </c>
      <c r="C14" s="95" t="str">
        <f aca="false">IFERROR(INDEX(03_能力總表_Master!$E$5:$E$154,MATCH(4,_計算_Calc!$CC$5:$CC$154,0)),"")</f>
        <v/>
      </c>
      <c r="D14" s="96" t="str">
        <f aca="false">IFERROR(INDEX(03_能力總表_Master!$H$5:$H$154,MATCH(4,_計算_Calc!$CC$5:$CC$154,0)),"")</f>
        <v/>
      </c>
      <c r="E14" s="93" t="str">
        <f aca="false">IFERROR(INDEX(03_能力總表_Master!$I$5:$I$154,MATCH(4,_計算_Calc!$CC$5:$CC$154,0)),"")</f>
        <v/>
      </c>
      <c r="F14" s="95" t="str">
        <f aca="false">IFERROR(INDEX(03_能力總表_Master!$J$5:$J$154,MATCH(4,_計算_Calc!$CC$5:$CC$154,0)),"")</f>
        <v/>
      </c>
      <c r="G14" s="97" t="str">
        <f aca="false">IFERROR(INDEX(03_能力總表_Master!$U$5:$U$154,MATCH(4,_計算_Calc!$CC$5:$CC$154,0)),"")</f>
        <v/>
      </c>
      <c r="H14" s="95" t="str">
        <f aca="false">IFERROR(INDEX(03_能力總表_Master!$K$5:$K$154,MATCH(4,_計算_Calc!$CC$5:$CC$154,0)),"")</f>
        <v/>
      </c>
      <c r="I14" s="95" t="str">
        <f aca="false">IFERROR(INDEX(03_能力總表_Master!$L$5:$L$154,MATCH(4,_計算_Calc!$CC$5:$CC$154,0)),"")</f>
        <v/>
      </c>
      <c r="J14" s="96" t="str">
        <f aca="false">IFERROR(INDEX(03_能力總表_Master!$W$5:$W$154,MATCH(4,_計算_Calc!$CC$5:$CC$154,0)),"")</f>
        <v/>
      </c>
      <c r="K14" s="95" t="str">
        <f aca="false">IFERROR(INDEX(03_能力總表_Master!$AF$5:$AF$154,MATCH(4,_計算_Calc!$CC$5:$CC$154,0)),"")</f>
        <v/>
      </c>
    </row>
    <row r="15" customFormat="false" ht="25.5" hidden="false" customHeight="true" outlineLevel="0" collapsed="false">
      <c r="A15" s="93" t="str">
        <f aca="false">IF($B15="","",5)</f>
        <v/>
      </c>
      <c r="B15" s="94" t="str">
        <f aca="false">IFERROR(INDEX(03_能力總表_Master!$A$5:$A$154,MATCH(5,_計算_Calc!$CC$5:$CC$154,0)),"")</f>
        <v/>
      </c>
      <c r="C15" s="95" t="str">
        <f aca="false">IFERROR(INDEX(03_能力總表_Master!$E$5:$E$154,MATCH(5,_計算_Calc!$CC$5:$CC$154,0)),"")</f>
        <v/>
      </c>
      <c r="D15" s="96" t="str">
        <f aca="false">IFERROR(INDEX(03_能力總表_Master!$H$5:$H$154,MATCH(5,_計算_Calc!$CC$5:$CC$154,0)),"")</f>
        <v/>
      </c>
      <c r="E15" s="93" t="str">
        <f aca="false">IFERROR(INDEX(03_能力總表_Master!$I$5:$I$154,MATCH(5,_計算_Calc!$CC$5:$CC$154,0)),"")</f>
        <v/>
      </c>
      <c r="F15" s="95" t="str">
        <f aca="false">IFERROR(INDEX(03_能力總表_Master!$J$5:$J$154,MATCH(5,_計算_Calc!$CC$5:$CC$154,0)),"")</f>
        <v/>
      </c>
      <c r="G15" s="97" t="str">
        <f aca="false">IFERROR(INDEX(03_能力總表_Master!$U$5:$U$154,MATCH(5,_計算_Calc!$CC$5:$CC$154,0)),"")</f>
        <v/>
      </c>
      <c r="H15" s="95" t="str">
        <f aca="false">IFERROR(INDEX(03_能力總表_Master!$K$5:$K$154,MATCH(5,_計算_Calc!$CC$5:$CC$154,0)),"")</f>
        <v/>
      </c>
      <c r="I15" s="95" t="str">
        <f aca="false">IFERROR(INDEX(03_能力總表_Master!$L$5:$L$154,MATCH(5,_計算_Calc!$CC$5:$CC$154,0)),"")</f>
        <v/>
      </c>
      <c r="J15" s="96" t="str">
        <f aca="false">IFERROR(INDEX(03_能力總表_Master!$W$5:$W$154,MATCH(5,_計算_Calc!$CC$5:$CC$154,0)),"")</f>
        <v/>
      </c>
      <c r="K15" s="95" t="str">
        <f aca="false">IFERROR(INDEX(03_能力總表_Master!$AF$5:$AF$154,MATCH(5,_計算_Calc!$CC$5:$CC$154,0)),"")</f>
        <v/>
      </c>
    </row>
    <row r="16" customFormat="false" ht="25.5" hidden="false" customHeight="true" outlineLevel="0" collapsed="false">
      <c r="A16" s="93" t="str">
        <f aca="false">IF($B16="","",6)</f>
        <v/>
      </c>
      <c r="B16" s="94" t="str">
        <f aca="false">IFERROR(INDEX(03_能力總表_Master!$A$5:$A$154,MATCH(6,_計算_Calc!$CC$5:$CC$154,0)),"")</f>
        <v/>
      </c>
      <c r="C16" s="95" t="str">
        <f aca="false">IFERROR(INDEX(03_能力總表_Master!$E$5:$E$154,MATCH(6,_計算_Calc!$CC$5:$CC$154,0)),"")</f>
        <v/>
      </c>
      <c r="D16" s="96" t="str">
        <f aca="false">IFERROR(INDEX(03_能力總表_Master!$H$5:$H$154,MATCH(6,_計算_Calc!$CC$5:$CC$154,0)),"")</f>
        <v/>
      </c>
      <c r="E16" s="93" t="str">
        <f aca="false">IFERROR(INDEX(03_能力總表_Master!$I$5:$I$154,MATCH(6,_計算_Calc!$CC$5:$CC$154,0)),"")</f>
        <v/>
      </c>
      <c r="F16" s="95" t="str">
        <f aca="false">IFERROR(INDEX(03_能力總表_Master!$J$5:$J$154,MATCH(6,_計算_Calc!$CC$5:$CC$154,0)),"")</f>
        <v/>
      </c>
      <c r="G16" s="97" t="str">
        <f aca="false">IFERROR(INDEX(03_能力總表_Master!$U$5:$U$154,MATCH(6,_計算_Calc!$CC$5:$CC$154,0)),"")</f>
        <v/>
      </c>
      <c r="H16" s="95" t="str">
        <f aca="false">IFERROR(INDEX(03_能力總表_Master!$K$5:$K$154,MATCH(6,_計算_Calc!$CC$5:$CC$154,0)),"")</f>
        <v/>
      </c>
      <c r="I16" s="95" t="str">
        <f aca="false">IFERROR(INDEX(03_能力總表_Master!$L$5:$L$154,MATCH(6,_計算_Calc!$CC$5:$CC$154,0)),"")</f>
        <v/>
      </c>
      <c r="J16" s="96" t="str">
        <f aca="false">IFERROR(INDEX(03_能力總表_Master!$W$5:$W$154,MATCH(6,_計算_Calc!$CC$5:$CC$154,0)),"")</f>
        <v/>
      </c>
      <c r="K16" s="95" t="str">
        <f aca="false">IFERROR(INDEX(03_能力總表_Master!$AF$5:$AF$154,MATCH(6,_計算_Calc!$CC$5:$CC$154,0)),"")</f>
        <v/>
      </c>
    </row>
    <row r="17" customFormat="false" ht="25.5" hidden="false" customHeight="true" outlineLevel="0" collapsed="false">
      <c r="A17" s="93" t="str">
        <f aca="false">IF($B17="","",7)</f>
        <v/>
      </c>
      <c r="B17" s="94" t="str">
        <f aca="false">IFERROR(INDEX(03_能力總表_Master!$A$5:$A$154,MATCH(7,_計算_Calc!$CC$5:$CC$154,0)),"")</f>
        <v/>
      </c>
      <c r="C17" s="95" t="str">
        <f aca="false">IFERROR(INDEX(03_能力總表_Master!$E$5:$E$154,MATCH(7,_計算_Calc!$CC$5:$CC$154,0)),"")</f>
        <v/>
      </c>
      <c r="D17" s="96" t="str">
        <f aca="false">IFERROR(INDEX(03_能力總表_Master!$H$5:$H$154,MATCH(7,_計算_Calc!$CC$5:$CC$154,0)),"")</f>
        <v/>
      </c>
      <c r="E17" s="93" t="str">
        <f aca="false">IFERROR(INDEX(03_能力總表_Master!$I$5:$I$154,MATCH(7,_計算_Calc!$CC$5:$CC$154,0)),"")</f>
        <v/>
      </c>
      <c r="F17" s="95" t="str">
        <f aca="false">IFERROR(INDEX(03_能力總表_Master!$J$5:$J$154,MATCH(7,_計算_Calc!$CC$5:$CC$154,0)),"")</f>
        <v/>
      </c>
      <c r="G17" s="97" t="str">
        <f aca="false">IFERROR(INDEX(03_能力總表_Master!$U$5:$U$154,MATCH(7,_計算_Calc!$CC$5:$CC$154,0)),"")</f>
        <v/>
      </c>
      <c r="H17" s="95" t="str">
        <f aca="false">IFERROR(INDEX(03_能力總表_Master!$K$5:$K$154,MATCH(7,_計算_Calc!$CC$5:$CC$154,0)),"")</f>
        <v/>
      </c>
      <c r="I17" s="95" t="str">
        <f aca="false">IFERROR(INDEX(03_能力總表_Master!$L$5:$L$154,MATCH(7,_計算_Calc!$CC$5:$CC$154,0)),"")</f>
        <v/>
      </c>
      <c r="J17" s="96" t="str">
        <f aca="false">IFERROR(INDEX(03_能力總表_Master!$W$5:$W$154,MATCH(7,_計算_Calc!$CC$5:$CC$154,0)),"")</f>
        <v/>
      </c>
      <c r="K17" s="95" t="str">
        <f aca="false">IFERROR(INDEX(03_能力總表_Master!$AF$5:$AF$154,MATCH(7,_計算_Calc!$CC$5:$CC$154,0)),"")</f>
        <v/>
      </c>
    </row>
    <row r="18" customFormat="false" ht="25.5" hidden="false" customHeight="true" outlineLevel="0" collapsed="false">
      <c r="A18" s="93" t="str">
        <f aca="false">IF($B18="","",8)</f>
        <v/>
      </c>
      <c r="B18" s="94" t="str">
        <f aca="false">IFERROR(INDEX(03_能力總表_Master!$A$5:$A$154,MATCH(8,_計算_Calc!$CC$5:$CC$154,0)),"")</f>
        <v/>
      </c>
      <c r="C18" s="95" t="str">
        <f aca="false">IFERROR(INDEX(03_能力總表_Master!$E$5:$E$154,MATCH(8,_計算_Calc!$CC$5:$CC$154,0)),"")</f>
        <v/>
      </c>
      <c r="D18" s="96" t="str">
        <f aca="false">IFERROR(INDEX(03_能力總表_Master!$H$5:$H$154,MATCH(8,_計算_Calc!$CC$5:$CC$154,0)),"")</f>
        <v/>
      </c>
      <c r="E18" s="93" t="str">
        <f aca="false">IFERROR(INDEX(03_能力總表_Master!$I$5:$I$154,MATCH(8,_計算_Calc!$CC$5:$CC$154,0)),"")</f>
        <v/>
      </c>
      <c r="F18" s="95" t="str">
        <f aca="false">IFERROR(INDEX(03_能力總表_Master!$J$5:$J$154,MATCH(8,_計算_Calc!$CC$5:$CC$154,0)),"")</f>
        <v/>
      </c>
      <c r="G18" s="97" t="str">
        <f aca="false">IFERROR(INDEX(03_能力總表_Master!$U$5:$U$154,MATCH(8,_計算_Calc!$CC$5:$CC$154,0)),"")</f>
        <v/>
      </c>
      <c r="H18" s="95" t="str">
        <f aca="false">IFERROR(INDEX(03_能力總表_Master!$K$5:$K$154,MATCH(8,_計算_Calc!$CC$5:$CC$154,0)),"")</f>
        <v/>
      </c>
      <c r="I18" s="95" t="str">
        <f aca="false">IFERROR(INDEX(03_能力總表_Master!$L$5:$L$154,MATCH(8,_計算_Calc!$CC$5:$CC$154,0)),"")</f>
        <v/>
      </c>
      <c r="J18" s="96" t="str">
        <f aca="false">IFERROR(INDEX(03_能力總表_Master!$W$5:$W$154,MATCH(8,_計算_Calc!$CC$5:$CC$154,0)),"")</f>
        <v/>
      </c>
      <c r="K18" s="95" t="str">
        <f aca="false">IFERROR(INDEX(03_能力總表_Master!$AF$5:$AF$154,MATCH(8,_計算_Calc!$CC$5:$CC$154,0)),"")</f>
        <v/>
      </c>
    </row>
    <row r="19" customFormat="false" ht="25.5" hidden="false" customHeight="true" outlineLevel="0" collapsed="false">
      <c r="A19" s="93" t="str">
        <f aca="false">IF($B19="","",9)</f>
        <v/>
      </c>
      <c r="B19" s="94" t="str">
        <f aca="false">IFERROR(INDEX(03_能力總表_Master!$A$5:$A$154,MATCH(9,_計算_Calc!$CC$5:$CC$154,0)),"")</f>
        <v/>
      </c>
      <c r="C19" s="95" t="str">
        <f aca="false">IFERROR(INDEX(03_能力總表_Master!$E$5:$E$154,MATCH(9,_計算_Calc!$CC$5:$CC$154,0)),"")</f>
        <v/>
      </c>
      <c r="D19" s="96" t="str">
        <f aca="false">IFERROR(INDEX(03_能力總表_Master!$H$5:$H$154,MATCH(9,_計算_Calc!$CC$5:$CC$154,0)),"")</f>
        <v/>
      </c>
      <c r="E19" s="93" t="str">
        <f aca="false">IFERROR(INDEX(03_能力總表_Master!$I$5:$I$154,MATCH(9,_計算_Calc!$CC$5:$CC$154,0)),"")</f>
        <v/>
      </c>
      <c r="F19" s="95" t="str">
        <f aca="false">IFERROR(INDEX(03_能力總表_Master!$J$5:$J$154,MATCH(9,_計算_Calc!$CC$5:$CC$154,0)),"")</f>
        <v/>
      </c>
      <c r="G19" s="97" t="str">
        <f aca="false">IFERROR(INDEX(03_能力總表_Master!$U$5:$U$154,MATCH(9,_計算_Calc!$CC$5:$CC$154,0)),"")</f>
        <v/>
      </c>
      <c r="H19" s="95" t="str">
        <f aca="false">IFERROR(INDEX(03_能力總表_Master!$K$5:$K$154,MATCH(9,_計算_Calc!$CC$5:$CC$154,0)),"")</f>
        <v/>
      </c>
      <c r="I19" s="95" t="str">
        <f aca="false">IFERROR(INDEX(03_能力總表_Master!$L$5:$L$154,MATCH(9,_計算_Calc!$CC$5:$CC$154,0)),"")</f>
        <v/>
      </c>
      <c r="J19" s="96" t="str">
        <f aca="false">IFERROR(INDEX(03_能力總表_Master!$W$5:$W$154,MATCH(9,_計算_Calc!$CC$5:$CC$154,0)),"")</f>
        <v/>
      </c>
      <c r="K19" s="95" t="str">
        <f aca="false">IFERROR(INDEX(03_能力總表_Master!$AF$5:$AF$154,MATCH(9,_計算_Calc!$CC$5:$CC$154,0)),"")</f>
        <v/>
      </c>
    </row>
    <row r="20" customFormat="false" ht="25.5" hidden="false" customHeight="true" outlineLevel="0" collapsed="false">
      <c r="A20" s="93" t="str">
        <f aca="false">IF($B20="","",10)</f>
        <v/>
      </c>
      <c r="B20" s="94" t="str">
        <f aca="false">IFERROR(INDEX(03_能力總表_Master!$A$5:$A$154,MATCH(10,_計算_Calc!$CC$5:$CC$154,0)),"")</f>
        <v/>
      </c>
      <c r="C20" s="95" t="str">
        <f aca="false">IFERROR(INDEX(03_能力總表_Master!$E$5:$E$154,MATCH(10,_計算_Calc!$CC$5:$CC$154,0)),"")</f>
        <v/>
      </c>
      <c r="D20" s="96" t="str">
        <f aca="false">IFERROR(INDEX(03_能力總表_Master!$H$5:$H$154,MATCH(10,_計算_Calc!$CC$5:$CC$154,0)),"")</f>
        <v/>
      </c>
      <c r="E20" s="93" t="str">
        <f aca="false">IFERROR(INDEX(03_能力總表_Master!$I$5:$I$154,MATCH(10,_計算_Calc!$CC$5:$CC$154,0)),"")</f>
        <v/>
      </c>
      <c r="F20" s="95" t="str">
        <f aca="false">IFERROR(INDEX(03_能力總表_Master!$J$5:$J$154,MATCH(10,_計算_Calc!$CC$5:$CC$154,0)),"")</f>
        <v/>
      </c>
      <c r="G20" s="97" t="str">
        <f aca="false">IFERROR(INDEX(03_能力總表_Master!$U$5:$U$154,MATCH(10,_計算_Calc!$CC$5:$CC$154,0)),"")</f>
        <v/>
      </c>
      <c r="H20" s="95" t="str">
        <f aca="false">IFERROR(INDEX(03_能力總表_Master!$K$5:$K$154,MATCH(10,_計算_Calc!$CC$5:$CC$154,0)),"")</f>
        <v/>
      </c>
      <c r="I20" s="95" t="str">
        <f aca="false">IFERROR(INDEX(03_能力總表_Master!$L$5:$L$154,MATCH(10,_計算_Calc!$CC$5:$CC$154,0)),"")</f>
        <v/>
      </c>
      <c r="J20" s="96" t="str">
        <f aca="false">IFERROR(INDEX(03_能力總表_Master!$W$5:$W$154,MATCH(10,_計算_Calc!$CC$5:$CC$154,0)),"")</f>
        <v/>
      </c>
      <c r="K20" s="95" t="str">
        <f aca="false">IFERROR(INDEX(03_能力總表_Master!$AF$5:$AF$154,MATCH(10,_計算_Calc!$CC$5:$CC$154,0)),"")</f>
        <v/>
      </c>
    </row>
    <row r="21" customFormat="false" ht="25.5" hidden="false" customHeight="true" outlineLevel="0" collapsed="false">
      <c r="A21" s="93" t="str">
        <f aca="false">IF($B21="","",11)</f>
        <v/>
      </c>
      <c r="B21" s="94" t="str">
        <f aca="false">IFERROR(INDEX(03_能力總表_Master!$A$5:$A$154,MATCH(11,_計算_Calc!$CC$5:$CC$154,0)),"")</f>
        <v/>
      </c>
      <c r="C21" s="95" t="str">
        <f aca="false">IFERROR(INDEX(03_能力總表_Master!$E$5:$E$154,MATCH(11,_計算_Calc!$CC$5:$CC$154,0)),"")</f>
        <v/>
      </c>
      <c r="D21" s="96" t="str">
        <f aca="false">IFERROR(INDEX(03_能力總表_Master!$H$5:$H$154,MATCH(11,_計算_Calc!$CC$5:$CC$154,0)),"")</f>
        <v/>
      </c>
      <c r="E21" s="93" t="str">
        <f aca="false">IFERROR(INDEX(03_能力總表_Master!$I$5:$I$154,MATCH(11,_計算_Calc!$CC$5:$CC$154,0)),"")</f>
        <v/>
      </c>
      <c r="F21" s="95" t="str">
        <f aca="false">IFERROR(INDEX(03_能力總表_Master!$J$5:$J$154,MATCH(11,_計算_Calc!$CC$5:$CC$154,0)),"")</f>
        <v/>
      </c>
      <c r="G21" s="97" t="str">
        <f aca="false">IFERROR(INDEX(03_能力總表_Master!$U$5:$U$154,MATCH(11,_計算_Calc!$CC$5:$CC$154,0)),"")</f>
        <v/>
      </c>
      <c r="H21" s="95" t="str">
        <f aca="false">IFERROR(INDEX(03_能力總表_Master!$K$5:$K$154,MATCH(11,_計算_Calc!$CC$5:$CC$154,0)),"")</f>
        <v/>
      </c>
      <c r="I21" s="95" t="str">
        <f aca="false">IFERROR(INDEX(03_能力總表_Master!$L$5:$L$154,MATCH(11,_計算_Calc!$CC$5:$CC$154,0)),"")</f>
        <v/>
      </c>
      <c r="J21" s="96" t="str">
        <f aca="false">IFERROR(INDEX(03_能力總表_Master!$W$5:$W$154,MATCH(11,_計算_Calc!$CC$5:$CC$154,0)),"")</f>
        <v/>
      </c>
      <c r="K21" s="95" t="str">
        <f aca="false">IFERROR(INDEX(03_能力總表_Master!$AF$5:$AF$154,MATCH(11,_計算_Calc!$CC$5:$CC$154,0)),"")</f>
        <v/>
      </c>
    </row>
    <row r="22" customFormat="false" ht="25.5" hidden="false" customHeight="true" outlineLevel="0" collapsed="false">
      <c r="A22" s="93" t="str">
        <f aca="false">IF($B22="","",12)</f>
        <v/>
      </c>
      <c r="B22" s="94" t="str">
        <f aca="false">IFERROR(INDEX(03_能力總表_Master!$A$5:$A$154,MATCH(12,_計算_Calc!$CC$5:$CC$154,0)),"")</f>
        <v/>
      </c>
      <c r="C22" s="95" t="str">
        <f aca="false">IFERROR(INDEX(03_能力總表_Master!$E$5:$E$154,MATCH(12,_計算_Calc!$CC$5:$CC$154,0)),"")</f>
        <v/>
      </c>
      <c r="D22" s="96" t="str">
        <f aca="false">IFERROR(INDEX(03_能力總表_Master!$H$5:$H$154,MATCH(12,_計算_Calc!$CC$5:$CC$154,0)),"")</f>
        <v/>
      </c>
      <c r="E22" s="93" t="str">
        <f aca="false">IFERROR(INDEX(03_能力總表_Master!$I$5:$I$154,MATCH(12,_計算_Calc!$CC$5:$CC$154,0)),"")</f>
        <v/>
      </c>
      <c r="F22" s="95" t="str">
        <f aca="false">IFERROR(INDEX(03_能力總表_Master!$J$5:$J$154,MATCH(12,_計算_Calc!$CC$5:$CC$154,0)),"")</f>
        <v/>
      </c>
      <c r="G22" s="97" t="str">
        <f aca="false">IFERROR(INDEX(03_能力總表_Master!$U$5:$U$154,MATCH(12,_計算_Calc!$CC$5:$CC$154,0)),"")</f>
        <v/>
      </c>
      <c r="H22" s="95" t="str">
        <f aca="false">IFERROR(INDEX(03_能力總表_Master!$K$5:$K$154,MATCH(12,_計算_Calc!$CC$5:$CC$154,0)),"")</f>
        <v/>
      </c>
      <c r="I22" s="95" t="str">
        <f aca="false">IFERROR(INDEX(03_能力總表_Master!$L$5:$L$154,MATCH(12,_計算_Calc!$CC$5:$CC$154,0)),"")</f>
        <v/>
      </c>
      <c r="J22" s="96" t="str">
        <f aca="false">IFERROR(INDEX(03_能力總表_Master!$W$5:$W$154,MATCH(12,_計算_Calc!$CC$5:$CC$154,0)),"")</f>
        <v/>
      </c>
      <c r="K22" s="95" t="str">
        <f aca="false">IFERROR(INDEX(03_能力總表_Master!$AF$5:$AF$154,MATCH(12,_計算_Calc!$CC$5:$CC$154,0)),"")</f>
        <v/>
      </c>
    </row>
    <row r="23" customFormat="false" ht="25.5" hidden="false" customHeight="true" outlineLevel="0" collapsed="false">
      <c r="A23" s="93" t="str">
        <f aca="false">IF($B23="","",13)</f>
        <v/>
      </c>
      <c r="B23" s="94" t="str">
        <f aca="false">IFERROR(INDEX(03_能力總表_Master!$A$5:$A$154,MATCH(13,_計算_Calc!$CC$5:$CC$154,0)),"")</f>
        <v/>
      </c>
      <c r="C23" s="95" t="str">
        <f aca="false">IFERROR(INDEX(03_能力總表_Master!$E$5:$E$154,MATCH(13,_計算_Calc!$CC$5:$CC$154,0)),"")</f>
        <v/>
      </c>
      <c r="D23" s="96" t="str">
        <f aca="false">IFERROR(INDEX(03_能力總表_Master!$H$5:$H$154,MATCH(13,_計算_Calc!$CC$5:$CC$154,0)),"")</f>
        <v/>
      </c>
      <c r="E23" s="93" t="str">
        <f aca="false">IFERROR(INDEX(03_能力總表_Master!$I$5:$I$154,MATCH(13,_計算_Calc!$CC$5:$CC$154,0)),"")</f>
        <v/>
      </c>
      <c r="F23" s="95" t="str">
        <f aca="false">IFERROR(INDEX(03_能力總表_Master!$J$5:$J$154,MATCH(13,_計算_Calc!$CC$5:$CC$154,0)),"")</f>
        <v/>
      </c>
      <c r="G23" s="97" t="str">
        <f aca="false">IFERROR(INDEX(03_能力總表_Master!$U$5:$U$154,MATCH(13,_計算_Calc!$CC$5:$CC$154,0)),"")</f>
        <v/>
      </c>
      <c r="H23" s="95" t="str">
        <f aca="false">IFERROR(INDEX(03_能力總表_Master!$K$5:$K$154,MATCH(13,_計算_Calc!$CC$5:$CC$154,0)),"")</f>
        <v/>
      </c>
      <c r="I23" s="95" t="str">
        <f aca="false">IFERROR(INDEX(03_能力總表_Master!$L$5:$L$154,MATCH(13,_計算_Calc!$CC$5:$CC$154,0)),"")</f>
        <v/>
      </c>
      <c r="J23" s="96" t="str">
        <f aca="false">IFERROR(INDEX(03_能力總表_Master!$W$5:$W$154,MATCH(13,_計算_Calc!$CC$5:$CC$154,0)),"")</f>
        <v/>
      </c>
      <c r="K23" s="95" t="str">
        <f aca="false">IFERROR(INDEX(03_能力總表_Master!$AF$5:$AF$154,MATCH(13,_計算_Calc!$CC$5:$CC$154,0)),"")</f>
        <v/>
      </c>
    </row>
    <row r="24" customFormat="false" ht="25.5" hidden="false" customHeight="true" outlineLevel="0" collapsed="false">
      <c r="A24" s="93" t="str">
        <f aca="false">IF($B24="","",14)</f>
        <v/>
      </c>
      <c r="B24" s="94" t="str">
        <f aca="false">IFERROR(INDEX(03_能力總表_Master!$A$5:$A$154,MATCH(14,_計算_Calc!$CC$5:$CC$154,0)),"")</f>
        <v/>
      </c>
      <c r="C24" s="95" t="str">
        <f aca="false">IFERROR(INDEX(03_能力總表_Master!$E$5:$E$154,MATCH(14,_計算_Calc!$CC$5:$CC$154,0)),"")</f>
        <v/>
      </c>
      <c r="D24" s="96" t="str">
        <f aca="false">IFERROR(INDEX(03_能力總表_Master!$H$5:$H$154,MATCH(14,_計算_Calc!$CC$5:$CC$154,0)),"")</f>
        <v/>
      </c>
      <c r="E24" s="93" t="str">
        <f aca="false">IFERROR(INDEX(03_能力總表_Master!$I$5:$I$154,MATCH(14,_計算_Calc!$CC$5:$CC$154,0)),"")</f>
        <v/>
      </c>
      <c r="F24" s="95" t="str">
        <f aca="false">IFERROR(INDEX(03_能力總表_Master!$J$5:$J$154,MATCH(14,_計算_Calc!$CC$5:$CC$154,0)),"")</f>
        <v/>
      </c>
      <c r="G24" s="97" t="str">
        <f aca="false">IFERROR(INDEX(03_能力總表_Master!$U$5:$U$154,MATCH(14,_計算_Calc!$CC$5:$CC$154,0)),"")</f>
        <v/>
      </c>
      <c r="H24" s="95" t="str">
        <f aca="false">IFERROR(INDEX(03_能力總表_Master!$K$5:$K$154,MATCH(14,_計算_Calc!$CC$5:$CC$154,0)),"")</f>
        <v/>
      </c>
      <c r="I24" s="95" t="str">
        <f aca="false">IFERROR(INDEX(03_能力總表_Master!$L$5:$L$154,MATCH(14,_計算_Calc!$CC$5:$CC$154,0)),"")</f>
        <v/>
      </c>
      <c r="J24" s="96" t="str">
        <f aca="false">IFERROR(INDEX(03_能力總表_Master!$W$5:$W$154,MATCH(14,_計算_Calc!$CC$5:$CC$154,0)),"")</f>
        <v/>
      </c>
      <c r="K24" s="95" t="str">
        <f aca="false">IFERROR(INDEX(03_能力總表_Master!$AF$5:$AF$154,MATCH(14,_計算_Calc!$CC$5:$CC$154,0)),"")</f>
        <v/>
      </c>
    </row>
    <row r="25" customFormat="false" ht="25.5" hidden="false" customHeight="true" outlineLevel="0" collapsed="false">
      <c r="A25" s="93" t="str">
        <f aca="false">IF($B25="","",15)</f>
        <v/>
      </c>
      <c r="B25" s="94" t="str">
        <f aca="false">IFERROR(INDEX(03_能力總表_Master!$A$5:$A$154,MATCH(15,_計算_Calc!$CC$5:$CC$154,0)),"")</f>
        <v/>
      </c>
      <c r="C25" s="95" t="str">
        <f aca="false">IFERROR(INDEX(03_能力總表_Master!$E$5:$E$154,MATCH(15,_計算_Calc!$CC$5:$CC$154,0)),"")</f>
        <v/>
      </c>
      <c r="D25" s="96" t="str">
        <f aca="false">IFERROR(INDEX(03_能力總表_Master!$H$5:$H$154,MATCH(15,_計算_Calc!$CC$5:$CC$154,0)),"")</f>
        <v/>
      </c>
      <c r="E25" s="93" t="str">
        <f aca="false">IFERROR(INDEX(03_能力總表_Master!$I$5:$I$154,MATCH(15,_計算_Calc!$CC$5:$CC$154,0)),"")</f>
        <v/>
      </c>
      <c r="F25" s="95" t="str">
        <f aca="false">IFERROR(INDEX(03_能力總表_Master!$J$5:$J$154,MATCH(15,_計算_Calc!$CC$5:$CC$154,0)),"")</f>
        <v/>
      </c>
      <c r="G25" s="97" t="str">
        <f aca="false">IFERROR(INDEX(03_能力總表_Master!$U$5:$U$154,MATCH(15,_計算_Calc!$CC$5:$CC$154,0)),"")</f>
        <v/>
      </c>
      <c r="H25" s="95" t="str">
        <f aca="false">IFERROR(INDEX(03_能力總表_Master!$K$5:$K$154,MATCH(15,_計算_Calc!$CC$5:$CC$154,0)),"")</f>
        <v/>
      </c>
      <c r="I25" s="95" t="str">
        <f aca="false">IFERROR(INDEX(03_能力總表_Master!$L$5:$L$154,MATCH(15,_計算_Calc!$CC$5:$CC$154,0)),"")</f>
        <v/>
      </c>
      <c r="J25" s="96" t="str">
        <f aca="false">IFERROR(INDEX(03_能力總表_Master!$W$5:$W$154,MATCH(15,_計算_Calc!$CC$5:$CC$154,0)),"")</f>
        <v/>
      </c>
      <c r="K25" s="95" t="str">
        <f aca="false">IFERROR(INDEX(03_能力總表_Master!$AF$5:$AF$154,MATCH(15,_計算_Calc!$CC$5:$CC$154,0)),"")</f>
        <v/>
      </c>
    </row>
    <row r="26" customFormat="false" ht="25.5" hidden="false" customHeight="true" outlineLevel="0" collapsed="false">
      <c r="A26" s="93" t="str">
        <f aca="false">IF($B26="","",16)</f>
        <v/>
      </c>
      <c r="B26" s="94" t="str">
        <f aca="false">IFERROR(INDEX(03_能力總表_Master!$A$5:$A$154,MATCH(16,_計算_Calc!$CC$5:$CC$154,0)),"")</f>
        <v/>
      </c>
      <c r="C26" s="95" t="str">
        <f aca="false">IFERROR(INDEX(03_能力總表_Master!$E$5:$E$154,MATCH(16,_計算_Calc!$CC$5:$CC$154,0)),"")</f>
        <v/>
      </c>
      <c r="D26" s="96" t="str">
        <f aca="false">IFERROR(INDEX(03_能力總表_Master!$H$5:$H$154,MATCH(16,_計算_Calc!$CC$5:$CC$154,0)),"")</f>
        <v/>
      </c>
      <c r="E26" s="93" t="str">
        <f aca="false">IFERROR(INDEX(03_能力總表_Master!$I$5:$I$154,MATCH(16,_計算_Calc!$CC$5:$CC$154,0)),"")</f>
        <v/>
      </c>
      <c r="F26" s="95" t="str">
        <f aca="false">IFERROR(INDEX(03_能力總表_Master!$J$5:$J$154,MATCH(16,_計算_Calc!$CC$5:$CC$154,0)),"")</f>
        <v/>
      </c>
      <c r="G26" s="97" t="str">
        <f aca="false">IFERROR(INDEX(03_能力總表_Master!$U$5:$U$154,MATCH(16,_計算_Calc!$CC$5:$CC$154,0)),"")</f>
        <v/>
      </c>
      <c r="H26" s="95" t="str">
        <f aca="false">IFERROR(INDEX(03_能力總表_Master!$K$5:$K$154,MATCH(16,_計算_Calc!$CC$5:$CC$154,0)),"")</f>
        <v/>
      </c>
      <c r="I26" s="95" t="str">
        <f aca="false">IFERROR(INDEX(03_能力總表_Master!$L$5:$L$154,MATCH(16,_計算_Calc!$CC$5:$CC$154,0)),"")</f>
        <v/>
      </c>
      <c r="J26" s="96" t="str">
        <f aca="false">IFERROR(INDEX(03_能力總表_Master!$W$5:$W$154,MATCH(16,_計算_Calc!$CC$5:$CC$154,0)),"")</f>
        <v/>
      </c>
      <c r="K26" s="95" t="str">
        <f aca="false">IFERROR(INDEX(03_能力總表_Master!$AF$5:$AF$154,MATCH(16,_計算_Calc!$CC$5:$CC$154,0)),"")</f>
        <v/>
      </c>
    </row>
    <row r="27" customFormat="false" ht="25.5" hidden="false" customHeight="true" outlineLevel="0" collapsed="false">
      <c r="A27" s="93" t="str">
        <f aca="false">IF($B27="","",17)</f>
        <v/>
      </c>
      <c r="B27" s="94" t="str">
        <f aca="false">IFERROR(INDEX(03_能力總表_Master!$A$5:$A$154,MATCH(17,_計算_Calc!$CC$5:$CC$154,0)),"")</f>
        <v/>
      </c>
      <c r="C27" s="95" t="str">
        <f aca="false">IFERROR(INDEX(03_能力總表_Master!$E$5:$E$154,MATCH(17,_計算_Calc!$CC$5:$CC$154,0)),"")</f>
        <v/>
      </c>
      <c r="D27" s="96" t="str">
        <f aca="false">IFERROR(INDEX(03_能力總表_Master!$H$5:$H$154,MATCH(17,_計算_Calc!$CC$5:$CC$154,0)),"")</f>
        <v/>
      </c>
      <c r="E27" s="93" t="str">
        <f aca="false">IFERROR(INDEX(03_能力總表_Master!$I$5:$I$154,MATCH(17,_計算_Calc!$CC$5:$CC$154,0)),"")</f>
        <v/>
      </c>
      <c r="F27" s="95" t="str">
        <f aca="false">IFERROR(INDEX(03_能力總表_Master!$J$5:$J$154,MATCH(17,_計算_Calc!$CC$5:$CC$154,0)),"")</f>
        <v/>
      </c>
      <c r="G27" s="97" t="str">
        <f aca="false">IFERROR(INDEX(03_能力總表_Master!$U$5:$U$154,MATCH(17,_計算_Calc!$CC$5:$CC$154,0)),"")</f>
        <v/>
      </c>
      <c r="H27" s="95" t="str">
        <f aca="false">IFERROR(INDEX(03_能力總表_Master!$K$5:$K$154,MATCH(17,_計算_Calc!$CC$5:$CC$154,0)),"")</f>
        <v/>
      </c>
      <c r="I27" s="95" t="str">
        <f aca="false">IFERROR(INDEX(03_能力總表_Master!$L$5:$L$154,MATCH(17,_計算_Calc!$CC$5:$CC$154,0)),"")</f>
        <v/>
      </c>
      <c r="J27" s="96" t="str">
        <f aca="false">IFERROR(INDEX(03_能力總表_Master!$W$5:$W$154,MATCH(17,_計算_Calc!$CC$5:$CC$154,0)),"")</f>
        <v/>
      </c>
      <c r="K27" s="95" t="str">
        <f aca="false">IFERROR(INDEX(03_能力總表_Master!$AF$5:$AF$154,MATCH(17,_計算_Calc!$CC$5:$CC$154,0)),"")</f>
        <v/>
      </c>
    </row>
    <row r="28" customFormat="false" ht="25.5" hidden="false" customHeight="true" outlineLevel="0" collapsed="false">
      <c r="A28" s="93" t="str">
        <f aca="false">IF($B28="","",18)</f>
        <v/>
      </c>
      <c r="B28" s="94" t="str">
        <f aca="false">IFERROR(INDEX(03_能力總表_Master!$A$5:$A$154,MATCH(18,_計算_Calc!$CC$5:$CC$154,0)),"")</f>
        <v/>
      </c>
      <c r="C28" s="95" t="str">
        <f aca="false">IFERROR(INDEX(03_能力總表_Master!$E$5:$E$154,MATCH(18,_計算_Calc!$CC$5:$CC$154,0)),"")</f>
        <v/>
      </c>
      <c r="D28" s="96" t="str">
        <f aca="false">IFERROR(INDEX(03_能力總表_Master!$H$5:$H$154,MATCH(18,_計算_Calc!$CC$5:$CC$154,0)),"")</f>
        <v/>
      </c>
      <c r="E28" s="93" t="str">
        <f aca="false">IFERROR(INDEX(03_能力總表_Master!$I$5:$I$154,MATCH(18,_計算_Calc!$CC$5:$CC$154,0)),"")</f>
        <v/>
      </c>
      <c r="F28" s="95" t="str">
        <f aca="false">IFERROR(INDEX(03_能力總表_Master!$J$5:$J$154,MATCH(18,_計算_Calc!$CC$5:$CC$154,0)),"")</f>
        <v/>
      </c>
      <c r="G28" s="97" t="str">
        <f aca="false">IFERROR(INDEX(03_能力總表_Master!$U$5:$U$154,MATCH(18,_計算_Calc!$CC$5:$CC$154,0)),"")</f>
        <v/>
      </c>
      <c r="H28" s="95" t="str">
        <f aca="false">IFERROR(INDEX(03_能力總表_Master!$K$5:$K$154,MATCH(18,_計算_Calc!$CC$5:$CC$154,0)),"")</f>
        <v/>
      </c>
      <c r="I28" s="95" t="str">
        <f aca="false">IFERROR(INDEX(03_能力總表_Master!$L$5:$L$154,MATCH(18,_計算_Calc!$CC$5:$CC$154,0)),"")</f>
        <v/>
      </c>
      <c r="J28" s="96" t="str">
        <f aca="false">IFERROR(INDEX(03_能力總表_Master!$W$5:$W$154,MATCH(18,_計算_Calc!$CC$5:$CC$154,0)),"")</f>
        <v/>
      </c>
      <c r="K28" s="95" t="str">
        <f aca="false">IFERROR(INDEX(03_能力總表_Master!$AF$5:$AF$154,MATCH(18,_計算_Calc!$CC$5:$CC$154,0)),"")</f>
        <v/>
      </c>
    </row>
    <row r="29" customFormat="false" ht="25.5" hidden="false" customHeight="true" outlineLevel="0" collapsed="false">
      <c r="A29" s="93" t="str">
        <f aca="false">IF($B29="","",19)</f>
        <v/>
      </c>
      <c r="B29" s="94" t="str">
        <f aca="false">IFERROR(INDEX(03_能力總表_Master!$A$5:$A$154,MATCH(19,_計算_Calc!$CC$5:$CC$154,0)),"")</f>
        <v/>
      </c>
      <c r="C29" s="95" t="str">
        <f aca="false">IFERROR(INDEX(03_能力總表_Master!$E$5:$E$154,MATCH(19,_計算_Calc!$CC$5:$CC$154,0)),"")</f>
        <v/>
      </c>
      <c r="D29" s="96" t="str">
        <f aca="false">IFERROR(INDEX(03_能力總表_Master!$H$5:$H$154,MATCH(19,_計算_Calc!$CC$5:$CC$154,0)),"")</f>
        <v/>
      </c>
      <c r="E29" s="93" t="str">
        <f aca="false">IFERROR(INDEX(03_能力總表_Master!$I$5:$I$154,MATCH(19,_計算_Calc!$CC$5:$CC$154,0)),"")</f>
        <v/>
      </c>
      <c r="F29" s="95" t="str">
        <f aca="false">IFERROR(INDEX(03_能力總表_Master!$J$5:$J$154,MATCH(19,_計算_Calc!$CC$5:$CC$154,0)),"")</f>
        <v/>
      </c>
      <c r="G29" s="97" t="str">
        <f aca="false">IFERROR(INDEX(03_能力總表_Master!$U$5:$U$154,MATCH(19,_計算_Calc!$CC$5:$CC$154,0)),"")</f>
        <v/>
      </c>
      <c r="H29" s="95" t="str">
        <f aca="false">IFERROR(INDEX(03_能力總表_Master!$K$5:$K$154,MATCH(19,_計算_Calc!$CC$5:$CC$154,0)),"")</f>
        <v/>
      </c>
      <c r="I29" s="95" t="str">
        <f aca="false">IFERROR(INDEX(03_能力總表_Master!$L$5:$L$154,MATCH(19,_計算_Calc!$CC$5:$CC$154,0)),"")</f>
        <v/>
      </c>
      <c r="J29" s="96" t="str">
        <f aca="false">IFERROR(INDEX(03_能力總表_Master!$W$5:$W$154,MATCH(19,_計算_Calc!$CC$5:$CC$154,0)),"")</f>
        <v/>
      </c>
      <c r="K29" s="95" t="str">
        <f aca="false">IFERROR(INDEX(03_能力總表_Master!$AF$5:$AF$154,MATCH(19,_計算_Calc!$CC$5:$CC$154,0)),"")</f>
        <v/>
      </c>
    </row>
    <row r="30" customFormat="false" ht="25.5" hidden="false" customHeight="true" outlineLevel="0" collapsed="false">
      <c r="A30" s="93" t="str">
        <f aca="false">IF($B30="","",20)</f>
        <v/>
      </c>
      <c r="B30" s="94" t="str">
        <f aca="false">IFERROR(INDEX(03_能力總表_Master!$A$5:$A$154,MATCH(20,_計算_Calc!$CC$5:$CC$154,0)),"")</f>
        <v/>
      </c>
      <c r="C30" s="95" t="str">
        <f aca="false">IFERROR(INDEX(03_能力總表_Master!$E$5:$E$154,MATCH(20,_計算_Calc!$CC$5:$CC$154,0)),"")</f>
        <v/>
      </c>
      <c r="D30" s="96" t="str">
        <f aca="false">IFERROR(INDEX(03_能力總表_Master!$H$5:$H$154,MATCH(20,_計算_Calc!$CC$5:$CC$154,0)),"")</f>
        <v/>
      </c>
      <c r="E30" s="93" t="str">
        <f aca="false">IFERROR(INDEX(03_能力總表_Master!$I$5:$I$154,MATCH(20,_計算_Calc!$CC$5:$CC$154,0)),"")</f>
        <v/>
      </c>
      <c r="F30" s="95" t="str">
        <f aca="false">IFERROR(INDEX(03_能力總表_Master!$J$5:$J$154,MATCH(20,_計算_Calc!$CC$5:$CC$154,0)),"")</f>
        <v/>
      </c>
      <c r="G30" s="97" t="str">
        <f aca="false">IFERROR(INDEX(03_能力總表_Master!$U$5:$U$154,MATCH(20,_計算_Calc!$CC$5:$CC$154,0)),"")</f>
        <v/>
      </c>
      <c r="H30" s="95" t="str">
        <f aca="false">IFERROR(INDEX(03_能力總表_Master!$K$5:$K$154,MATCH(20,_計算_Calc!$CC$5:$CC$154,0)),"")</f>
        <v/>
      </c>
      <c r="I30" s="95" t="str">
        <f aca="false">IFERROR(INDEX(03_能力總表_Master!$L$5:$L$154,MATCH(20,_計算_Calc!$CC$5:$CC$154,0)),"")</f>
        <v/>
      </c>
      <c r="J30" s="96" t="str">
        <f aca="false">IFERROR(INDEX(03_能力總表_Master!$W$5:$W$154,MATCH(20,_計算_Calc!$CC$5:$CC$154,0)),"")</f>
        <v/>
      </c>
      <c r="K30" s="95" t="str">
        <f aca="false">IFERROR(INDEX(03_能力總表_Master!$AF$5:$AF$154,MATCH(20,_計算_Calc!$CC$5:$CC$154,0)),"")</f>
        <v/>
      </c>
    </row>
    <row r="32" customFormat="false" ht="15" hidden="false" customHeight="true" outlineLevel="0" collapsed="false">
      <c r="A32" s="98" t="s">
        <v>913</v>
      </c>
      <c r="B32" s="98"/>
      <c r="C32" s="98"/>
      <c r="D32" s="98"/>
      <c r="E32" s="98"/>
      <c r="F32" s="98"/>
      <c r="G32" s="98"/>
      <c r="H32" s="98"/>
      <c r="I32" s="98"/>
      <c r="J32" s="98"/>
      <c r="K32" s="98"/>
    </row>
    <row r="33" customFormat="false" ht="15" hidden="false" customHeight="false" outlineLevel="0" collapsed="false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</row>
    <row r="34" customFormat="false" ht="15" hidden="false" customHeight="false" outlineLevel="0" collapsed="false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</row>
  </sheetData>
  <sheetProtection sheet="true" formatColumns="false" formatRows="false" autoFilter="false"/>
  <mergeCells count="8">
    <mergeCell ref="A1:K1"/>
    <mergeCell ref="A2:K2"/>
    <mergeCell ref="A4:B4"/>
    <mergeCell ref="C4:E4"/>
    <mergeCell ref="A6:K6"/>
    <mergeCell ref="A7:K7"/>
    <mergeCell ref="A8:K8"/>
    <mergeCell ref="A32:K34"/>
  </mergeCells>
  <conditionalFormatting sqref="D11:D30">
    <cfRule type="expression" priority="2" aboveAverage="0" equalAverage="0" bottom="0" percent="0" rank="0" text="" dxfId="32">
      <formula>ISNUMBER(SEARCH("缺口",D11))</formula>
    </cfRule>
    <cfRule type="expression" priority="3" aboveAverage="0" equalAverage="0" bottom="0" percent="0" rank="0" text="" dxfId="36">
      <formula>ISNUMBER(SEARCH("群晶",D11))</formula>
    </cfRule>
    <cfRule type="expression" priority="4" aboveAverage="0" equalAverage="0" bottom="0" percent="0" rank="0" text="" dxfId="37">
      <formula>ISNUMBER(SEARCH("已確認",D11))</formula>
    </cfRule>
    <cfRule type="expression" priority="5" aboveAverage="0" equalAverage="0" bottom="0" percent="0" rank="0" text="" dxfId="38">
      <formula>ISNUMBER(SEARCH("洽談",D11))</formula>
    </cfRule>
  </conditionalFormatting>
  <conditionalFormatting sqref="J11:J30">
    <cfRule type="expression" priority="6" aboveAverage="0" equalAverage="0" bottom="0" percent="0" rank="0" text="" dxfId="35">
      <formula>ISNUMBER(SEARCH("Go",J11))</formula>
    </cfRule>
    <cfRule type="expression" priority="7" aboveAverage="0" equalAverage="0" bottom="0" percent="0" rank="0" text="" dxfId="32">
      <formula>ISNUMBER(SEARCH("Hold",J11))</formula>
    </cfRule>
  </conditionalFormatting>
  <dataValidations count="1">
    <dataValidation allowBlank="false" error="此欄僅接受 98_選單維護 中定義的選項；如需新增選項，請到 98 分頁該欄最下方新增。" errorStyle="stop" errorTitle="請由下拉選單選擇" operator="between" showDropDown="false" showErrorMessage="true" showInputMessage="false" sqref="C4" type="list">
      <formula1>L_Opp</formula1>
      <formula2>0</formula2>
    </dataValidation>
  </dataValidations>
  <hyperlinks>
    <hyperlink ref="A3" r:id="rId1" location="'00A_從這裡開始_Start'!A1" display="⌂ 回導引頁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6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10" min="9" style="0" width="7"/>
    <col collapsed="false" customWidth="true" hidden="false" outlineLevel="0" max="11" min="11" style="0" width="15"/>
    <col collapsed="false" customWidth="true" hidden="false" outlineLevel="0" max="12" min="12" style="0" width="26"/>
  </cols>
  <sheetData>
    <row r="1" customFormat="false" ht="30" hidden="false" customHeight="true" outlineLevel="0" collapsed="false">
      <c r="A1" s="1" t="s">
        <v>914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5.5" hidden="false" customHeight="true" outlineLevel="0" collapsed="false">
      <c r="A2" s="4" t="s">
        <v>915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5" hidden="false" customHeight="false" outlineLevel="0" collapsed="false">
      <c r="A3" s="5" t="s">
        <v>12</v>
      </c>
    </row>
    <row r="4" customFormat="false" ht="30" hidden="false" customHeight="true" outlineLevel="0" collapsed="false">
      <c r="A4" s="81" t="s">
        <v>916</v>
      </c>
      <c r="B4" s="81"/>
      <c r="C4" s="99" t="s">
        <v>917</v>
      </c>
      <c r="D4" s="99"/>
      <c r="E4" s="99"/>
      <c r="F4" s="83" t="s">
        <v>918</v>
      </c>
      <c r="G4" s="83" t="s">
        <v>919</v>
      </c>
      <c r="H4" s="83" t="s">
        <v>920</v>
      </c>
    </row>
    <row r="5" customFormat="false" ht="24.45" hidden="false" customHeight="false" outlineLevel="0" collapsed="false">
      <c r="F5" s="100" t="n">
        <f aca="false">COUNTIF(03_能力總表_Master!$J$5:$J$154,$C$4)</f>
        <v>8</v>
      </c>
      <c r="G5" s="101" t="n">
        <f aca="false">COUNTIFS(03_能力總表_Master!$J$5:$J$154,$C$4,03_能力總表_Master!$H$5:$H$154,"缺口*")</f>
        <v>0</v>
      </c>
      <c r="H5" s="102" t="n">
        <f aca="false">COUNTIFS(03_能力總表_Master!$J$5:$J$154,$C$4,03_能力總表_Master!$W$5:$W$154,"立即推進*")</f>
        <v>4</v>
      </c>
    </row>
    <row r="6" customFormat="false" ht="15" hidden="false" customHeight="false" outlineLevel="0" collapsed="false">
      <c r="A6" s="103" t="str">
        <f aca="false">IF($F$5&gt;30,"⚠ 此夥伴被指名 "&amp;$F$5&amp;" 項，超過本頁 30 列顯示上限，僅顯示前 30 項","")</f>
        <v/>
      </c>
      <c r="B6" s="103"/>
      <c r="C6" s="103"/>
      <c r="D6" s="103"/>
      <c r="E6" s="103"/>
      <c r="F6" s="103"/>
      <c r="G6" s="103"/>
      <c r="H6" s="103"/>
    </row>
    <row r="7" customFormat="false" ht="25.5" hidden="false" customHeight="true" outlineLevel="0" collapsed="false">
      <c r="A7" s="92" t="s">
        <v>902</v>
      </c>
      <c r="B7" s="92" t="s">
        <v>903</v>
      </c>
      <c r="C7" s="48" t="s">
        <v>921</v>
      </c>
      <c r="D7" s="48" t="s">
        <v>922</v>
      </c>
      <c r="E7" s="48" t="s">
        <v>923</v>
      </c>
      <c r="F7" s="48" t="s">
        <v>924</v>
      </c>
      <c r="G7" s="48" t="s">
        <v>905</v>
      </c>
      <c r="H7" s="48" t="s">
        <v>925</v>
      </c>
      <c r="I7" s="48" t="s">
        <v>926</v>
      </c>
      <c r="J7" s="48" t="s">
        <v>908</v>
      </c>
      <c r="K7" s="48" t="s">
        <v>911</v>
      </c>
      <c r="L7" s="48" t="s">
        <v>927</v>
      </c>
    </row>
    <row r="8" customFormat="false" ht="25.5" hidden="false" customHeight="true" outlineLevel="0" collapsed="false">
      <c r="A8" s="93" t="n">
        <f aca="false">IF($B8="","",1)</f>
        <v>1</v>
      </c>
      <c r="B8" s="94" t="str">
        <f aca="false">IFERROR(INDEX(03_能力總表_Master!$A$5:$A$154,MATCH(1,_計算_Calc!$BY$5:$BY$154,0)),"")</f>
        <v>CAP-016</v>
      </c>
      <c r="C8" s="93" t="str">
        <f aca="false">IFERROR(INDEX(03_能力總表_Master!$B$5:$B$154,MATCH(1,_計算_Calc!$BY$5:$BY$154,0)),"")</f>
        <v>D03 醫院設施與機電</v>
      </c>
      <c r="D8" s="93" t="str">
        <f aca="false">IFERROR(INDEX(03_能力總表_Master!$C$5:$C$154,MATCH(1,_計算_Calc!$BY$5:$BY$154,0)),"")</f>
        <v>G3</v>
      </c>
      <c r="E8" s="95" t="str">
        <f aca="false">IFERROR(INDEX(03_能力總表_Master!$E$5:$E$154,MATCH(1,_計算_Calc!$BY$5:$BY$154,0)),"")</f>
        <v>電力、備援與微電網</v>
      </c>
      <c r="F8" s="95" t="str">
        <f aca="false">IFERROR(INDEX(03_能力總表_Master!$G$5:$G$154,MATCH(1,_計算_Calc!$BY$5:$BY$154,0)),"")</f>
        <v>支援手術、ICU、資料中心與生命支持連續運作</v>
      </c>
      <c r="G8" s="96" t="str">
        <f aca="false">IFERROR(INDEX(03_能力總表_Master!$H$5:$H$154,MATCH(1,_計算_Calc!$BY$5:$BY$154,0)),"")</f>
        <v>群晶主導</v>
      </c>
      <c r="H8" s="95" t="str">
        <f aca="false">IFERROR(INDEX(03_能力總表_Master!$L$5:$L$154,MATCH(1,_計算_Calc!$BY$5:$BY$154,0)),"")</f>
        <v>HIMSS-INFRAM; ISO-22301</v>
      </c>
      <c r="I8" s="97" t="n">
        <f aca="false">IFERROR(INDEX(03_能力總表_Master!$Q$5:$Q$154,MATCH(1,_計算_Calc!$BY$5:$BY$154,0)),"")</f>
        <v>4.4</v>
      </c>
      <c r="J8" s="97" t="n">
        <f aca="false">IFERROR(INDEX(03_能力總表_Master!$U$5:$U$154,MATCH(1,_計算_Calc!$BY$5:$BY$154,0)),"")</f>
        <v>2.7</v>
      </c>
      <c r="K8" s="96" t="str">
        <f aca="false">IFERROR(INDEX(03_能力總表_Master!$W$5:$W$154,MATCH(1,_計算_Calc!$BY$5:$BY$154,0)),"")</f>
        <v>先補條件 Prepare</v>
      </c>
      <c r="L8" s="104" t="str">
        <f aca="false">IFERROR(INDEX(03_能力總表_Master!$AF$5:$AF$154,MATCH(1,_計算_Calc!$BY$5:$BY$154,0)),"")</f>
        <v>OPP-07; OPP-10; OPP-12</v>
      </c>
    </row>
    <row r="9" customFormat="false" ht="25.5" hidden="false" customHeight="true" outlineLevel="0" collapsed="false">
      <c r="A9" s="93" t="n">
        <f aca="false">IF($B9="","",2)</f>
        <v>2</v>
      </c>
      <c r="B9" s="94" t="str">
        <f aca="false">IFERROR(INDEX(03_能力總表_Master!$A$5:$A$154,MATCH(2,_計算_Calc!$BY$5:$BY$154,0)),"")</f>
        <v>CAP-020</v>
      </c>
      <c r="C9" s="93" t="str">
        <f aca="false">IFERROR(INDEX(03_能力總表_Master!$B$5:$B$154,MATCH(2,_計算_Calc!$BY$5:$BY$154,0)),"")</f>
        <v>D04 數位基建與物聯網</v>
      </c>
      <c r="D9" s="93" t="str">
        <f aca="false">IFERROR(INDEX(03_能力總表_Master!$C$5:$C$154,MATCH(2,_計算_Calc!$BY$5:$BY$154,0)),"")</f>
        <v>G3</v>
      </c>
      <c r="E9" s="95" t="str">
        <f aca="false">IFERROR(INDEX(03_能力總表_Master!$E$5:$E$154,MATCH(2,_計算_Calc!$BY$5:$BY$154,0)),"")</f>
        <v>IDC與邊緣運算底座</v>
      </c>
      <c r="F9" s="95" t="str">
        <f aca="false">IFERROR(INDEX(03_能力總表_Master!$G$5:$G$154,MATCH(2,_計算_Calc!$BY$5:$BY$154,0)),"")</f>
        <v>建立醫療級高可用機房、運算、儲存與監控</v>
      </c>
      <c r="G9" s="96" t="str">
        <f aca="false">IFERROR(INDEX(03_能力總表_Master!$H$5:$H$154,MATCH(2,_計算_Calc!$BY$5:$BY$154,0)),"")</f>
        <v>群晶主導</v>
      </c>
      <c r="H9" s="95" t="str">
        <f aca="false">IFERROR(INDEX(03_能力總表_Master!$L$5:$L$154,MATCH(2,_計算_Calc!$BY$5:$BY$154,0)),"")</f>
        <v>HIMSS-INFRAM; ISO-27001</v>
      </c>
      <c r="I9" s="97" t="n">
        <f aca="false">IFERROR(INDEX(03_能力總表_Master!$Q$5:$Q$154,MATCH(2,_計算_Calc!$BY$5:$BY$154,0)),"")</f>
        <v>4.1</v>
      </c>
      <c r="J9" s="97" t="n">
        <f aca="false">IFERROR(INDEX(03_能力總表_Master!$U$5:$U$154,MATCH(2,_計算_Calc!$BY$5:$BY$154,0)),"")</f>
        <v>3.4</v>
      </c>
      <c r="K9" s="96" t="str">
        <f aca="false">IFERROR(INDEX(03_能力總表_Master!$W$5:$W$154,MATCH(2,_計算_Calc!$BY$5:$BY$154,0)),"")</f>
        <v>立即推進 Go</v>
      </c>
      <c r="L9" s="104" t="str">
        <f aca="false">IFERROR(INDEX(03_能力總表_Master!$AF$5:$AF$154,MATCH(2,_計算_Calc!$BY$5:$BY$154,0)),"")</f>
        <v>OPP-24; OPP-25; OPP-40; OPP-57</v>
      </c>
    </row>
    <row r="10" customFormat="false" ht="25.5" hidden="false" customHeight="true" outlineLevel="0" collapsed="false">
      <c r="A10" s="93" t="n">
        <f aca="false">IF($B10="","",3)</f>
        <v>3</v>
      </c>
      <c r="B10" s="94" t="str">
        <f aca="false">IFERROR(INDEX(03_能力總表_Master!$A$5:$A$154,MATCH(3,_計算_Calc!$BY$5:$BY$154,0)),"")</f>
        <v>CAP-021</v>
      </c>
      <c r="C10" s="93" t="str">
        <f aca="false">IFERROR(INDEX(03_能力總表_Master!$B$5:$B$154,MATCH(3,_計算_Calc!$BY$5:$BY$154,0)),"")</f>
        <v>D04 數位基建與物聯網</v>
      </c>
      <c r="D10" s="93" t="str">
        <f aca="false">IFERROR(INDEX(03_能力總表_Master!$C$5:$C$154,MATCH(3,_計算_Calc!$BY$5:$BY$154,0)),"")</f>
        <v>G4</v>
      </c>
      <c r="E10" s="95" t="str">
        <f aca="false">IFERROR(INDEX(03_能力總表_Master!$E$5:$E$154,MATCH(3,_計算_Calc!$BY$5:$BY$154,0)),"")</f>
        <v>有線無線網路與分區</v>
      </c>
      <c r="F10" s="95" t="str">
        <f aca="false">IFERROR(INDEX(03_能力總表_Master!$G$5:$G$154,MATCH(3,_計算_Calc!$BY$5:$BY$154,0)),"")</f>
        <v>支援臨床、醫材、IoT、訪客與管理網路分區</v>
      </c>
      <c r="G10" s="96" t="str">
        <f aca="false">IFERROR(INDEX(03_能力總表_Master!$H$5:$H$154,MATCH(3,_計算_Calc!$BY$5:$BY$154,0)),"")</f>
        <v>群晶主導</v>
      </c>
      <c r="H10" s="95" t="str">
        <f aca="false">IFERROR(INDEX(03_能力總表_Master!$L$5:$L$154,MATCH(3,_計算_Calc!$BY$5:$BY$154,0)),"")</f>
        <v>HIMSS-INFRAM; ISO-27001</v>
      </c>
      <c r="I10" s="97" t="n">
        <f aca="false">IFERROR(INDEX(03_能力總表_Master!$Q$5:$Q$154,MATCH(3,_計算_Calc!$BY$5:$BY$154,0)),"")</f>
        <v>3.4</v>
      </c>
      <c r="J10" s="97" t="n">
        <f aca="false">IFERROR(INDEX(03_能力總表_Master!$U$5:$U$154,MATCH(3,_計算_Calc!$BY$5:$BY$154,0)),"")</f>
        <v>3.4</v>
      </c>
      <c r="K10" s="96" t="str">
        <f aca="false">IFERROR(INDEX(03_能力總表_Master!$W$5:$W$154,MATCH(3,_計算_Calc!$BY$5:$BY$154,0)),"")</f>
        <v>快速小案 Quick-win</v>
      </c>
      <c r="L10" s="104" t="str">
        <f aca="false">IFERROR(INDEX(03_能力總表_Master!$AF$5:$AF$154,MATCH(3,_計算_Calc!$BY$5:$BY$154,0)),"")</f>
        <v>OPP-24</v>
      </c>
    </row>
    <row r="11" customFormat="false" ht="25.5" hidden="false" customHeight="true" outlineLevel="0" collapsed="false">
      <c r="A11" s="93" t="n">
        <f aca="false">IF($B11="","",4)</f>
        <v>4</v>
      </c>
      <c r="B11" s="94" t="str">
        <f aca="false">IFERROR(INDEX(03_能力總表_Master!$A$5:$A$154,MATCH(4,_計算_Calc!$BY$5:$BY$154,0)),"")</f>
        <v>CAP-023</v>
      </c>
      <c r="C11" s="93" t="str">
        <f aca="false">IFERROR(INDEX(03_能力總表_Master!$B$5:$B$154,MATCH(4,_計算_Calc!$BY$5:$BY$154,0)),"")</f>
        <v>D04 數位基建與物聯網</v>
      </c>
      <c r="D11" s="93" t="str">
        <f aca="false">IFERROR(INDEX(03_能力總表_Master!$C$5:$C$154,MATCH(4,_計算_Calc!$BY$5:$BY$154,0)),"")</f>
        <v>G4</v>
      </c>
      <c r="E11" s="95" t="str">
        <f aca="false">IFERROR(INDEX(03_能力總表_Master!$E$5:$E$154,MATCH(4,_計算_Calc!$BY$5:$BY$154,0)),"")</f>
        <v>BMS與能源管理</v>
      </c>
      <c r="F11" s="95" t="str">
        <f aca="false">IFERROR(INDEX(03_能力總表_Master!$G$5:$G$154,MATCH(4,_計算_Calc!$BY$5:$BY$154,0)),"")</f>
        <v>整合機電、環境、告警與能源資料</v>
      </c>
      <c r="G11" s="96" t="str">
        <f aca="false">IFERROR(INDEX(03_能力總表_Master!$H$5:$H$154,MATCH(4,_計算_Calc!$BY$5:$BY$154,0)),"")</f>
        <v>群晶主導</v>
      </c>
      <c r="H11" s="95" t="str">
        <f aca="false">IFERROR(INDEX(03_能力總表_Master!$L$5:$L$154,MATCH(4,_計算_Calc!$BY$5:$BY$154,0)),"")</f>
        <v>HIMSS-INFRAM</v>
      </c>
      <c r="I11" s="97" t="n">
        <f aca="false">IFERROR(INDEX(03_能力總表_Master!$Q$5:$Q$154,MATCH(4,_計算_Calc!$BY$5:$BY$154,0)),"")</f>
        <v>3</v>
      </c>
      <c r="J11" s="97" t="n">
        <f aca="false">IFERROR(INDEX(03_能力總表_Master!$U$5:$U$154,MATCH(4,_計算_Calc!$BY$5:$BY$154,0)),"")</f>
        <v>3.4</v>
      </c>
      <c r="K11" s="96" t="str">
        <f aca="false">IFERROR(INDEX(03_能力總表_Master!$W$5:$W$154,MATCH(4,_計算_Calc!$BY$5:$BY$154,0)),"")</f>
        <v>快速小案 Quick-win</v>
      </c>
      <c r="L11" s="104" t="str">
        <f aca="false">IFERROR(INDEX(03_能力總表_Master!$AF$5:$AF$154,MATCH(4,_計算_Calc!$BY$5:$BY$154,0)),"")</f>
        <v>OPP-26</v>
      </c>
    </row>
    <row r="12" customFormat="false" ht="25.5" hidden="false" customHeight="true" outlineLevel="0" collapsed="false">
      <c r="A12" s="93" t="n">
        <f aca="false">IF($B12="","",5)</f>
        <v>5</v>
      </c>
      <c r="B12" s="94" t="str">
        <f aca="false">IFERROR(INDEX(03_能力總表_Master!$A$5:$A$154,MATCH(5,_計算_Calc!$BY$5:$BY$154,0)),"")</f>
        <v>CAP-024</v>
      </c>
      <c r="C12" s="93" t="str">
        <f aca="false">IFERROR(INDEX(03_能力總表_Master!$B$5:$B$154,MATCH(5,_計算_Calc!$BY$5:$BY$154,0)),"")</f>
        <v>D04 數位基建與物聯網</v>
      </c>
      <c r="D12" s="93" t="str">
        <f aca="false">IFERROR(INDEX(03_能力總表_Master!$C$5:$C$154,MATCH(5,_計算_Calc!$BY$5:$BY$154,0)),"")</f>
        <v>G4</v>
      </c>
      <c r="E12" s="95" t="str">
        <f aca="false">IFERROR(INDEX(03_能力總表_Master!$E$5:$E$154,MATCH(5,_計算_Calc!$BY$5:$BY$154,0)),"")</f>
        <v>RTLS與資產／人員定位</v>
      </c>
      <c r="F12" s="95" t="str">
        <f aca="false">IFERROR(INDEX(03_能力總表_Master!$G$5:$G$154,MATCH(5,_計算_Calc!$BY$5:$BY$154,0)),"")</f>
        <v>提高設備利用、病人流程與緊急定位效率</v>
      </c>
      <c r="G12" s="96" t="str">
        <f aca="false">IFERROR(INDEX(03_能力總表_Master!$H$5:$H$154,MATCH(5,_計算_Calc!$BY$5:$BY$154,0)),"")</f>
        <v>群晶主導</v>
      </c>
      <c r="H12" s="95" t="str">
        <f aca="false">IFERROR(INDEX(03_能力總表_Master!$L$5:$L$154,MATCH(5,_計算_Calc!$BY$5:$BY$154,0)),"")</f>
        <v>ISO-27001</v>
      </c>
      <c r="I12" s="97" t="n">
        <f aca="false">IFERROR(INDEX(03_能力總表_Master!$Q$5:$Q$154,MATCH(5,_計算_Calc!$BY$5:$BY$154,0)),"")</f>
        <v>3</v>
      </c>
      <c r="J12" s="97" t="n">
        <f aca="false">IFERROR(INDEX(03_能力總表_Master!$U$5:$U$154,MATCH(5,_計算_Calc!$BY$5:$BY$154,0)),"")</f>
        <v>3.4</v>
      </c>
      <c r="K12" s="96" t="str">
        <f aca="false">IFERROR(INDEX(03_能力總表_Master!$W$5:$W$154,MATCH(5,_計算_Calc!$BY$5:$BY$154,0)),"")</f>
        <v>快速小案 Quick-win</v>
      </c>
      <c r="L12" s="104" t="str">
        <f aca="false">IFERROR(INDEX(03_能力總表_Master!$AF$5:$AF$154,MATCH(5,_計算_Calc!$BY$5:$BY$154,0)),"")</f>
        <v>OPP-26</v>
      </c>
    </row>
    <row r="13" customFormat="false" ht="25.5" hidden="false" customHeight="true" outlineLevel="0" collapsed="false">
      <c r="A13" s="93" t="n">
        <f aca="false">IF($B13="","",6)</f>
        <v>6</v>
      </c>
      <c r="B13" s="94" t="str">
        <f aca="false">IFERROR(INDEX(03_能力總表_Master!$A$5:$A$154,MATCH(6,_計算_Calc!$BY$5:$BY$154,0)),"")</f>
        <v>CAP-025</v>
      </c>
      <c r="C13" s="93" t="str">
        <f aca="false">IFERROR(INDEX(03_能力總表_Master!$B$5:$B$154,MATCH(6,_計算_Calc!$BY$5:$BY$154,0)),"")</f>
        <v>D04 數位基建與物聯網</v>
      </c>
      <c r="D13" s="93" t="str">
        <f aca="false">IFERROR(INDEX(03_能力總表_Master!$C$5:$C$154,MATCH(6,_計算_Calc!$BY$5:$BY$154,0)),"")</f>
        <v>G4</v>
      </c>
      <c r="E13" s="95" t="str">
        <f aca="false">IFERROR(INDEX(03_能力總表_Master!$E$5:$E$154,MATCH(6,_計算_Calc!$BY$5:$BY$154,0)),"")</f>
        <v>智慧病房、護理呼叫與感測</v>
      </c>
      <c r="F13" s="95" t="str">
        <f aca="false">IFERROR(INDEX(03_能力總表_Master!$G$5:$G$154,MATCH(6,_計算_Calc!$BY$5:$BY$154,0)),"")</f>
        <v>整合護理呼叫、床旁、環境與安全告警</v>
      </c>
      <c r="G13" s="96" t="str">
        <f aca="false">IFERROR(INDEX(03_能力總表_Master!$H$5:$H$154,MATCH(6,_計算_Calc!$BY$5:$BY$154,0)),"")</f>
        <v>群晶主導</v>
      </c>
      <c r="H13" s="95" t="str">
        <f aca="false">IFERROR(INDEX(03_能力總表_Master!$L$5:$L$154,MATCH(6,_計算_Calc!$BY$5:$BY$154,0)),"")</f>
        <v>IEC-80001</v>
      </c>
      <c r="I13" s="97" t="n">
        <f aca="false">IFERROR(INDEX(03_能力總表_Master!$Q$5:$Q$154,MATCH(6,_計算_Calc!$BY$5:$BY$154,0)),"")</f>
        <v>3.7</v>
      </c>
      <c r="J13" s="97" t="n">
        <f aca="false">IFERROR(INDEX(03_能力總表_Master!$U$5:$U$154,MATCH(6,_計算_Calc!$BY$5:$BY$154,0)),"")</f>
        <v>3.4</v>
      </c>
      <c r="K13" s="96" t="str">
        <f aca="false">IFERROR(INDEX(03_能力總表_Master!$W$5:$W$154,MATCH(6,_計算_Calc!$BY$5:$BY$154,0)),"")</f>
        <v>立即推進 Go</v>
      </c>
      <c r="L13" s="104" t="str">
        <f aca="false">IFERROR(INDEX(03_能力總表_Master!$AF$5:$AF$154,MATCH(6,_計算_Calc!$BY$5:$BY$154,0)),"")</f>
        <v>OPP-26; OPP-52</v>
      </c>
    </row>
    <row r="14" customFormat="false" ht="25.5" hidden="false" customHeight="true" outlineLevel="0" collapsed="false">
      <c r="A14" s="93" t="n">
        <f aca="false">IF($B14="","",7)</f>
        <v>7</v>
      </c>
      <c r="B14" s="94" t="str">
        <f aca="false">IFERROR(INDEX(03_能力總表_Master!$A$5:$A$154,MATCH(7,_計算_Calc!$BY$5:$BY$154,0)),"")</f>
        <v>CAP-026</v>
      </c>
      <c r="C14" s="93" t="str">
        <f aca="false">IFERROR(INDEX(03_能力總表_Master!$B$5:$B$154,MATCH(7,_計算_Calc!$BY$5:$BY$154,0)),"")</f>
        <v>D04 數位基建與物聯網</v>
      </c>
      <c r="D14" s="93" t="str">
        <f aca="false">IFERROR(INDEX(03_能力總表_Master!$C$5:$C$154,MATCH(7,_計算_Calc!$BY$5:$BY$154,0)),"")</f>
        <v>G4</v>
      </c>
      <c r="E14" s="95" t="str">
        <f aca="false">IFERROR(INDEX(03_能力總表_Master!$E$5:$E$154,MATCH(7,_計算_Calc!$BY$5:$BY$154,0)),"")</f>
        <v>災難復原與營運持續</v>
      </c>
      <c r="F14" s="95" t="str">
        <f aca="false">IFERROR(INDEX(03_能力總表_Master!$G$5:$G$154,MATCH(7,_計算_Calc!$BY$5:$BY$154,0)),"")</f>
        <v>確保重大故障或災害下維持必要醫療服務</v>
      </c>
      <c r="G14" s="96" t="str">
        <f aca="false">IFERROR(INDEX(03_能力總表_Master!$H$5:$H$154,MATCH(7,_計算_Calc!$BY$5:$BY$154,0)),"")</f>
        <v>群晶主導</v>
      </c>
      <c r="H14" s="95" t="str">
        <f aca="false">IFERROR(INDEX(03_能力總表_Master!$L$5:$L$154,MATCH(7,_計算_Calc!$BY$5:$BY$154,0)),"")</f>
        <v>ISO-22301; ISO-27001</v>
      </c>
      <c r="I14" s="97" t="n">
        <f aca="false">IFERROR(INDEX(03_能力總表_Master!$Q$5:$Q$154,MATCH(7,_計算_Calc!$BY$5:$BY$154,0)),"")</f>
        <v>4.1</v>
      </c>
      <c r="J14" s="97" t="n">
        <f aca="false">IFERROR(INDEX(03_能力總表_Master!$U$5:$U$154,MATCH(7,_計算_Calc!$BY$5:$BY$154,0)),"")</f>
        <v>3.4</v>
      </c>
      <c r="K14" s="96" t="str">
        <f aca="false">IFERROR(INDEX(03_能力總表_Master!$W$5:$W$154,MATCH(7,_計算_Calc!$BY$5:$BY$154,0)),"")</f>
        <v>立即推進 Go</v>
      </c>
      <c r="L14" s="104" t="str">
        <f aca="false">IFERROR(INDEX(03_能力總表_Master!$AF$5:$AF$154,MATCH(7,_計算_Calc!$BY$5:$BY$154,0)),"")</f>
        <v>OPP-24; OPP-25; OPP-27; OPP-29; OPP-39; OPP-59</v>
      </c>
    </row>
    <row r="15" customFormat="false" ht="25.5" hidden="false" customHeight="true" outlineLevel="0" collapsed="false">
      <c r="A15" s="93" t="n">
        <f aca="false">IF($B15="","",8)</f>
        <v>8</v>
      </c>
      <c r="B15" s="94" t="str">
        <f aca="false">IFERROR(INDEX(03_能力總表_Master!$A$5:$A$154,MATCH(8,_計算_Calc!$BY$5:$BY$154,0)),"")</f>
        <v>CAP-053</v>
      </c>
      <c r="C15" s="93" t="str">
        <f aca="false">IFERROR(INDEX(03_能力總表_Master!$B$5:$B$154,MATCH(8,_計算_Calc!$BY$5:$BY$154,0)),"")</f>
        <v>D09 供應鏈與維運</v>
      </c>
      <c r="D15" s="93" t="str">
        <f aca="false">IFERROR(INDEX(03_能力總表_Master!$C$5:$C$154,MATCH(8,_計算_Calc!$BY$5:$BY$154,0)),"")</f>
        <v>G4</v>
      </c>
      <c r="E15" s="95" t="str">
        <f aca="false">IFERROR(INDEX(03_能力總表_Master!$E$5:$E$154,MATCH(8,_計算_Calc!$BY$5:$BY$154,0)),"")</f>
        <v>CMMS與設施維運</v>
      </c>
      <c r="F15" s="95" t="str">
        <f aca="false">IFERROR(INDEX(03_能力總表_Master!$G$5:$G$154,MATCH(8,_計算_Calc!$BY$5:$BY$154,0)),"")</f>
        <v>整合設備、工單、維保、能源、備品與SLA</v>
      </c>
      <c r="G15" s="96" t="str">
        <f aca="false">IFERROR(INDEX(03_能力總表_Master!$H$5:$H$154,MATCH(8,_計算_Calc!$BY$5:$BY$154,0)),"")</f>
        <v>群晶主導</v>
      </c>
      <c r="H15" s="95" t="str">
        <f aca="false">IFERROR(INDEX(03_能力總表_Master!$L$5:$L$154,MATCH(8,_計算_Calc!$BY$5:$BY$154,0)),"")</f>
        <v>ISO-22301</v>
      </c>
      <c r="I15" s="97" t="n">
        <f aca="false">IFERROR(INDEX(03_能力總表_Master!$Q$5:$Q$154,MATCH(8,_計算_Calc!$BY$5:$BY$154,0)),"")</f>
        <v>3.7</v>
      </c>
      <c r="J15" s="97" t="n">
        <f aca="false">IFERROR(INDEX(03_能力總表_Master!$U$5:$U$154,MATCH(8,_計算_Calc!$BY$5:$BY$154,0)),"")</f>
        <v>3.4</v>
      </c>
      <c r="K15" s="96" t="str">
        <f aca="false">IFERROR(INDEX(03_能力總表_Master!$W$5:$W$154,MATCH(8,_計算_Calc!$BY$5:$BY$154,0)),"")</f>
        <v>立即推進 Go</v>
      </c>
      <c r="L15" s="104" t="str">
        <f aca="false">IFERROR(INDEX(03_能力總表_Master!$AF$5:$AF$154,MATCH(8,_計算_Calc!$BY$5:$BY$154,0)),"")</f>
        <v>OPP-26; OPP-37; OPP-52; OPP-54; OPP-67</v>
      </c>
    </row>
    <row r="16" customFormat="false" ht="25.5" hidden="false" customHeight="true" outlineLevel="0" collapsed="false">
      <c r="A16" s="93" t="str">
        <f aca="false">IF($B16="","",9)</f>
        <v/>
      </c>
      <c r="B16" s="94" t="str">
        <f aca="false">IFERROR(INDEX(03_能力總表_Master!$A$5:$A$154,MATCH(9,_計算_Calc!$BY$5:$BY$154,0)),"")</f>
        <v/>
      </c>
      <c r="C16" s="93" t="str">
        <f aca="false">IFERROR(INDEX(03_能力總表_Master!$B$5:$B$154,MATCH(9,_計算_Calc!$BY$5:$BY$154,0)),"")</f>
        <v/>
      </c>
      <c r="D16" s="93" t="str">
        <f aca="false">IFERROR(INDEX(03_能力總表_Master!$C$5:$C$154,MATCH(9,_計算_Calc!$BY$5:$BY$154,0)),"")</f>
        <v/>
      </c>
      <c r="E16" s="95" t="str">
        <f aca="false">IFERROR(INDEX(03_能力總表_Master!$E$5:$E$154,MATCH(9,_計算_Calc!$BY$5:$BY$154,0)),"")</f>
        <v/>
      </c>
      <c r="F16" s="95" t="str">
        <f aca="false">IFERROR(INDEX(03_能力總表_Master!$G$5:$G$154,MATCH(9,_計算_Calc!$BY$5:$BY$154,0)),"")</f>
        <v/>
      </c>
      <c r="G16" s="96" t="str">
        <f aca="false">IFERROR(INDEX(03_能力總表_Master!$H$5:$H$154,MATCH(9,_計算_Calc!$BY$5:$BY$154,0)),"")</f>
        <v/>
      </c>
      <c r="H16" s="95" t="str">
        <f aca="false">IFERROR(INDEX(03_能力總表_Master!$L$5:$L$154,MATCH(9,_計算_Calc!$BY$5:$BY$154,0)),"")</f>
        <v/>
      </c>
      <c r="I16" s="97" t="str">
        <f aca="false">IFERROR(INDEX(03_能力總表_Master!$Q$5:$Q$154,MATCH(9,_計算_Calc!$BY$5:$BY$154,0)),"")</f>
        <v/>
      </c>
      <c r="J16" s="97" t="str">
        <f aca="false">IFERROR(INDEX(03_能力總表_Master!$U$5:$U$154,MATCH(9,_計算_Calc!$BY$5:$BY$154,0)),"")</f>
        <v/>
      </c>
      <c r="K16" s="96" t="str">
        <f aca="false">IFERROR(INDEX(03_能力總表_Master!$W$5:$W$154,MATCH(9,_計算_Calc!$BY$5:$BY$154,0)),"")</f>
        <v/>
      </c>
      <c r="L16" s="104" t="str">
        <f aca="false">IFERROR(INDEX(03_能力總表_Master!$AF$5:$AF$154,MATCH(9,_計算_Calc!$BY$5:$BY$154,0)),"")</f>
        <v/>
      </c>
    </row>
    <row r="17" customFormat="false" ht="25.5" hidden="false" customHeight="true" outlineLevel="0" collapsed="false">
      <c r="A17" s="93" t="str">
        <f aca="false">IF($B17="","",10)</f>
        <v/>
      </c>
      <c r="B17" s="94" t="str">
        <f aca="false">IFERROR(INDEX(03_能力總表_Master!$A$5:$A$154,MATCH(10,_計算_Calc!$BY$5:$BY$154,0)),"")</f>
        <v/>
      </c>
      <c r="C17" s="93" t="str">
        <f aca="false">IFERROR(INDEX(03_能力總表_Master!$B$5:$B$154,MATCH(10,_計算_Calc!$BY$5:$BY$154,0)),"")</f>
        <v/>
      </c>
      <c r="D17" s="93" t="str">
        <f aca="false">IFERROR(INDEX(03_能力總表_Master!$C$5:$C$154,MATCH(10,_計算_Calc!$BY$5:$BY$154,0)),"")</f>
        <v/>
      </c>
      <c r="E17" s="95" t="str">
        <f aca="false">IFERROR(INDEX(03_能力總表_Master!$E$5:$E$154,MATCH(10,_計算_Calc!$BY$5:$BY$154,0)),"")</f>
        <v/>
      </c>
      <c r="F17" s="95" t="str">
        <f aca="false">IFERROR(INDEX(03_能力總表_Master!$G$5:$G$154,MATCH(10,_計算_Calc!$BY$5:$BY$154,0)),"")</f>
        <v/>
      </c>
      <c r="G17" s="96" t="str">
        <f aca="false">IFERROR(INDEX(03_能力總表_Master!$H$5:$H$154,MATCH(10,_計算_Calc!$BY$5:$BY$154,0)),"")</f>
        <v/>
      </c>
      <c r="H17" s="95" t="str">
        <f aca="false">IFERROR(INDEX(03_能力總表_Master!$L$5:$L$154,MATCH(10,_計算_Calc!$BY$5:$BY$154,0)),"")</f>
        <v/>
      </c>
      <c r="I17" s="97" t="str">
        <f aca="false">IFERROR(INDEX(03_能力總表_Master!$Q$5:$Q$154,MATCH(10,_計算_Calc!$BY$5:$BY$154,0)),"")</f>
        <v/>
      </c>
      <c r="J17" s="97" t="str">
        <f aca="false">IFERROR(INDEX(03_能力總表_Master!$U$5:$U$154,MATCH(10,_計算_Calc!$BY$5:$BY$154,0)),"")</f>
        <v/>
      </c>
      <c r="K17" s="96" t="str">
        <f aca="false">IFERROR(INDEX(03_能力總表_Master!$W$5:$W$154,MATCH(10,_計算_Calc!$BY$5:$BY$154,0)),"")</f>
        <v/>
      </c>
      <c r="L17" s="104" t="str">
        <f aca="false">IFERROR(INDEX(03_能力總表_Master!$AF$5:$AF$154,MATCH(10,_計算_Calc!$BY$5:$BY$154,0)),"")</f>
        <v/>
      </c>
    </row>
    <row r="18" customFormat="false" ht="25.5" hidden="false" customHeight="true" outlineLevel="0" collapsed="false">
      <c r="A18" s="93" t="str">
        <f aca="false">IF($B18="","",11)</f>
        <v/>
      </c>
      <c r="B18" s="94" t="str">
        <f aca="false">IFERROR(INDEX(03_能力總表_Master!$A$5:$A$154,MATCH(11,_計算_Calc!$BY$5:$BY$154,0)),"")</f>
        <v/>
      </c>
      <c r="C18" s="93" t="str">
        <f aca="false">IFERROR(INDEX(03_能力總表_Master!$B$5:$B$154,MATCH(11,_計算_Calc!$BY$5:$BY$154,0)),"")</f>
        <v/>
      </c>
      <c r="D18" s="93" t="str">
        <f aca="false">IFERROR(INDEX(03_能力總表_Master!$C$5:$C$154,MATCH(11,_計算_Calc!$BY$5:$BY$154,0)),"")</f>
        <v/>
      </c>
      <c r="E18" s="95" t="str">
        <f aca="false">IFERROR(INDEX(03_能力總表_Master!$E$5:$E$154,MATCH(11,_計算_Calc!$BY$5:$BY$154,0)),"")</f>
        <v/>
      </c>
      <c r="F18" s="95" t="str">
        <f aca="false">IFERROR(INDEX(03_能力總表_Master!$G$5:$G$154,MATCH(11,_計算_Calc!$BY$5:$BY$154,0)),"")</f>
        <v/>
      </c>
      <c r="G18" s="96" t="str">
        <f aca="false">IFERROR(INDEX(03_能力總表_Master!$H$5:$H$154,MATCH(11,_計算_Calc!$BY$5:$BY$154,0)),"")</f>
        <v/>
      </c>
      <c r="H18" s="95" t="str">
        <f aca="false">IFERROR(INDEX(03_能力總表_Master!$L$5:$L$154,MATCH(11,_計算_Calc!$BY$5:$BY$154,0)),"")</f>
        <v/>
      </c>
      <c r="I18" s="97" t="str">
        <f aca="false">IFERROR(INDEX(03_能力總表_Master!$Q$5:$Q$154,MATCH(11,_計算_Calc!$BY$5:$BY$154,0)),"")</f>
        <v/>
      </c>
      <c r="J18" s="97" t="str">
        <f aca="false">IFERROR(INDEX(03_能力總表_Master!$U$5:$U$154,MATCH(11,_計算_Calc!$BY$5:$BY$154,0)),"")</f>
        <v/>
      </c>
      <c r="K18" s="96" t="str">
        <f aca="false">IFERROR(INDEX(03_能力總表_Master!$W$5:$W$154,MATCH(11,_計算_Calc!$BY$5:$BY$154,0)),"")</f>
        <v/>
      </c>
      <c r="L18" s="104" t="str">
        <f aca="false">IFERROR(INDEX(03_能力總表_Master!$AF$5:$AF$154,MATCH(11,_計算_Calc!$BY$5:$BY$154,0)),"")</f>
        <v/>
      </c>
    </row>
    <row r="19" customFormat="false" ht="25.5" hidden="false" customHeight="true" outlineLevel="0" collapsed="false">
      <c r="A19" s="93" t="str">
        <f aca="false">IF($B19="","",12)</f>
        <v/>
      </c>
      <c r="B19" s="94" t="str">
        <f aca="false">IFERROR(INDEX(03_能力總表_Master!$A$5:$A$154,MATCH(12,_計算_Calc!$BY$5:$BY$154,0)),"")</f>
        <v/>
      </c>
      <c r="C19" s="93" t="str">
        <f aca="false">IFERROR(INDEX(03_能力總表_Master!$B$5:$B$154,MATCH(12,_計算_Calc!$BY$5:$BY$154,0)),"")</f>
        <v/>
      </c>
      <c r="D19" s="93" t="str">
        <f aca="false">IFERROR(INDEX(03_能力總表_Master!$C$5:$C$154,MATCH(12,_計算_Calc!$BY$5:$BY$154,0)),"")</f>
        <v/>
      </c>
      <c r="E19" s="95" t="str">
        <f aca="false">IFERROR(INDEX(03_能力總表_Master!$E$5:$E$154,MATCH(12,_計算_Calc!$BY$5:$BY$154,0)),"")</f>
        <v/>
      </c>
      <c r="F19" s="95" t="str">
        <f aca="false">IFERROR(INDEX(03_能力總表_Master!$G$5:$G$154,MATCH(12,_計算_Calc!$BY$5:$BY$154,0)),"")</f>
        <v/>
      </c>
      <c r="G19" s="96" t="str">
        <f aca="false">IFERROR(INDEX(03_能力總表_Master!$H$5:$H$154,MATCH(12,_計算_Calc!$BY$5:$BY$154,0)),"")</f>
        <v/>
      </c>
      <c r="H19" s="95" t="str">
        <f aca="false">IFERROR(INDEX(03_能力總表_Master!$L$5:$L$154,MATCH(12,_計算_Calc!$BY$5:$BY$154,0)),"")</f>
        <v/>
      </c>
      <c r="I19" s="97" t="str">
        <f aca="false">IFERROR(INDEX(03_能力總表_Master!$Q$5:$Q$154,MATCH(12,_計算_Calc!$BY$5:$BY$154,0)),"")</f>
        <v/>
      </c>
      <c r="J19" s="97" t="str">
        <f aca="false">IFERROR(INDEX(03_能力總表_Master!$U$5:$U$154,MATCH(12,_計算_Calc!$BY$5:$BY$154,0)),"")</f>
        <v/>
      </c>
      <c r="K19" s="96" t="str">
        <f aca="false">IFERROR(INDEX(03_能力總表_Master!$W$5:$W$154,MATCH(12,_計算_Calc!$BY$5:$BY$154,0)),"")</f>
        <v/>
      </c>
      <c r="L19" s="104" t="str">
        <f aca="false">IFERROR(INDEX(03_能力總表_Master!$AF$5:$AF$154,MATCH(12,_計算_Calc!$BY$5:$BY$154,0)),"")</f>
        <v/>
      </c>
    </row>
    <row r="20" customFormat="false" ht="25.5" hidden="false" customHeight="true" outlineLevel="0" collapsed="false">
      <c r="A20" s="93" t="str">
        <f aca="false">IF($B20="","",13)</f>
        <v/>
      </c>
      <c r="B20" s="94" t="str">
        <f aca="false">IFERROR(INDEX(03_能力總表_Master!$A$5:$A$154,MATCH(13,_計算_Calc!$BY$5:$BY$154,0)),"")</f>
        <v/>
      </c>
      <c r="C20" s="93" t="str">
        <f aca="false">IFERROR(INDEX(03_能力總表_Master!$B$5:$B$154,MATCH(13,_計算_Calc!$BY$5:$BY$154,0)),"")</f>
        <v/>
      </c>
      <c r="D20" s="93" t="str">
        <f aca="false">IFERROR(INDEX(03_能力總表_Master!$C$5:$C$154,MATCH(13,_計算_Calc!$BY$5:$BY$154,0)),"")</f>
        <v/>
      </c>
      <c r="E20" s="95" t="str">
        <f aca="false">IFERROR(INDEX(03_能力總表_Master!$E$5:$E$154,MATCH(13,_計算_Calc!$BY$5:$BY$154,0)),"")</f>
        <v/>
      </c>
      <c r="F20" s="95" t="str">
        <f aca="false">IFERROR(INDEX(03_能力總表_Master!$G$5:$G$154,MATCH(13,_計算_Calc!$BY$5:$BY$154,0)),"")</f>
        <v/>
      </c>
      <c r="G20" s="96" t="str">
        <f aca="false">IFERROR(INDEX(03_能力總表_Master!$H$5:$H$154,MATCH(13,_計算_Calc!$BY$5:$BY$154,0)),"")</f>
        <v/>
      </c>
      <c r="H20" s="95" t="str">
        <f aca="false">IFERROR(INDEX(03_能力總表_Master!$L$5:$L$154,MATCH(13,_計算_Calc!$BY$5:$BY$154,0)),"")</f>
        <v/>
      </c>
      <c r="I20" s="97" t="str">
        <f aca="false">IFERROR(INDEX(03_能力總表_Master!$Q$5:$Q$154,MATCH(13,_計算_Calc!$BY$5:$BY$154,0)),"")</f>
        <v/>
      </c>
      <c r="J20" s="97" t="str">
        <f aca="false">IFERROR(INDEX(03_能力總表_Master!$U$5:$U$154,MATCH(13,_計算_Calc!$BY$5:$BY$154,0)),"")</f>
        <v/>
      </c>
      <c r="K20" s="96" t="str">
        <f aca="false">IFERROR(INDEX(03_能力總表_Master!$W$5:$W$154,MATCH(13,_計算_Calc!$BY$5:$BY$154,0)),"")</f>
        <v/>
      </c>
      <c r="L20" s="104" t="str">
        <f aca="false">IFERROR(INDEX(03_能力總表_Master!$AF$5:$AF$154,MATCH(13,_計算_Calc!$BY$5:$BY$154,0)),"")</f>
        <v/>
      </c>
    </row>
    <row r="21" customFormat="false" ht="25.5" hidden="false" customHeight="true" outlineLevel="0" collapsed="false">
      <c r="A21" s="93" t="str">
        <f aca="false">IF($B21="","",14)</f>
        <v/>
      </c>
      <c r="B21" s="94" t="str">
        <f aca="false">IFERROR(INDEX(03_能力總表_Master!$A$5:$A$154,MATCH(14,_計算_Calc!$BY$5:$BY$154,0)),"")</f>
        <v/>
      </c>
      <c r="C21" s="93" t="str">
        <f aca="false">IFERROR(INDEX(03_能力總表_Master!$B$5:$B$154,MATCH(14,_計算_Calc!$BY$5:$BY$154,0)),"")</f>
        <v/>
      </c>
      <c r="D21" s="93" t="str">
        <f aca="false">IFERROR(INDEX(03_能力總表_Master!$C$5:$C$154,MATCH(14,_計算_Calc!$BY$5:$BY$154,0)),"")</f>
        <v/>
      </c>
      <c r="E21" s="95" t="str">
        <f aca="false">IFERROR(INDEX(03_能力總表_Master!$E$5:$E$154,MATCH(14,_計算_Calc!$BY$5:$BY$154,0)),"")</f>
        <v/>
      </c>
      <c r="F21" s="95" t="str">
        <f aca="false">IFERROR(INDEX(03_能力總表_Master!$G$5:$G$154,MATCH(14,_計算_Calc!$BY$5:$BY$154,0)),"")</f>
        <v/>
      </c>
      <c r="G21" s="96" t="str">
        <f aca="false">IFERROR(INDEX(03_能力總表_Master!$H$5:$H$154,MATCH(14,_計算_Calc!$BY$5:$BY$154,0)),"")</f>
        <v/>
      </c>
      <c r="H21" s="95" t="str">
        <f aca="false">IFERROR(INDEX(03_能力總表_Master!$L$5:$L$154,MATCH(14,_計算_Calc!$BY$5:$BY$154,0)),"")</f>
        <v/>
      </c>
      <c r="I21" s="97" t="str">
        <f aca="false">IFERROR(INDEX(03_能力總表_Master!$Q$5:$Q$154,MATCH(14,_計算_Calc!$BY$5:$BY$154,0)),"")</f>
        <v/>
      </c>
      <c r="J21" s="97" t="str">
        <f aca="false">IFERROR(INDEX(03_能力總表_Master!$U$5:$U$154,MATCH(14,_計算_Calc!$BY$5:$BY$154,0)),"")</f>
        <v/>
      </c>
      <c r="K21" s="96" t="str">
        <f aca="false">IFERROR(INDEX(03_能力總表_Master!$W$5:$W$154,MATCH(14,_計算_Calc!$BY$5:$BY$154,0)),"")</f>
        <v/>
      </c>
      <c r="L21" s="104" t="str">
        <f aca="false">IFERROR(INDEX(03_能力總表_Master!$AF$5:$AF$154,MATCH(14,_計算_Calc!$BY$5:$BY$154,0)),"")</f>
        <v/>
      </c>
    </row>
    <row r="22" customFormat="false" ht="25.5" hidden="false" customHeight="true" outlineLevel="0" collapsed="false">
      <c r="A22" s="93" t="str">
        <f aca="false">IF($B22="","",15)</f>
        <v/>
      </c>
      <c r="B22" s="94" t="str">
        <f aca="false">IFERROR(INDEX(03_能力總表_Master!$A$5:$A$154,MATCH(15,_計算_Calc!$BY$5:$BY$154,0)),"")</f>
        <v/>
      </c>
      <c r="C22" s="93" t="str">
        <f aca="false">IFERROR(INDEX(03_能力總表_Master!$B$5:$B$154,MATCH(15,_計算_Calc!$BY$5:$BY$154,0)),"")</f>
        <v/>
      </c>
      <c r="D22" s="93" t="str">
        <f aca="false">IFERROR(INDEX(03_能力總表_Master!$C$5:$C$154,MATCH(15,_計算_Calc!$BY$5:$BY$154,0)),"")</f>
        <v/>
      </c>
      <c r="E22" s="95" t="str">
        <f aca="false">IFERROR(INDEX(03_能力總表_Master!$E$5:$E$154,MATCH(15,_計算_Calc!$BY$5:$BY$154,0)),"")</f>
        <v/>
      </c>
      <c r="F22" s="95" t="str">
        <f aca="false">IFERROR(INDEX(03_能力總表_Master!$G$5:$G$154,MATCH(15,_計算_Calc!$BY$5:$BY$154,0)),"")</f>
        <v/>
      </c>
      <c r="G22" s="96" t="str">
        <f aca="false">IFERROR(INDEX(03_能力總表_Master!$H$5:$H$154,MATCH(15,_計算_Calc!$BY$5:$BY$154,0)),"")</f>
        <v/>
      </c>
      <c r="H22" s="95" t="str">
        <f aca="false">IFERROR(INDEX(03_能力總表_Master!$L$5:$L$154,MATCH(15,_計算_Calc!$BY$5:$BY$154,0)),"")</f>
        <v/>
      </c>
      <c r="I22" s="97" t="str">
        <f aca="false">IFERROR(INDEX(03_能力總表_Master!$Q$5:$Q$154,MATCH(15,_計算_Calc!$BY$5:$BY$154,0)),"")</f>
        <v/>
      </c>
      <c r="J22" s="97" t="str">
        <f aca="false">IFERROR(INDEX(03_能力總表_Master!$U$5:$U$154,MATCH(15,_計算_Calc!$BY$5:$BY$154,0)),"")</f>
        <v/>
      </c>
      <c r="K22" s="96" t="str">
        <f aca="false">IFERROR(INDEX(03_能力總表_Master!$W$5:$W$154,MATCH(15,_計算_Calc!$BY$5:$BY$154,0)),"")</f>
        <v/>
      </c>
      <c r="L22" s="104" t="str">
        <f aca="false">IFERROR(INDEX(03_能力總表_Master!$AF$5:$AF$154,MATCH(15,_計算_Calc!$BY$5:$BY$154,0)),"")</f>
        <v/>
      </c>
    </row>
    <row r="23" customFormat="false" ht="25.5" hidden="false" customHeight="true" outlineLevel="0" collapsed="false">
      <c r="A23" s="93" t="str">
        <f aca="false">IF($B23="","",16)</f>
        <v/>
      </c>
      <c r="B23" s="94" t="str">
        <f aca="false">IFERROR(INDEX(03_能力總表_Master!$A$5:$A$154,MATCH(16,_計算_Calc!$BY$5:$BY$154,0)),"")</f>
        <v/>
      </c>
      <c r="C23" s="93" t="str">
        <f aca="false">IFERROR(INDEX(03_能力總表_Master!$B$5:$B$154,MATCH(16,_計算_Calc!$BY$5:$BY$154,0)),"")</f>
        <v/>
      </c>
      <c r="D23" s="93" t="str">
        <f aca="false">IFERROR(INDEX(03_能力總表_Master!$C$5:$C$154,MATCH(16,_計算_Calc!$BY$5:$BY$154,0)),"")</f>
        <v/>
      </c>
      <c r="E23" s="95" t="str">
        <f aca="false">IFERROR(INDEX(03_能力總表_Master!$E$5:$E$154,MATCH(16,_計算_Calc!$BY$5:$BY$154,0)),"")</f>
        <v/>
      </c>
      <c r="F23" s="95" t="str">
        <f aca="false">IFERROR(INDEX(03_能力總表_Master!$G$5:$G$154,MATCH(16,_計算_Calc!$BY$5:$BY$154,0)),"")</f>
        <v/>
      </c>
      <c r="G23" s="96" t="str">
        <f aca="false">IFERROR(INDEX(03_能力總表_Master!$H$5:$H$154,MATCH(16,_計算_Calc!$BY$5:$BY$154,0)),"")</f>
        <v/>
      </c>
      <c r="H23" s="95" t="str">
        <f aca="false">IFERROR(INDEX(03_能力總表_Master!$L$5:$L$154,MATCH(16,_計算_Calc!$BY$5:$BY$154,0)),"")</f>
        <v/>
      </c>
      <c r="I23" s="97" t="str">
        <f aca="false">IFERROR(INDEX(03_能力總表_Master!$Q$5:$Q$154,MATCH(16,_計算_Calc!$BY$5:$BY$154,0)),"")</f>
        <v/>
      </c>
      <c r="J23" s="97" t="str">
        <f aca="false">IFERROR(INDEX(03_能力總表_Master!$U$5:$U$154,MATCH(16,_計算_Calc!$BY$5:$BY$154,0)),"")</f>
        <v/>
      </c>
      <c r="K23" s="96" t="str">
        <f aca="false">IFERROR(INDEX(03_能力總表_Master!$W$5:$W$154,MATCH(16,_計算_Calc!$BY$5:$BY$154,0)),"")</f>
        <v/>
      </c>
      <c r="L23" s="104" t="str">
        <f aca="false">IFERROR(INDEX(03_能力總表_Master!$AF$5:$AF$154,MATCH(16,_計算_Calc!$BY$5:$BY$154,0)),"")</f>
        <v/>
      </c>
    </row>
    <row r="24" customFormat="false" ht="25.5" hidden="false" customHeight="true" outlineLevel="0" collapsed="false">
      <c r="A24" s="93" t="str">
        <f aca="false">IF($B24="","",17)</f>
        <v/>
      </c>
      <c r="B24" s="94" t="str">
        <f aca="false">IFERROR(INDEX(03_能力總表_Master!$A$5:$A$154,MATCH(17,_計算_Calc!$BY$5:$BY$154,0)),"")</f>
        <v/>
      </c>
      <c r="C24" s="93" t="str">
        <f aca="false">IFERROR(INDEX(03_能力總表_Master!$B$5:$B$154,MATCH(17,_計算_Calc!$BY$5:$BY$154,0)),"")</f>
        <v/>
      </c>
      <c r="D24" s="93" t="str">
        <f aca="false">IFERROR(INDEX(03_能力總表_Master!$C$5:$C$154,MATCH(17,_計算_Calc!$BY$5:$BY$154,0)),"")</f>
        <v/>
      </c>
      <c r="E24" s="95" t="str">
        <f aca="false">IFERROR(INDEX(03_能力總表_Master!$E$5:$E$154,MATCH(17,_計算_Calc!$BY$5:$BY$154,0)),"")</f>
        <v/>
      </c>
      <c r="F24" s="95" t="str">
        <f aca="false">IFERROR(INDEX(03_能力總表_Master!$G$5:$G$154,MATCH(17,_計算_Calc!$BY$5:$BY$154,0)),"")</f>
        <v/>
      </c>
      <c r="G24" s="96" t="str">
        <f aca="false">IFERROR(INDEX(03_能力總表_Master!$H$5:$H$154,MATCH(17,_計算_Calc!$BY$5:$BY$154,0)),"")</f>
        <v/>
      </c>
      <c r="H24" s="95" t="str">
        <f aca="false">IFERROR(INDEX(03_能力總表_Master!$L$5:$L$154,MATCH(17,_計算_Calc!$BY$5:$BY$154,0)),"")</f>
        <v/>
      </c>
      <c r="I24" s="97" t="str">
        <f aca="false">IFERROR(INDEX(03_能力總表_Master!$Q$5:$Q$154,MATCH(17,_計算_Calc!$BY$5:$BY$154,0)),"")</f>
        <v/>
      </c>
      <c r="J24" s="97" t="str">
        <f aca="false">IFERROR(INDEX(03_能力總表_Master!$U$5:$U$154,MATCH(17,_計算_Calc!$BY$5:$BY$154,0)),"")</f>
        <v/>
      </c>
      <c r="K24" s="96" t="str">
        <f aca="false">IFERROR(INDEX(03_能力總表_Master!$W$5:$W$154,MATCH(17,_計算_Calc!$BY$5:$BY$154,0)),"")</f>
        <v/>
      </c>
      <c r="L24" s="104" t="str">
        <f aca="false">IFERROR(INDEX(03_能力總表_Master!$AF$5:$AF$154,MATCH(17,_計算_Calc!$BY$5:$BY$154,0)),"")</f>
        <v/>
      </c>
    </row>
    <row r="25" customFormat="false" ht="25.5" hidden="false" customHeight="true" outlineLevel="0" collapsed="false">
      <c r="A25" s="93" t="str">
        <f aca="false">IF($B25="","",18)</f>
        <v/>
      </c>
      <c r="B25" s="94" t="str">
        <f aca="false">IFERROR(INDEX(03_能力總表_Master!$A$5:$A$154,MATCH(18,_計算_Calc!$BY$5:$BY$154,0)),"")</f>
        <v/>
      </c>
      <c r="C25" s="93" t="str">
        <f aca="false">IFERROR(INDEX(03_能力總表_Master!$B$5:$B$154,MATCH(18,_計算_Calc!$BY$5:$BY$154,0)),"")</f>
        <v/>
      </c>
      <c r="D25" s="93" t="str">
        <f aca="false">IFERROR(INDEX(03_能力總表_Master!$C$5:$C$154,MATCH(18,_計算_Calc!$BY$5:$BY$154,0)),"")</f>
        <v/>
      </c>
      <c r="E25" s="95" t="str">
        <f aca="false">IFERROR(INDEX(03_能力總表_Master!$E$5:$E$154,MATCH(18,_計算_Calc!$BY$5:$BY$154,0)),"")</f>
        <v/>
      </c>
      <c r="F25" s="95" t="str">
        <f aca="false">IFERROR(INDEX(03_能力總表_Master!$G$5:$G$154,MATCH(18,_計算_Calc!$BY$5:$BY$154,0)),"")</f>
        <v/>
      </c>
      <c r="G25" s="96" t="str">
        <f aca="false">IFERROR(INDEX(03_能力總表_Master!$H$5:$H$154,MATCH(18,_計算_Calc!$BY$5:$BY$154,0)),"")</f>
        <v/>
      </c>
      <c r="H25" s="95" t="str">
        <f aca="false">IFERROR(INDEX(03_能力總表_Master!$L$5:$L$154,MATCH(18,_計算_Calc!$BY$5:$BY$154,0)),"")</f>
        <v/>
      </c>
      <c r="I25" s="97" t="str">
        <f aca="false">IFERROR(INDEX(03_能力總表_Master!$Q$5:$Q$154,MATCH(18,_計算_Calc!$BY$5:$BY$154,0)),"")</f>
        <v/>
      </c>
      <c r="J25" s="97" t="str">
        <f aca="false">IFERROR(INDEX(03_能力總表_Master!$U$5:$U$154,MATCH(18,_計算_Calc!$BY$5:$BY$154,0)),"")</f>
        <v/>
      </c>
      <c r="K25" s="96" t="str">
        <f aca="false">IFERROR(INDEX(03_能力總表_Master!$W$5:$W$154,MATCH(18,_計算_Calc!$BY$5:$BY$154,0)),"")</f>
        <v/>
      </c>
      <c r="L25" s="104" t="str">
        <f aca="false">IFERROR(INDEX(03_能力總表_Master!$AF$5:$AF$154,MATCH(18,_計算_Calc!$BY$5:$BY$154,0)),"")</f>
        <v/>
      </c>
    </row>
    <row r="26" customFormat="false" ht="25.5" hidden="false" customHeight="true" outlineLevel="0" collapsed="false">
      <c r="A26" s="93" t="str">
        <f aca="false">IF($B26="","",19)</f>
        <v/>
      </c>
      <c r="B26" s="94" t="str">
        <f aca="false">IFERROR(INDEX(03_能力總表_Master!$A$5:$A$154,MATCH(19,_計算_Calc!$BY$5:$BY$154,0)),"")</f>
        <v/>
      </c>
      <c r="C26" s="93" t="str">
        <f aca="false">IFERROR(INDEX(03_能力總表_Master!$B$5:$B$154,MATCH(19,_計算_Calc!$BY$5:$BY$154,0)),"")</f>
        <v/>
      </c>
      <c r="D26" s="93" t="str">
        <f aca="false">IFERROR(INDEX(03_能力總表_Master!$C$5:$C$154,MATCH(19,_計算_Calc!$BY$5:$BY$154,0)),"")</f>
        <v/>
      </c>
      <c r="E26" s="95" t="str">
        <f aca="false">IFERROR(INDEX(03_能力總表_Master!$E$5:$E$154,MATCH(19,_計算_Calc!$BY$5:$BY$154,0)),"")</f>
        <v/>
      </c>
      <c r="F26" s="95" t="str">
        <f aca="false">IFERROR(INDEX(03_能力總表_Master!$G$5:$G$154,MATCH(19,_計算_Calc!$BY$5:$BY$154,0)),"")</f>
        <v/>
      </c>
      <c r="G26" s="96" t="str">
        <f aca="false">IFERROR(INDEX(03_能力總表_Master!$H$5:$H$154,MATCH(19,_計算_Calc!$BY$5:$BY$154,0)),"")</f>
        <v/>
      </c>
      <c r="H26" s="95" t="str">
        <f aca="false">IFERROR(INDEX(03_能力總表_Master!$L$5:$L$154,MATCH(19,_計算_Calc!$BY$5:$BY$154,0)),"")</f>
        <v/>
      </c>
      <c r="I26" s="97" t="str">
        <f aca="false">IFERROR(INDEX(03_能力總表_Master!$Q$5:$Q$154,MATCH(19,_計算_Calc!$BY$5:$BY$154,0)),"")</f>
        <v/>
      </c>
      <c r="J26" s="97" t="str">
        <f aca="false">IFERROR(INDEX(03_能力總表_Master!$U$5:$U$154,MATCH(19,_計算_Calc!$BY$5:$BY$154,0)),"")</f>
        <v/>
      </c>
      <c r="K26" s="96" t="str">
        <f aca="false">IFERROR(INDEX(03_能力總表_Master!$W$5:$W$154,MATCH(19,_計算_Calc!$BY$5:$BY$154,0)),"")</f>
        <v/>
      </c>
      <c r="L26" s="104" t="str">
        <f aca="false">IFERROR(INDEX(03_能力總表_Master!$AF$5:$AF$154,MATCH(19,_計算_Calc!$BY$5:$BY$154,0)),"")</f>
        <v/>
      </c>
    </row>
    <row r="27" customFormat="false" ht="25.5" hidden="false" customHeight="true" outlineLevel="0" collapsed="false">
      <c r="A27" s="93" t="str">
        <f aca="false">IF($B27="","",20)</f>
        <v/>
      </c>
      <c r="B27" s="94" t="str">
        <f aca="false">IFERROR(INDEX(03_能力總表_Master!$A$5:$A$154,MATCH(20,_計算_Calc!$BY$5:$BY$154,0)),"")</f>
        <v/>
      </c>
      <c r="C27" s="93" t="str">
        <f aca="false">IFERROR(INDEX(03_能力總表_Master!$B$5:$B$154,MATCH(20,_計算_Calc!$BY$5:$BY$154,0)),"")</f>
        <v/>
      </c>
      <c r="D27" s="93" t="str">
        <f aca="false">IFERROR(INDEX(03_能力總表_Master!$C$5:$C$154,MATCH(20,_計算_Calc!$BY$5:$BY$154,0)),"")</f>
        <v/>
      </c>
      <c r="E27" s="95" t="str">
        <f aca="false">IFERROR(INDEX(03_能力總表_Master!$E$5:$E$154,MATCH(20,_計算_Calc!$BY$5:$BY$154,0)),"")</f>
        <v/>
      </c>
      <c r="F27" s="95" t="str">
        <f aca="false">IFERROR(INDEX(03_能力總表_Master!$G$5:$G$154,MATCH(20,_計算_Calc!$BY$5:$BY$154,0)),"")</f>
        <v/>
      </c>
      <c r="G27" s="96" t="str">
        <f aca="false">IFERROR(INDEX(03_能力總表_Master!$H$5:$H$154,MATCH(20,_計算_Calc!$BY$5:$BY$154,0)),"")</f>
        <v/>
      </c>
      <c r="H27" s="95" t="str">
        <f aca="false">IFERROR(INDEX(03_能力總表_Master!$L$5:$L$154,MATCH(20,_計算_Calc!$BY$5:$BY$154,0)),"")</f>
        <v/>
      </c>
      <c r="I27" s="97" t="str">
        <f aca="false">IFERROR(INDEX(03_能力總表_Master!$Q$5:$Q$154,MATCH(20,_計算_Calc!$BY$5:$BY$154,0)),"")</f>
        <v/>
      </c>
      <c r="J27" s="97" t="str">
        <f aca="false">IFERROR(INDEX(03_能力總表_Master!$U$5:$U$154,MATCH(20,_計算_Calc!$BY$5:$BY$154,0)),"")</f>
        <v/>
      </c>
      <c r="K27" s="96" t="str">
        <f aca="false">IFERROR(INDEX(03_能力總表_Master!$W$5:$W$154,MATCH(20,_計算_Calc!$BY$5:$BY$154,0)),"")</f>
        <v/>
      </c>
      <c r="L27" s="104" t="str">
        <f aca="false">IFERROR(INDEX(03_能力總表_Master!$AF$5:$AF$154,MATCH(20,_計算_Calc!$BY$5:$BY$154,0)),"")</f>
        <v/>
      </c>
    </row>
    <row r="28" customFormat="false" ht="25.5" hidden="false" customHeight="true" outlineLevel="0" collapsed="false">
      <c r="A28" s="93" t="str">
        <f aca="false">IF($B28="","",21)</f>
        <v/>
      </c>
      <c r="B28" s="94" t="str">
        <f aca="false">IFERROR(INDEX(03_能力總表_Master!$A$5:$A$154,MATCH(21,_計算_Calc!$BY$5:$BY$154,0)),"")</f>
        <v/>
      </c>
      <c r="C28" s="93" t="str">
        <f aca="false">IFERROR(INDEX(03_能力總表_Master!$B$5:$B$154,MATCH(21,_計算_Calc!$BY$5:$BY$154,0)),"")</f>
        <v/>
      </c>
      <c r="D28" s="93" t="str">
        <f aca="false">IFERROR(INDEX(03_能力總表_Master!$C$5:$C$154,MATCH(21,_計算_Calc!$BY$5:$BY$154,0)),"")</f>
        <v/>
      </c>
      <c r="E28" s="95" t="str">
        <f aca="false">IFERROR(INDEX(03_能力總表_Master!$E$5:$E$154,MATCH(21,_計算_Calc!$BY$5:$BY$154,0)),"")</f>
        <v/>
      </c>
      <c r="F28" s="95" t="str">
        <f aca="false">IFERROR(INDEX(03_能力總表_Master!$G$5:$G$154,MATCH(21,_計算_Calc!$BY$5:$BY$154,0)),"")</f>
        <v/>
      </c>
      <c r="G28" s="96" t="str">
        <f aca="false">IFERROR(INDEX(03_能力總表_Master!$H$5:$H$154,MATCH(21,_計算_Calc!$BY$5:$BY$154,0)),"")</f>
        <v/>
      </c>
      <c r="H28" s="95" t="str">
        <f aca="false">IFERROR(INDEX(03_能力總表_Master!$L$5:$L$154,MATCH(21,_計算_Calc!$BY$5:$BY$154,0)),"")</f>
        <v/>
      </c>
      <c r="I28" s="97" t="str">
        <f aca="false">IFERROR(INDEX(03_能力總表_Master!$Q$5:$Q$154,MATCH(21,_計算_Calc!$BY$5:$BY$154,0)),"")</f>
        <v/>
      </c>
      <c r="J28" s="97" t="str">
        <f aca="false">IFERROR(INDEX(03_能力總表_Master!$U$5:$U$154,MATCH(21,_計算_Calc!$BY$5:$BY$154,0)),"")</f>
        <v/>
      </c>
      <c r="K28" s="96" t="str">
        <f aca="false">IFERROR(INDEX(03_能力總表_Master!$W$5:$W$154,MATCH(21,_計算_Calc!$BY$5:$BY$154,0)),"")</f>
        <v/>
      </c>
      <c r="L28" s="104" t="str">
        <f aca="false">IFERROR(INDEX(03_能力總表_Master!$AF$5:$AF$154,MATCH(21,_計算_Calc!$BY$5:$BY$154,0)),"")</f>
        <v/>
      </c>
    </row>
    <row r="29" customFormat="false" ht="25.5" hidden="false" customHeight="true" outlineLevel="0" collapsed="false">
      <c r="A29" s="93" t="str">
        <f aca="false">IF($B29="","",22)</f>
        <v/>
      </c>
      <c r="B29" s="94" t="str">
        <f aca="false">IFERROR(INDEX(03_能力總表_Master!$A$5:$A$154,MATCH(22,_計算_Calc!$BY$5:$BY$154,0)),"")</f>
        <v/>
      </c>
      <c r="C29" s="93" t="str">
        <f aca="false">IFERROR(INDEX(03_能力總表_Master!$B$5:$B$154,MATCH(22,_計算_Calc!$BY$5:$BY$154,0)),"")</f>
        <v/>
      </c>
      <c r="D29" s="93" t="str">
        <f aca="false">IFERROR(INDEX(03_能力總表_Master!$C$5:$C$154,MATCH(22,_計算_Calc!$BY$5:$BY$154,0)),"")</f>
        <v/>
      </c>
      <c r="E29" s="95" t="str">
        <f aca="false">IFERROR(INDEX(03_能力總表_Master!$E$5:$E$154,MATCH(22,_計算_Calc!$BY$5:$BY$154,0)),"")</f>
        <v/>
      </c>
      <c r="F29" s="95" t="str">
        <f aca="false">IFERROR(INDEX(03_能力總表_Master!$G$5:$G$154,MATCH(22,_計算_Calc!$BY$5:$BY$154,0)),"")</f>
        <v/>
      </c>
      <c r="G29" s="96" t="str">
        <f aca="false">IFERROR(INDEX(03_能力總表_Master!$H$5:$H$154,MATCH(22,_計算_Calc!$BY$5:$BY$154,0)),"")</f>
        <v/>
      </c>
      <c r="H29" s="95" t="str">
        <f aca="false">IFERROR(INDEX(03_能力總表_Master!$L$5:$L$154,MATCH(22,_計算_Calc!$BY$5:$BY$154,0)),"")</f>
        <v/>
      </c>
      <c r="I29" s="97" t="str">
        <f aca="false">IFERROR(INDEX(03_能力總表_Master!$Q$5:$Q$154,MATCH(22,_計算_Calc!$BY$5:$BY$154,0)),"")</f>
        <v/>
      </c>
      <c r="J29" s="97" t="str">
        <f aca="false">IFERROR(INDEX(03_能力總表_Master!$U$5:$U$154,MATCH(22,_計算_Calc!$BY$5:$BY$154,0)),"")</f>
        <v/>
      </c>
      <c r="K29" s="96" t="str">
        <f aca="false">IFERROR(INDEX(03_能力總表_Master!$W$5:$W$154,MATCH(22,_計算_Calc!$BY$5:$BY$154,0)),"")</f>
        <v/>
      </c>
      <c r="L29" s="104" t="str">
        <f aca="false">IFERROR(INDEX(03_能力總表_Master!$AF$5:$AF$154,MATCH(22,_計算_Calc!$BY$5:$BY$154,0)),"")</f>
        <v/>
      </c>
    </row>
    <row r="30" customFormat="false" ht="25.5" hidden="false" customHeight="true" outlineLevel="0" collapsed="false">
      <c r="A30" s="93" t="str">
        <f aca="false">IF($B30="","",23)</f>
        <v/>
      </c>
      <c r="B30" s="94" t="str">
        <f aca="false">IFERROR(INDEX(03_能力總表_Master!$A$5:$A$154,MATCH(23,_計算_Calc!$BY$5:$BY$154,0)),"")</f>
        <v/>
      </c>
      <c r="C30" s="93" t="str">
        <f aca="false">IFERROR(INDEX(03_能力總表_Master!$B$5:$B$154,MATCH(23,_計算_Calc!$BY$5:$BY$154,0)),"")</f>
        <v/>
      </c>
      <c r="D30" s="93" t="str">
        <f aca="false">IFERROR(INDEX(03_能力總表_Master!$C$5:$C$154,MATCH(23,_計算_Calc!$BY$5:$BY$154,0)),"")</f>
        <v/>
      </c>
      <c r="E30" s="95" t="str">
        <f aca="false">IFERROR(INDEX(03_能力總表_Master!$E$5:$E$154,MATCH(23,_計算_Calc!$BY$5:$BY$154,0)),"")</f>
        <v/>
      </c>
      <c r="F30" s="95" t="str">
        <f aca="false">IFERROR(INDEX(03_能力總表_Master!$G$5:$G$154,MATCH(23,_計算_Calc!$BY$5:$BY$154,0)),"")</f>
        <v/>
      </c>
      <c r="G30" s="96" t="str">
        <f aca="false">IFERROR(INDEX(03_能力總表_Master!$H$5:$H$154,MATCH(23,_計算_Calc!$BY$5:$BY$154,0)),"")</f>
        <v/>
      </c>
      <c r="H30" s="95" t="str">
        <f aca="false">IFERROR(INDEX(03_能力總表_Master!$L$5:$L$154,MATCH(23,_計算_Calc!$BY$5:$BY$154,0)),"")</f>
        <v/>
      </c>
      <c r="I30" s="97" t="str">
        <f aca="false">IFERROR(INDEX(03_能力總表_Master!$Q$5:$Q$154,MATCH(23,_計算_Calc!$BY$5:$BY$154,0)),"")</f>
        <v/>
      </c>
      <c r="J30" s="97" t="str">
        <f aca="false">IFERROR(INDEX(03_能力總表_Master!$U$5:$U$154,MATCH(23,_計算_Calc!$BY$5:$BY$154,0)),"")</f>
        <v/>
      </c>
      <c r="K30" s="96" t="str">
        <f aca="false">IFERROR(INDEX(03_能力總表_Master!$W$5:$W$154,MATCH(23,_計算_Calc!$BY$5:$BY$154,0)),"")</f>
        <v/>
      </c>
      <c r="L30" s="104" t="str">
        <f aca="false">IFERROR(INDEX(03_能力總表_Master!$AF$5:$AF$154,MATCH(23,_計算_Calc!$BY$5:$BY$154,0)),"")</f>
        <v/>
      </c>
    </row>
    <row r="31" customFormat="false" ht="25.5" hidden="false" customHeight="true" outlineLevel="0" collapsed="false">
      <c r="A31" s="93" t="str">
        <f aca="false">IF($B31="","",24)</f>
        <v/>
      </c>
      <c r="B31" s="94" t="str">
        <f aca="false">IFERROR(INDEX(03_能力總表_Master!$A$5:$A$154,MATCH(24,_計算_Calc!$BY$5:$BY$154,0)),"")</f>
        <v/>
      </c>
      <c r="C31" s="93" t="str">
        <f aca="false">IFERROR(INDEX(03_能力總表_Master!$B$5:$B$154,MATCH(24,_計算_Calc!$BY$5:$BY$154,0)),"")</f>
        <v/>
      </c>
      <c r="D31" s="93" t="str">
        <f aca="false">IFERROR(INDEX(03_能力總表_Master!$C$5:$C$154,MATCH(24,_計算_Calc!$BY$5:$BY$154,0)),"")</f>
        <v/>
      </c>
      <c r="E31" s="95" t="str">
        <f aca="false">IFERROR(INDEX(03_能力總表_Master!$E$5:$E$154,MATCH(24,_計算_Calc!$BY$5:$BY$154,0)),"")</f>
        <v/>
      </c>
      <c r="F31" s="95" t="str">
        <f aca="false">IFERROR(INDEX(03_能力總表_Master!$G$5:$G$154,MATCH(24,_計算_Calc!$BY$5:$BY$154,0)),"")</f>
        <v/>
      </c>
      <c r="G31" s="96" t="str">
        <f aca="false">IFERROR(INDEX(03_能力總表_Master!$H$5:$H$154,MATCH(24,_計算_Calc!$BY$5:$BY$154,0)),"")</f>
        <v/>
      </c>
      <c r="H31" s="95" t="str">
        <f aca="false">IFERROR(INDEX(03_能力總表_Master!$L$5:$L$154,MATCH(24,_計算_Calc!$BY$5:$BY$154,0)),"")</f>
        <v/>
      </c>
      <c r="I31" s="97" t="str">
        <f aca="false">IFERROR(INDEX(03_能力總表_Master!$Q$5:$Q$154,MATCH(24,_計算_Calc!$BY$5:$BY$154,0)),"")</f>
        <v/>
      </c>
      <c r="J31" s="97" t="str">
        <f aca="false">IFERROR(INDEX(03_能力總表_Master!$U$5:$U$154,MATCH(24,_計算_Calc!$BY$5:$BY$154,0)),"")</f>
        <v/>
      </c>
      <c r="K31" s="96" t="str">
        <f aca="false">IFERROR(INDEX(03_能力總表_Master!$W$5:$W$154,MATCH(24,_計算_Calc!$BY$5:$BY$154,0)),"")</f>
        <v/>
      </c>
      <c r="L31" s="104" t="str">
        <f aca="false">IFERROR(INDEX(03_能力總表_Master!$AF$5:$AF$154,MATCH(24,_計算_Calc!$BY$5:$BY$154,0)),"")</f>
        <v/>
      </c>
    </row>
    <row r="32" customFormat="false" ht="25.5" hidden="false" customHeight="true" outlineLevel="0" collapsed="false">
      <c r="A32" s="93" t="str">
        <f aca="false">IF($B32="","",25)</f>
        <v/>
      </c>
      <c r="B32" s="94" t="str">
        <f aca="false">IFERROR(INDEX(03_能力總表_Master!$A$5:$A$154,MATCH(25,_計算_Calc!$BY$5:$BY$154,0)),"")</f>
        <v/>
      </c>
      <c r="C32" s="93" t="str">
        <f aca="false">IFERROR(INDEX(03_能力總表_Master!$B$5:$B$154,MATCH(25,_計算_Calc!$BY$5:$BY$154,0)),"")</f>
        <v/>
      </c>
      <c r="D32" s="93" t="str">
        <f aca="false">IFERROR(INDEX(03_能力總表_Master!$C$5:$C$154,MATCH(25,_計算_Calc!$BY$5:$BY$154,0)),"")</f>
        <v/>
      </c>
      <c r="E32" s="95" t="str">
        <f aca="false">IFERROR(INDEX(03_能力總表_Master!$E$5:$E$154,MATCH(25,_計算_Calc!$BY$5:$BY$154,0)),"")</f>
        <v/>
      </c>
      <c r="F32" s="95" t="str">
        <f aca="false">IFERROR(INDEX(03_能力總表_Master!$G$5:$G$154,MATCH(25,_計算_Calc!$BY$5:$BY$154,0)),"")</f>
        <v/>
      </c>
      <c r="G32" s="96" t="str">
        <f aca="false">IFERROR(INDEX(03_能力總表_Master!$H$5:$H$154,MATCH(25,_計算_Calc!$BY$5:$BY$154,0)),"")</f>
        <v/>
      </c>
      <c r="H32" s="95" t="str">
        <f aca="false">IFERROR(INDEX(03_能力總表_Master!$L$5:$L$154,MATCH(25,_計算_Calc!$BY$5:$BY$154,0)),"")</f>
        <v/>
      </c>
      <c r="I32" s="97" t="str">
        <f aca="false">IFERROR(INDEX(03_能力總表_Master!$Q$5:$Q$154,MATCH(25,_計算_Calc!$BY$5:$BY$154,0)),"")</f>
        <v/>
      </c>
      <c r="J32" s="97" t="str">
        <f aca="false">IFERROR(INDEX(03_能力總表_Master!$U$5:$U$154,MATCH(25,_計算_Calc!$BY$5:$BY$154,0)),"")</f>
        <v/>
      </c>
      <c r="K32" s="96" t="str">
        <f aca="false">IFERROR(INDEX(03_能力總表_Master!$W$5:$W$154,MATCH(25,_計算_Calc!$BY$5:$BY$154,0)),"")</f>
        <v/>
      </c>
      <c r="L32" s="104" t="str">
        <f aca="false">IFERROR(INDEX(03_能力總表_Master!$AF$5:$AF$154,MATCH(25,_計算_Calc!$BY$5:$BY$154,0)),"")</f>
        <v/>
      </c>
    </row>
    <row r="33" customFormat="false" ht="25.5" hidden="false" customHeight="true" outlineLevel="0" collapsed="false">
      <c r="A33" s="93" t="str">
        <f aca="false">IF($B33="","",26)</f>
        <v/>
      </c>
      <c r="B33" s="94" t="str">
        <f aca="false">IFERROR(INDEX(03_能力總表_Master!$A$5:$A$154,MATCH(26,_計算_Calc!$BY$5:$BY$154,0)),"")</f>
        <v/>
      </c>
      <c r="C33" s="93" t="str">
        <f aca="false">IFERROR(INDEX(03_能力總表_Master!$B$5:$B$154,MATCH(26,_計算_Calc!$BY$5:$BY$154,0)),"")</f>
        <v/>
      </c>
      <c r="D33" s="93" t="str">
        <f aca="false">IFERROR(INDEX(03_能力總表_Master!$C$5:$C$154,MATCH(26,_計算_Calc!$BY$5:$BY$154,0)),"")</f>
        <v/>
      </c>
      <c r="E33" s="95" t="str">
        <f aca="false">IFERROR(INDEX(03_能力總表_Master!$E$5:$E$154,MATCH(26,_計算_Calc!$BY$5:$BY$154,0)),"")</f>
        <v/>
      </c>
      <c r="F33" s="95" t="str">
        <f aca="false">IFERROR(INDEX(03_能力總表_Master!$G$5:$G$154,MATCH(26,_計算_Calc!$BY$5:$BY$154,0)),"")</f>
        <v/>
      </c>
      <c r="G33" s="96" t="str">
        <f aca="false">IFERROR(INDEX(03_能力總表_Master!$H$5:$H$154,MATCH(26,_計算_Calc!$BY$5:$BY$154,0)),"")</f>
        <v/>
      </c>
      <c r="H33" s="95" t="str">
        <f aca="false">IFERROR(INDEX(03_能力總表_Master!$L$5:$L$154,MATCH(26,_計算_Calc!$BY$5:$BY$154,0)),"")</f>
        <v/>
      </c>
      <c r="I33" s="97" t="str">
        <f aca="false">IFERROR(INDEX(03_能力總表_Master!$Q$5:$Q$154,MATCH(26,_計算_Calc!$BY$5:$BY$154,0)),"")</f>
        <v/>
      </c>
      <c r="J33" s="97" t="str">
        <f aca="false">IFERROR(INDEX(03_能力總表_Master!$U$5:$U$154,MATCH(26,_計算_Calc!$BY$5:$BY$154,0)),"")</f>
        <v/>
      </c>
      <c r="K33" s="96" t="str">
        <f aca="false">IFERROR(INDEX(03_能力總表_Master!$W$5:$W$154,MATCH(26,_計算_Calc!$BY$5:$BY$154,0)),"")</f>
        <v/>
      </c>
      <c r="L33" s="104" t="str">
        <f aca="false">IFERROR(INDEX(03_能力總表_Master!$AF$5:$AF$154,MATCH(26,_計算_Calc!$BY$5:$BY$154,0)),"")</f>
        <v/>
      </c>
    </row>
    <row r="34" customFormat="false" ht="25.5" hidden="false" customHeight="true" outlineLevel="0" collapsed="false">
      <c r="A34" s="93" t="str">
        <f aca="false">IF($B34="","",27)</f>
        <v/>
      </c>
      <c r="B34" s="94" t="str">
        <f aca="false">IFERROR(INDEX(03_能力總表_Master!$A$5:$A$154,MATCH(27,_計算_Calc!$BY$5:$BY$154,0)),"")</f>
        <v/>
      </c>
      <c r="C34" s="93" t="str">
        <f aca="false">IFERROR(INDEX(03_能力總表_Master!$B$5:$B$154,MATCH(27,_計算_Calc!$BY$5:$BY$154,0)),"")</f>
        <v/>
      </c>
      <c r="D34" s="93" t="str">
        <f aca="false">IFERROR(INDEX(03_能力總表_Master!$C$5:$C$154,MATCH(27,_計算_Calc!$BY$5:$BY$154,0)),"")</f>
        <v/>
      </c>
      <c r="E34" s="95" t="str">
        <f aca="false">IFERROR(INDEX(03_能力總表_Master!$E$5:$E$154,MATCH(27,_計算_Calc!$BY$5:$BY$154,0)),"")</f>
        <v/>
      </c>
      <c r="F34" s="95" t="str">
        <f aca="false">IFERROR(INDEX(03_能力總表_Master!$G$5:$G$154,MATCH(27,_計算_Calc!$BY$5:$BY$154,0)),"")</f>
        <v/>
      </c>
      <c r="G34" s="96" t="str">
        <f aca="false">IFERROR(INDEX(03_能力總表_Master!$H$5:$H$154,MATCH(27,_計算_Calc!$BY$5:$BY$154,0)),"")</f>
        <v/>
      </c>
      <c r="H34" s="95" t="str">
        <f aca="false">IFERROR(INDEX(03_能力總表_Master!$L$5:$L$154,MATCH(27,_計算_Calc!$BY$5:$BY$154,0)),"")</f>
        <v/>
      </c>
      <c r="I34" s="97" t="str">
        <f aca="false">IFERROR(INDEX(03_能力總表_Master!$Q$5:$Q$154,MATCH(27,_計算_Calc!$BY$5:$BY$154,0)),"")</f>
        <v/>
      </c>
      <c r="J34" s="97" t="str">
        <f aca="false">IFERROR(INDEX(03_能力總表_Master!$U$5:$U$154,MATCH(27,_計算_Calc!$BY$5:$BY$154,0)),"")</f>
        <v/>
      </c>
      <c r="K34" s="96" t="str">
        <f aca="false">IFERROR(INDEX(03_能力總表_Master!$W$5:$W$154,MATCH(27,_計算_Calc!$BY$5:$BY$154,0)),"")</f>
        <v/>
      </c>
      <c r="L34" s="104" t="str">
        <f aca="false">IFERROR(INDEX(03_能力總表_Master!$AF$5:$AF$154,MATCH(27,_計算_Calc!$BY$5:$BY$154,0)),"")</f>
        <v/>
      </c>
    </row>
    <row r="35" customFormat="false" ht="25.5" hidden="false" customHeight="true" outlineLevel="0" collapsed="false">
      <c r="A35" s="93" t="str">
        <f aca="false">IF($B35="","",28)</f>
        <v/>
      </c>
      <c r="B35" s="94" t="str">
        <f aca="false">IFERROR(INDEX(03_能力總表_Master!$A$5:$A$154,MATCH(28,_計算_Calc!$BY$5:$BY$154,0)),"")</f>
        <v/>
      </c>
      <c r="C35" s="93" t="str">
        <f aca="false">IFERROR(INDEX(03_能力總表_Master!$B$5:$B$154,MATCH(28,_計算_Calc!$BY$5:$BY$154,0)),"")</f>
        <v/>
      </c>
      <c r="D35" s="93" t="str">
        <f aca="false">IFERROR(INDEX(03_能力總表_Master!$C$5:$C$154,MATCH(28,_計算_Calc!$BY$5:$BY$154,0)),"")</f>
        <v/>
      </c>
      <c r="E35" s="95" t="str">
        <f aca="false">IFERROR(INDEX(03_能力總表_Master!$E$5:$E$154,MATCH(28,_計算_Calc!$BY$5:$BY$154,0)),"")</f>
        <v/>
      </c>
      <c r="F35" s="95" t="str">
        <f aca="false">IFERROR(INDEX(03_能力總表_Master!$G$5:$G$154,MATCH(28,_計算_Calc!$BY$5:$BY$154,0)),"")</f>
        <v/>
      </c>
      <c r="G35" s="96" t="str">
        <f aca="false">IFERROR(INDEX(03_能力總表_Master!$H$5:$H$154,MATCH(28,_計算_Calc!$BY$5:$BY$154,0)),"")</f>
        <v/>
      </c>
      <c r="H35" s="95" t="str">
        <f aca="false">IFERROR(INDEX(03_能力總表_Master!$L$5:$L$154,MATCH(28,_計算_Calc!$BY$5:$BY$154,0)),"")</f>
        <v/>
      </c>
      <c r="I35" s="97" t="str">
        <f aca="false">IFERROR(INDEX(03_能力總表_Master!$Q$5:$Q$154,MATCH(28,_計算_Calc!$BY$5:$BY$154,0)),"")</f>
        <v/>
      </c>
      <c r="J35" s="97" t="str">
        <f aca="false">IFERROR(INDEX(03_能力總表_Master!$U$5:$U$154,MATCH(28,_計算_Calc!$BY$5:$BY$154,0)),"")</f>
        <v/>
      </c>
      <c r="K35" s="96" t="str">
        <f aca="false">IFERROR(INDEX(03_能力總表_Master!$W$5:$W$154,MATCH(28,_計算_Calc!$BY$5:$BY$154,0)),"")</f>
        <v/>
      </c>
      <c r="L35" s="104" t="str">
        <f aca="false">IFERROR(INDEX(03_能力總表_Master!$AF$5:$AF$154,MATCH(28,_計算_Calc!$BY$5:$BY$154,0)),"")</f>
        <v/>
      </c>
    </row>
    <row r="36" customFormat="false" ht="25.5" hidden="false" customHeight="true" outlineLevel="0" collapsed="false">
      <c r="A36" s="93" t="str">
        <f aca="false">IF($B36="","",29)</f>
        <v/>
      </c>
      <c r="B36" s="94" t="str">
        <f aca="false">IFERROR(INDEX(03_能力總表_Master!$A$5:$A$154,MATCH(29,_計算_Calc!$BY$5:$BY$154,0)),"")</f>
        <v/>
      </c>
      <c r="C36" s="93" t="str">
        <f aca="false">IFERROR(INDEX(03_能力總表_Master!$B$5:$B$154,MATCH(29,_計算_Calc!$BY$5:$BY$154,0)),"")</f>
        <v/>
      </c>
      <c r="D36" s="93" t="str">
        <f aca="false">IFERROR(INDEX(03_能力總表_Master!$C$5:$C$154,MATCH(29,_計算_Calc!$BY$5:$BY$154,0)),"")</f>
        <v/>
      </c>
      <c r="E36" s="95" t="str">
        <f aca="false">IFERROR(INDEX(03_能力總表_Master!$E$5:$E$154,MATCH(29,_計算_Calc!$BY$5:$BY$154,0)),"")</f>
        <v/>
      </c>
      <c r="F36" s="95" t="str">
        <f aca="false">IFERROR(INDEX(03_能力總表_Master!$G$5:$G$154,MATCH(29,_計算_Calc!$BY$5:$BY$154,0)),"")</f>
        <v/>
      </c>
      <c r="G36" s="96" t="str">
        <f aca="false">IFERROR(INDEX(03_能力總表_Master!$H$5:$H$154,MATCH(29,_計算_Calc!$BY$5:$BY$154,0)),"")</f>
        <v/>
      </c>
      <c r="H36" s="95" t="str">
        <f aca="false">IFERROR(INDEX(03_能力總表_Master!$L$5:$L$154,MATCH(29,_計算_Calc!$BY$5:$BY$154,0)),"")</f>
        <v/>
      </c>
      <c r="I36" s="97" t="str">
        <f aca="false">IFERROR(INDEX(03_能力總表_Master!$Q$5:$Q$154,MATCH(29,_計算_Calc!$BY$5:$BY$154,0)),"")</f>
        <v/>
      </c>
      <c r="J36" s="97" t="str">
        <f aca="false">IFERROR(INDEX(03_能力總表_Master!$U$5:$U$154,MATCH(29,_計算_Calc!$BY$5:$BY$154,0)),"")</f>
        <v/>
      </c>
      <c r="K36" s="96" t="str">
        <f aca="false">IFERROR(INDEX(03_能力總表_Master!$W$5:$W$154,MATCH(29,_計算_Calc!$BY$5:$BY$154,0)),"")</f>
        <v/>
      </c>
      <c r="L36" s="104" t="str">
        <f aca="false">IFERROR(INDEX(03_能力總表_Master!$AF$5:$AF$154,MATCH(29,_計算_Calc!$BY$5:$BY$154,0)),"")</f>
        <v/>
      </c>
    </row>
    <row r="37" customFormat="false" ht="25.5" hidden="false" customHeight="true" outlineLevel="0" collapsed="false">
      <c r="A37" s="93" t="str">
        <f aca="false">IF($B37="","",30)</f>
        <v/>
      </c>
      <c r="B37" s="94" t="str">
        <f aca="false">IFERROR(INDEX(03_能力總表_Master!$A$5:$A$154,MATCH(30,_計算_Calc!$BY$5:$BY$154,0)),"")</f>
        <v/>
      </c>
      <c r="C37" s="93" t="str">
        <f aca="false">IFERROR(INDEX(03_能力總表_Master!$B$5:$B$154,MATCH(30,_計算_Calc!$BY$5:$BY$154,0)),"")</f>
        <v/>
      </c>
      <c r="D37" s="93" t="str">
        <f aca="false">IFERROR(INDEX(03_能力總表_Master!$C$5:$C$154,MATCH(30,_計算_Calc!$BY$5:$BY$154,0)),"")</f>
        <v/>
      </c>
      <c r="E37" s="95" t="str">
        <f aca="false">IFERROR(INDEX(03_能力總表_Master!$E$5:$E$154,MATCH(30,_計算_Calc!$BY$5:$BY$154,0)),"")</f>
        <v/>
      </c>
      <c r="F37" s="95" t="str">
        <f aca="false">IFERROR(INDEX(03_能力總表_Master!$G$5:$G$154,MATCH(30,_計算_Calc!$BY$5:$BY$154,0)),"")</f>
        <v/>
      </c>
      <c r="G37" s="96" t="str">
        <f aca="false">IFERROR(INDEX(03_能力總表_Master!$H$5:$H$154,MATCH(30,_計算_Calc!$BY$5:$BY$154,0)),"")</f>
        <v/>
      </c>
      <c r="H37" s="95" t="str">
        <f aca="false">IFERROR(INDEX(03_能力總表_Master!$L$5:$L$154,MATCH(30,_計算_Calc!$BY$5:$BY$154,0)),"")</f>
        <v/>
      </c>
      <c r="I37" s="97" t="str">
        <f aca="false">IFERROR(INDEX(03_能力總表_Master!$Q$5:$Q$154,MATCH(30,_計算_Calc!$BY$5:$BY$154,0)),"")</f>
        <v/>
      </c>
      <c r="J37" s="97" t="str">
        <f aca="false">IFERROR(INDEX(03_能力總表_Master!$U$5:$U$154,MATCH(30,_計算_Calc!$BY$5:$BY$154,0)),"")</f>
        <v/>
      </c>
      <c r="K37" s="96" t="str">
        <f aca="false">IFERROR(INDEX(03_能力總表_Master!$W$5:$W$154,MATCH(30,_計算_Calc!$BY$5:$BY$154,0)),"")</f>
        <v/>
      </c>
      <c r="L37" s="104" t="str">
        <f aca="false">IFERROR(INDEX(03_能力總表_Master!$AF$5:$AF$154,MATCH(30,_計算_Calc!$BY$5:$BY$154,0)),"")</f>
        <v/>
      </c>
    </row>
  </sheetData>
  <sheetProtection sheet="true" formatColumns="false" formatRows="false" autoFilter="false"/>
  <mergeCells count="5">
    <mergeCell ref="A1:L1"/>
    <mergeCell ref="A2:L2"/>
    <mergeCell ref="A4:B4"/>
    <mergeCell ref="C4:E4"/>
    <mergeCell ref="A6:H6"/>
  </mergeCells>
  <conditionalFormatting sqref="G8:G37">
    <cfRule type="expression" priority="2" aboveAverage="0" equalAverage="0" bottom="0" percent="0" rank="0" text="" dxfId="32">
      <formula>ISNUMBER(SEARCH("缺口",G8))</formula>
    </cfRule>
    <cfRule type="expression" priority="3" aboveAverage="0" equalAverage="0" bottom="0" percent="0" rank="0" text="" dxfId="36">
      <formula>ISNUMBER(SEARCH("群晶",G8))</formula>
    </cfRule>
    <cfRule type="expression" priority="4" aboveAverage="0" equalAverage="0" bottom="0" percent="0" rank="0" text="" dxfId="37">
      <formula>ISNUMBER(SEARCH("已確認",G8))</formula>
    </cfRule>
  </conditionalFormatting>
  <conditionalFormatting sqref="K8:K37">
    <cfRule type="expression" priority="5" aboveAverage="0" equalAverage="0" bottom="0" percent="0" rank="0" text="" dxfId="37">
      <formula>ISNUMBER(SEARCH("Go",K8))</formula>
    </cfRule>
  </conditionalFormatting>
  <dataValidations count="1">
    <dataValidation allowBlank="false" errorStyle="stop" operator="between" showDropDown="false" showErrorMessage="false" showInputMessage="false" sqref="C4" type="list">
      <formula1>L_Partner</formula1>
      <formula2>0</formula2>
    </dataValidation>
  </dataValidations>
  <hyperlinks>
    <hyperlink ref="A3" r:id="rId1" location="'00A_從這裡開始_Start'!A1" display="⌂ 回導引頁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6"/>
    <col collapsed="false" customWidth="true" hidden="false" outlineLevel="0" max="5" min="5" style="0" width="25"/>
    <col collapsed="false" customWidth="true" hidden="false" outlineLevel="0" max="6" min="6" style="0" width="30"/>
    <col collapsed="false" customWidth="true" hidden="false" outlineLevel="0" max="7" min="7" style="0" width="24"/>
    <col collapsed="false" customWidth="true" hidden="false" outlineLevel="0" max="9" min="8" style="0" width="7"/>
    <col collapsed="false" customWidth="true" hidden="false" outlineLevel="0" max="10" min="10" style="0" width="15"/>
    <col collapsed="false" customWidth="true" hidden="false" outlineLevel="0" max="11" min="11" style="0" width="20"/>
    <col collapsed="false" customWidth="true" hidden="false" outlineLevel="0" max="12" min="12" style="0" width="7"/>
  </cols>
  <sheetData>
    <row r="1" customFormat="false" ht="30" hidden="false" customHeight="true" outlineLevel="0" collapsed="false">
      <c r="A1" s="1" t="s">
        <v>928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5.5" hidden="false" customHeight="true" outlineLevel="0" collapsed="false">
      <c r="A2" s="4" t="s">
        <v>929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customFormat="false" ht="15" hidden="false" customHeight="false" outlineLevel="0" collapsed="false">
      <c r="A3" s="105" t="str">
        <f aca="false">IF(COUNTIF(03_能力總表_Master!$H$5:$H$154,"缺口*")&gt;30,"⚠ 缺口共 "&amp;COUNTIF(03_能力總表_Master!$H$5:$H$154,"缺口*")&amp;" 筆，本頁僅顯示前 30 筆——請先處理或擴充清單列數","目前缺口共 "&amp;COUNTIF(03_能力總表_Master!$H$5:$H$154,"缺口*")&amp;" 筆（本頁最多顯示 30 筆）")</f>
        <v>目前缺口共 9 筆（本頁最多顯示 30 筆）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V3" s="5" t="s">
        <v>12</v>
      </c>
    </row>
    <row r="4" customFormat="false" ht="25.5" hidden="false" customHeight="true" outlineLevel="0" collapsed="false">
      <c r="A4" s="106" t="s">
        <v>902</v>
      </c>
      <c r="B4" s="106" t="s">
        <v>903</v>
      </c>
      <c r="C4" s="47" t="s">
        <v>921</v>
      </c>
      <c r="D4" s="47" t="s">
        <v>922</v>
      </c>
      <c r="E4" s="47" t="s">
        <v>930</v>
      </c>
      <c r="F4" s="47" t="s">
        <v>931</v>
      </c>
      <c r="G4" s="47" t="s">
        <v>932</v>
      </c>
      <c r="H4" s="47" t="s">
        <v>926</v>
      </c>
      <c r="I4" s="47" t="s">
        <v>908</v>
      </c>
      <c r="J4" s="47" t="s">
        <v>911</v>
      </c>
      <c r="K4" s="47" t="s">
        <v>933</v>
      </c>
      <c r="L4" s="47" t="s">
        <v>934</v>
      </c>
    </row>
    <row r="5" customFormat="false" ht="27.75" hidden="false" customHeight="true" outlineLevel="0" collapsed="false">
      <c r="A5" s="96" t="n">
        <f aca="false">IF($B5="","",1)</f>
        <v>1</v>
      </c>
      <c r="B5" s="94" t="str">
        <f aca="false">IFERROR(INDEX(03_能力總表_Master!$A$5:$A$154,MATCH(1,_計算_Calc!$BX$5:$BX$154,0)),"")</f>
        <v>CAP-028</v>
      </c>
      <c r="C5" s="96" t="str">
        <f aca="false">IFERROR(INDEX(03_能力總表_Master!$B$5:$B$154,MATCH(1,_計算_Calc!$BX$5:$BX$154,0)),"")</f>
        <v>D05 醫材與診斷</v>
      </c>
      <c r="D5" s="96" t="str">
        <f aca="false">IFERROR(INDEX(03_能力總表_Master!$C$5:$C$154,MATCH(1,_計算_Calc!$BX$5:$BX$154,0)),"")</f>
        <v>G4</v>
      </c>
      <c r="E5" s="107" t="str">
        <f aca="false">IFERROR(INDEX(03_能力總表_Master!$E$5:$E$154,MATCH(1,_計算_Calc!$BX$5:$BX$154,0)),"")</f>
        <v>影像設備、PACS與報告流程</v>
      </c>
      <c r="F5" s="107" t="str">
        <f aca="false">IFERROR(INDEX(03_能力總表_Master!$K$5:$K$154,MATCH(1,_計算_Calc!$BX$5:$BX$154,0)),"")</f>
        <v>缺：影像設備原廠/代理＋PACS整合實績</v>
      </c>
      <c r="G5" s="107" t="str">
        <f aca="false">IFERROR(INDEX(03_能力總表_Master!$L$5:$L$154,MATCH(1,_計算_Calc!$BX$5:$BX$154,0)),"")</f>
        <v>DICOM; IHE; VN-MD-98</v>
      </c>
      <c r="H5" s="97" t="n">
        <f aca="false">IFERROR(INDEX(03_能力總表_Master!$Q$5:$Q$154,MATCH(1,_計算_Calc!$BX$5:$BX$154,0)),"")</f>
        <v>4.7</v>
      </c>
      <c r="I5" s="97" t="n">
        <f aca="false">IFERROR(INDEX(03_能力總表_Master!$U$5:$U$154,MATCH(1,_計算_Calc!$BX$5:$BX$154,0)),"")</f>
        <v>2.4</v>
      </c>
      <c r="J5" s="96" t="str">
        <f aca="false">IFERROR(INDEX(03_能力總表_Master!$W$5:$W$154,MATCH(1,_計算_Calc!$BX$5:$BX$154,0)),"")</f>
        <v>先補條件 Prepare</v>
      </c>
      <c r="K5" s="107" t="str">
        <f aca="false">IFERROR(INDEX(03_能力總表_Master!$J$5:$J$154,MATCH(1,_計算_Calc!$BX$5:$BX$154,0)),"")</f>
        <v>P-019 影像設備與PACS整合商</v>
      </c>
      <c r="L5" s="108" t="n">
        <f aca="false">IFERROR(INDEX(16_能力商機矩陣_CapOppMap!$CR$5:$CR$154,MATCH(1,_計算_Calc!$BX$5:$BX$154,0)),"")</f>
        <v>6</v>
      </c>
    </row>
    <row r="6" customFormat="false" ht="27.75" hidden="false" customHeight="true" outlineLevel="0" collapsed="false">
      <c r="A6" s="96" t="n">
        <f aca="false">IF($B6="","",2)</f>
        <v>2</v>
      </c>
      <c r="B6" s="94" t="str">
        <f aca="false">IFERROR(INDEX(03_能力總表_Master!$A$5:$A$154,MATCH(2,_計算_Calc!$BX$5:$BX$154,0)),"")</f>
        <v>CAP-029</v>
      </c>
      <c r="C6" s="96" t="str">
        <f aca="false">IFERROR(INDEX(03_能力總表_Master!$B$5:$B$154,MATCH(2,_計算_Calc!$BX$5:$BX$154,0)),"")</f>
        <v>D05 醫材與診斷</v>
      </c>
      <c r="D6" s="96" t="str">
        <f aca="false">IFERROR(INDEX(03_能力總表_Master!$C$5:$C$154,MATCH(2,_計算_Calc!$BX$5:$BX$154,0)),"")</f>
        <v>G4</v>
      </c>
      <c r="E6" s="107" t="str">
        <f aca="false">IFERROR(INDEX(03_能力總表_Master!$E$5:$E$154,MATCH(2,_計算_Calc!$BX$5:$BX$154,0)),"")</f>
        <v>實驗室自動化與LIS</v>
      </c>
      <c r="F6" s="107" t="str">
        <f aca="false">IFERROR(INDEX(03_能力總表_Master!$K$5:$K$154,MATCH(2,_計算_Calc!$BX$5:$BX$154,0)),"")</f>
        <v>缺：實驗室自動化與LIS供應商</v>
      </c>
      <c r="G6" s="107" t="str">
        <f aca="false">IFERROR(INDEX(03_能力總表_Master!$L$5:$L$154,MATCH(2,_計算_Calc!$BX$5:$BX$154,0)),"")</f>
        <v>HL7-V2; LOINC; VN-MD-98</v>
      </c>
      <c r="H6" s="97" t="n">
        <f aca="false">IFERROR(INDEX(03_能力總表_Master!$Q$5:$Q$154,MATCH(2,_計算_Calc!$BX$5:$BX$154,0)),"")</f>
        <v>4.3</v>
      </c>
      <c r="I6" s="97" t="n">
        <f aca="false">IFERROR(INDEX(03_能力總表_Master!$U$5:$U$154,MATCH(2,_計算_Calc!$BX$5:$BX$154,0)),"")</f>
        <v>2.4</v>
      </c>
      <c r="J6" s="96" t="str">
        <f aca="false">IFERROR(INDEX(03_能力總表_Master!$W$5:$W$154,MATCH(2,_計算_Calc!$BX$5:$BX$154,0)),"")</f>
        <v>先補條件 Prepare</v>
      </c>
      <c r="K6" s="107" t="str">
        <f aca="false">IFERROR(INDEX(03_能力總表_Master!$J$5:$J$154,MATCH(2,_計算_Calc!$BX$5:$BX$154,0)),"")</f>
        <v>P-020 檢驗自動化與LIS供應商</v>
      </c>
      <c r="L6" s="108" t="n">
        <f aca="false">IFERROR(INDEX(16_能力商機矩陣_CapOppMap!$CR$5:$CR$154,MATCH(2,_計算_Calc!$BX$5:$BX$154,0)),"")</f>
        <v>3</v>
      </c>
    </row>
    <row r="7" customFormat="false" ht="27.75" hidden="false" customHeight="true" outlineLevel="0" collapsed="false">
      <c r="A7" s="96" t="n">
        <f aca="false">IF($B7="","",3)</f>
        <v>3</v>
      </c>
      <c r="B7" s="94" t="str">
        <f aca="false">IFERROR(INDEX(03_能力總表_Master!$A$5:$A$154,MATCH(3,_計算_Calc!$BX$5:$BX$154,0)),"")</f>
        <v>CAP-030</v>
      </c>
      <c r="C7" s="96" t="str">
        <f aca="false">IFERROR(INDEX(03_能力總表_Master!$B$5:$B$154,MATCH(3,_計算_Calc!$BX$5:$BX$154,0)),"")</f>
        <v>D05 醫材與診斷</v>
      </c>
      <c r="D7" s="96" t="str">
        <f aca="false">IFERROR(INDEX(03_能力總表_Master!$C$5:$C$154,MATCH(3,_計算_Calc!$BX$5:$BX$154,0)),"")</f>
        <v>G4</v>
      </c>
      <c r="E7" s="107" t="str">
        <f aca="false">IFERROR(INDEX(03_能力總表_Master!$E$5:$E$154,MATCH(3,_計算_Calc!$BX$5:$BX$154,0)),"")</f>
        <v>手術室與重症整合</v>
      </c>
      <c r="F7" s="107" t="str">
        <f aca="false">IFERROR(INDEX(03_能力總表_Master!$K$5:$K$154,MATCH(3,_計算_Calc!$BX$5:$BX$154,0)),"")</f>
        <v>缺：手術室/重症整合設備商</v>
      </c>
      <c r="G7" s="107" t="str">
        <f aca="false">IFERROR(INDEX(03_能力總表_Master!$L$5:$L$154,MATCH(3,_計算_Calc!$BX$5:$BX$154,0)),"")</f>
        <v>IEC-60601; IEC-80001</v>
      </c>
      <c r="H7" s="97" t="n">
        <f aca="false">IFERROR(INDEX(03_能力總表_Master!$Q$5:$Q$154,MATCH(3,_計算_Calc!$BX$5:$BX$154,0)),"")</f>
        <v>4.7</v>
      </c>
      <c r="I7" s="97" t="n">
        <f aca="false">IFERROR(INDEX(03_能力總表_Master!$U$5:$U$154,MATCH(3,_計算_Calc!$BX$5:$BX$154,0)),"")</f>
        <v>2.4</v>
      </c>
      <c r="J7" s="96" t="str">
        <f aca="false">IFERROR(INDEX(03_能力總表_Master!$W$5:$W$154,MATCH(3,_計算_Calc!$BX$5:$BX$154,0)),"")</f>
        <v>先補條件 Prepare</v>
      </c>
      <c r="K7" s="107" t="str">
        <f aca="false">IFERROR(INDEX(03_能力總表_Master!$J$5:$J$154,MATCH(3,_計算_Calc!$BX$5:$BX$154,0)),"")</f>
        <v>P-021 手術室與重症設備整合商</v>
      </c>
      <c r="L7" s="108" t="n">
        <f aca="false">IFERROR(INDEX(16_能力商機矩陣_CapOppMap!$CR$5:$CR$154,MATCH(3,_計算_Calc!$BX$5:$BX$154,0)),"")</f>
        <v>7</v>
      </c>
    </row>
    <row r="8" customFormat="false" ht="27.75" hidden="false" customHeight="true" outlineLevel="0" collapsed="false">
      <c r="A8" s="96" t="n">
        <f aca="false">IF($B8="","",4)</f>
        <v>4</v>
      </c>
      <c r="B8" s="94" t="str">
        <f aca="false">IFERROR(INDEX(03_能力總表_Master!$A$5:$A$154,MATCH(4,_計算_Calc!$BX$5:$BX$154,0)),"")</f>
        <v>CAP-035</v>
      </c>
      <c r="C8" s="96" t="str">
        <f aca="false">IFERROR(INDEX(03_能力總表_Master!$B$5:$B$154,MATCH(4,_計算_Calc!$BX$5:$BX$154,0)),"")</f>
        <v>D06 醫療資訊與資料</v>
      </c>
      <c r="D8" s="96" t="str">
        <f aca="false">IFERROR(INDEX(03_能力總表_Master!$C$5:$C$154,MATCH(4,_計算_Calc!$BX$5:$BX$154,0)),"")</f>
        <v>G4</v>
      </c>
      <c r="E8" s="107" t="str">
        <f aca="false">IFERROR(INDEX(03_能力總表_Master!$E$5:$E$154,MATCH(4,_計算_Calc!$BX$5:$BX$154,0)),"")</f>
        <v>主病人索引與身分整合</v>
      </c>
      <c r="F8" s="107" t="str">
        <f aca="false">IFERROR(INDEX(03_能力總表_Master!$K$5:$K$154,MATCH(4,_計算_Calc!$BX$5:$BX$154,0)),"")</f>
        <v>缺：越南數位身分(VNeID)介接夥伴</v>
      </c>
      <c r="G8" s="107" t="str">
        <f aca="false">IFERROR(INDEX(03_能力總表_Master!$L$5:$L$154,MATCH(4,_計算_Calc!$BX$5:$BX$154,0)),"")</f>
        <v>HL7-FHIR; VN-DATA-60</v>
      </c>
      <c r="H8" s="97" t="n">
        <f aca="false">IFERROR(INDEX(03_能力總表_Master!$Q$5:$Q$154,MATCH(4,_計算_Calc!$BX$5:$BX$154,0)),"")</f>
        <v>4.3</v>
      </c>
      <c r="I8" s="97" t="n">
        <f aca="false">IFERROR(INDEX(03_能力總表_Master!$U$5:$U$154,MATCH(4,_計算_Calc!$BX$5:$BX$154,0)),"")</f>
        <v>2.4</v>
      </c>
      <c r="J8" s="96" t="str">
        <f aca="false">IFERROR(INDEX(03_能力總表_Master!$W$5:$W$154,MATCH(4,_計算_Calc!$BX$5:$BX$154,0)),"")</f>
        <v>先補條件 Prepare</v>
      </c>
      <c r="K8" s="107" t="str">
        <f aca="false">IFERROR(INDEX(03_能力總表_Master!$J$5:$J$154,MATCH(4,_計算_Calc!$BX$5:$BX$154,0)),"")</f>
        <v>P-022 越南數位身分介接夥伴</v>
      </c>
      <c r="L8" s="108" t="n">
        <f aca="false">IFERROR(INDEX(16_能力商機矩陣_CapOppMap!$CR$5:$CR$154,MATCH(4,_計算_Calc!$BX$5:$BX$154,0)),"")</f>
        <v>1</v>
      </c>
    </row>
    <row r="9" customFormat="false" ht="27.75" hidden="false" customHeight="true" outlineLevel="0" collapsed="false">
      <c r="A9" s="96" t="n">
        <f aca="false">IF($B9="","",5)</f>
        <v>5</v>
      </c>
      <c r="B9" s="94" t="str">
        <f aca="false">IFERROR(INDEX(03_能力總表_Master!$A$5:$A$154,MATCH(5,_計算_Calc!$BX$5:$BX$154,0)),"")</f>
        <v>CAP-039</v>
      </c>
      <c r="C9" s="96" t="str">
        <f aca="false">IFERROR(INDEX(03_能力總表_Master!$B$5:$B$154,MATCH(5,_計算_Calc!$BX$5:$BX$154,0)),"")</f>
        <v>D06 醫療資訊與資料</v>
      </c>
      <c r="D9" s="96" t="str">
        <f aca="false">IFERROR(INDEX(03_能力總表_Master!$C$5:$C$154,MATCH(5,_計算_Calc!$BX$5:$BX$154,0)),"")</f>
        <v>G5</v>
      </c>
      <c r="E9" s="107" t="str">
        <f aca="false">IFERROR(INDEX(03_能力總表_Master!$E$5:$E$154,MATCH(5,_計算_Calc!$BX$5:$BX$154,0)),"")</f>
        <v>病人入口、行動服務與VNeID準備</v>
      </c>
      <c r="F9" s="107" t="str">
        <f aca="false">IFERROR(INDEX(03_能力總表_Master!$K$5:$K$154,MATCH(5,_計算_Calc!$BX$5:$BX$154,0)),"")</f>
        <v>缺：病人App與在地支付夥伴</v>
      </c>
      <c r="G9" s="107" t="str">
        <f aca="false">IFERROR(INDEX(03_能力總表_Master!$L$5:$L$154,MATCH(5,_計算_Calc!$BX$5:$BX$154,0)),"")</f>
        <v>VN-EMR-13; HL7-FHIR</v>
      </c>
      <c r="H9" s="97" t="n">
        <f aca="false">IFERROR(INDEX(03_能力總表_Master!$Q$5:$Q$154,MATCH(5,_計算_Calc!$BX$5:$BX$154,0)),"")</f>
        <v>4</v>
      </c>
      <c r="I9" s="97" t="n">
        <f aca="false">IFERROR(INDEX(03_能力總表_Master!$U$5:$U$154,MATCH(5,_計算_Calc!$BX$5:$BX$154,0)),"")</f>
        <v>2.4</v>
      </c>
      <c r="J9" s="96" t="str">
        <f aca="false">IFERROR(INDEX(03_能力總表_Master!$W$5:$W$154,MATCH(5,_計算_Calc!$BX$5:$BX$154,0)),"")</f>
        <v>先補條件 Prepare</v>
      </c>
      <c r="K9" s="107" t="str">
        <f aca="false">IFERROR(INDEX(03_能力總表_Master!$J$5:$J$154,MATCH(5,_計算_Calc!$BX$5:$BX$154,0)),"")</f>
        <v>P-023 病人App與在地支付夥伴</v>
      </c>
      <c r="L9" s="108" t="n">
        <f aca="false">IFERROR(INDEX(16_能力商機矩陣_CapOppMap!$CR$5:$CR$154,MATCH(5,_計算_Calc!$BX$5:$BX$154,0)),"")</f>
        <v>3</v>
      </c>
    </row>
    <row r="10" customFormat="false" ht="27.75" hidden="false" customHeight="true" outlineLevel="0" collapsed="false">
      <c r="A10" s="96" t="n">
        <f aca="false">IF($B10="","",6)</f>
        <v>6</v>
      </c>
      <c r="B10" s="94" t="str">
        <f aca="false">IFERROR(INDEX(03_能力總表_Master!$A$5:$A$154,MATCH(6,_計算_Calc!$BX$5:$BX$154,0)),"")</f>
        <v>CAP-045</v>
      </c>
      <c r="C10" s="96" t="str">
        <f aca="false">IFERROR(INDEX(03_能力總表_Master!$B$5:$B$154,MATCH(6,_計算_Calc!$BX$5:$BX$154,0)),"")</f>
        <v>D08 人才與技轉</v>
      </c>
      <c r="D10" s="96" t="str">
        <f aca="false">IFERROR(INDEX(03_能力總表_Master!$C$5:$C$154,MATCH(6,_計算_Calc!$BX$5:$BX$154,0)),"")</f>
        <v>G2</v>
      </c>
      <c r="E10" s="107" t="str">
        <f aca="false">IFERROR(INDEX(03_能力總表_Master!$E$5:$E$154,MATCH(6,_計算_Calc!$BX$5:$BX$154,0)),"")</f>
        <v>人力與輪班模型</v>
      </c>
      <c r="F10" s="107" t="str">
        <f aca="false">IFERROR(INDEX(03_能力總表_Master!$K$5:$K$154,MATCH(6,_計算_Calc!$BX$5:$BX$154,0)),"")</f>
        <v>缺：越南醫護大學/人力合作機構</v>
      </c>
      <c r="G10" s="107" t="str">
        <f aca="false">IFERROR(INDEX(03_能力總表_Master!$L$5:$L$154,MATCH(6,_計算_Calc!$BX$5:$BX$154,0)),"")</f>
        <v>VN-LAW-15</v>
      </c>
      <c r="H10" s="97" t="n">
        <f aca="false">IFERROR(INDEX(03_能力總表_Master!$Q$5:$Q$154,MATCH(6,_計算_Calc!$BX$5:$BX$154,0)),"")</f>
        <v>4.3</v>
      </c>
      <c r="I10" s="97" t="n">
        <f aca="false">IFERROR(INDEX(03_能力總表_Master!$U$5:$U$154,MATCH(6,_計算_Calc!$BX$5:$BX$154,0)),"")</f>
        <v>3</v>
      </c>
      <c r="J10" s="96" t="str">
        <f aca="false">IFERROR(INDEX(03_能力總表_Master!$W$5:$W$154,MATCH(6,_計算_Calc!$BX$5:$BX$154,0)),"")</f>
        <v>立即推進 Go</v>
      </c>
      <c r="K10" s="107" t="str">
        <f aca="false">IFERROR(INDEX(03_能力總表_Master!$J$5:$J$154,MATCH(6,_計算_Calc!$BX$5:$BX$154,0)),"")</f>
        <v>P-024 越南醫護大學／人力機構</v>
      </c>
      <c r="L10" s="108" t="n">
        <f aca="false">IFERROR(INDEX(16_能力商機矩陣_CapOppMap!$CR$5:$CR$154,MATCH(6,_計算_Calc!$BX$5:$BX$154,0)),"")</f>
        <v>2</v>
      </c>
    </row>
    <row r="11" customFormat="false" ht="27.75" hidden="false" customHeight="true" outlineLevel="0" collapsed="false">
      <c r="A11" s="96" t="n">
        <f aca="false">IF($B11="","",7)</f>
        <v>7</v>
      </c>
      <c r="B11" s="94" t="str">
        <f aca="false">IFERROR(INDEX(03_能力總表_Master!$A$5:$A$154,MATCH(7,_計算_Calc!$BX$5:$BX$154,0)),"")</f>
        <v>CAP-056</v>
      </c>
      <c r="C11" s="96" t="str">
        <f aca="false">IFERROR(INDEX(03_能力總表_Master!$B$5:$B$154,MATCH(7,_計算_Calc!$BX$5:$BX$154,0)),"")</f>
        <v>D10 商模與病人生態</v>
      </c>
      <c r="D11" s="96" t="str">
        <f aca="false">IFERROR(INDEX(03_能力總表_Master!$C$5:$C$154,MATCH(7,_計算_Calc!$BX$5:$BX$154,0)),"")</f>
        <v>G4</v>
      </c>
      <c r="E11" s="107" t="str">
        <f aca="false">IFERROR(INDEX(03_能力總表_Master!$E$5:$E$154,MATCH(7,_計算_Calc!$BX$5:$BX$154,0)),"")</f>
        <v>健保申報與數位理賠</v>
      </c>
      <c r="F11" s="107" t="str">
        <f aca="false">IFERROR(INDEX(03_能力總表_Master!$K$5:$K$154,MATCH(7,_計算_Calc!$BX$5:$BX$154,0)),"")</f>
        <v>缺：越南健保(VSS)申報介接經驗夥伴</v>
      </c>
      <c r="G11" s="107" t="str">
        <f aca="false">IFERROR(INDEX(03_能力總表_Master!$L$5:$L$154,MATCH(7,_計算_Calc!$BX$5:$BX$154,0)),"")</f>
        <v>VN-LAW-15; HL7-FHIR</v>
      </c>
      <c r="H11" s="97" t="n">
        <f aca="false">IFERROR(INDEX(03_能力總表_Master!$Q$5:$Q$154,MATCH(7,_計算_Calc!$BX$5:$BX$154,0)),"")</f>
        <v>4.1</v>
      </c>
      <c r="I11" s="97" t="n">
        <f aca="false">IFERROR(INDEX(03_能力總表_Master!$U$5:$U$154,MATCH(7,_計算_Calc!$BX$5:$BX$154,0)),"")</f>
        <v>2</v>
      </c>
      <c r="J11" s="96" t="str">
        <f aca="false">IFERROR(INDEX(03_能力總表_Master!$W$5:$W$154,MATCH(7,_計算_Calc!$BX$5:$BX$154,0)),"")</f>
        <v>先補條件 Prepare</v>
      </c>
      <c r="K11" s="107" t="str">
        <f aca="false">IFERROR(INDEX(03_能力總表_Master!$J$5:$J$154,MATCH(7,_計算_Calc!$BX$5:$BX$154,0)),"")</f>
        <v>P-025 越南健保申報介接夥伴</v>
      </c>
      <c r="L11" s="108" t="n">
        <f aca="false">IFERROR(INDEX(16_能力商機矩陣_CapOppMap!$CR$5:$CR$154,MATCH(7,_計算_Calc!$BX$5:$BX$154,0)),"")</f>
        <v>2</v>
      </c>
    </row>
    <row r="12" customFormat="false" ht="27.75" hidden="false" customHeight="true" outlineLevel="0" collapsed="false">
      <c r="A12" s="96" t="n">
        <f aca="false">IF($B12="","",8)</f>
        <v>8</v>
      </c>
      <c r="B12" s="94" t="str">
        <f aca="false">IFERROR(INDEX(03_能力總表_Master!$A$5:$A$154,MATCH(8,_計算_Calc!$BX$5:$BX$154,0)),"")</f>
        <v>CAP-057</v>
      </c>
      <c r="C12" s="96" t="str">
        <f aca="false">IFERROR(INDEX(03_能力總表_Master!$B$5:$B$154,MATCH(8,_計算_Calc!$BX$5:$BX$154,0)),"")</f>
        <v>D10 商模與病人生態</v>
      </c>
      <c r="D12" s="96" t="str">
        <f aca="false">IFERROR(INDEX(03_能力總表_Master!$C$5:$C$154,MATCH(8,_計算_Calc!$BX$5:$BX$154,0)),"")</f>
        <v>G4</v>
      </c>
      <c r="E12" s="107" t="str">
        <f aca="false">IFERROR(INDEX(03_能力總表_Master!$E$5:$E$154,MATCH(8,_計算_Calc!$BX$5:$BX$154,0)),"")</f>
        <v>現金流、支付與收入週期</v>
      </c>
      <c r="F12" s="107" t="str">
        <f aca="false">IFERROR(INDEX(03_能力總表_Master!$K$5:$K$154,MATCH(8,_計算_Calc!$BX$5:$BX$154,0)),"")</f>
        <v>缺：醫院收費/金流服務夥伴</v>
      </c>
      <c r="G12" s="107" t="str">
        <f aca="false">IFERROR(INDEX(03_能力總表_Master!$L$5:$L$154,MATCH(8,_計算_Calc!$BX$5:$BX$154,0)),"")</f>
        <v>ISO-27001</v>
      </c>
      <c r="H12" s="97" t="n">
        <f aca="false">IFERROR(INDEX(03_能力總表_Master!$Q$5:$Q$154,MATCH(8,_計算_Calc!$BX$5:$BX$154,0)),"")</f>
        <v>3.1</v>
      </c>
      <c r="I12" s="97" t="n">
        <f aca="false">IFERROR(INDEX(03_能力總表_Master!$U$5:$U$154,MATCH(8,_計算_Calc!$BX$5:$BX$154,0)),"")</f>
        <v>2</v>
      </c>
      <c r="J12" s="96" t="str">
        <f aca="false">IFERROR(INDEX(03_能力總表_Master!$W$5:$W$154,MATCH(8,_計算_Calc!$BX$5:$BX$154,0)),"")</f>
        <v>儲備觀察 Backlog</v>
      </c>
      <c r="K12" s="107" t="str">
        <f aca="false">IFERROR(INDEX(03_能力總表_Master!$J$5:$J$154,MATCH(8,_計算_Calc!$BX$5:$BX$154,0)),"")</f>
        <v>P-026 醫院收費與金流服務商</v>
      </c>
      <c r="L12" s="108" t="n">
        <f aca="false">IFERROR(INDEX(16_能力商機矩陣_CapOppMap!$CR$5:$CR$154,MATCH(8,_計算_Calc!$BX$5:$BX$154,0)),"")</f>
        <v>2</v>
      </c>
    </row>
    <row r="13" customFormat="false" ht="27.75" hidden="false" customHeight="true" outlineLevel="0" collapsed="false">
      <c r="A13" s="96" t="n">
        <f aca="false">IF($B13="","",9)</f>
        <v>9</v>
      </c>
      <c r="B13" s="94" t="str">
        <f aca="false">IFERROR(INDEX(03_能力總表_Master!$A$5:$A$154,MATCH(9,_計算_Calc!$BX$5:$BX$154,0)),"")</f>
        <v>CAP-058</v>
      </c>
      <c r="C13" s="96" t="str">
        <f aca="false">IFERROR(INDEX(03_能力總表_Master!$B$5:$B$154,MATCH(9,_計算_Calc!$BX$5:$BX$154,0)),"")</f>
        <v>D10 商模與病人生態</v>
      </c>
      <c r="D13" s="96" t="str">
        <f aca="false">IFERROR(INDEX(03_能力總表_Master!$C$5:$C$154,MATCH(9,_計算_Calc!$BX$5:$BX$154,0)),"")</f>
        <v>G5</v>
      </c>
      <c r="E13" s="107" t="str">
        <f aca="false">IFERROR(INDEX(03_能力總表_Master!$E$5:$E$154,MATCH(9,_計算_Calc!$BX$5:$BX$154,0)),"")</f>
        <v>國際醫療與高價值服務</v>
      </c>
      <c r="F13" s="107" t="str">
        <f aca="false">IFERROR(INDEX(03_能力總表_Master!$K$5:$K$154,MATCH(9,_計算_Calc!$BX$5:$BX$154,0)),"")</f>
        <v>缺：國際醫療行銷與保險通路夥伴</v>
      </c>
      <c r="G13" s="107" t="str">
        <f aca="false">IFERROR(INDEX(03_能力總表_Master!$L$5:$L$154,MATCH(9,_計算_Calc!$BX$5:$BX$154,0)),"")</f>
        <v>JCI-HOSP</v>
      </c>
      <c r="H13" s="97" t="n">
        <f aca="false">IFERROR(INDEX(03_能力總表_Master!$Q$5:$Q$154,MATCH(9,_計算_Calc!$BX$5:$BX$154,0)),"")</f>
        <v>3.1</v>
      </c>
      <c r="I13" s="97" t="n">
        <f aca="false">IFERROR(INDEX(03_能力總表_Master!$U$5:$U$154,MATCH(9,_計算_Calc!$BX$5:$BX$154,0)),"")</f>
        <v>2</v>
      </c>
      <c r="J13" s="96" t="str">
        <f aca="false">IFERROR(INDEX(03_能力總表_Master!$W$5:$W$154,MATCH(9,_計算_Calc!$BX$5:$BX$154,0)),"")</f>
        <v>儲備觀察 Backlog</v>
      </c>
      <c r="K13" s="107" t="str">
        <f aca="false">IFERROR(INDEX(03_能力總表_Master!$J$5:$J$154,MATCH(9,_計算_Calc!$BX$5:$BX$154,0)),"")</f>
        <v>P-027 國際醫療行銷與保險通路</v>
      </c>
      <c r="L13" s="108" t="n">
        <f aca="false">IFERROR(INDEX(16_能力商機矩陣_CapOppMap!$CR$5:$CR$154,MATCH(9,_計算_Calc!$BX$5:$BX$154,0)),"")</f>
        <v>2</v>
      </c>
    </row>
    <row r="14" customFormat="false" ht="27.75" hidden="false" customHeight="true" outlineLevel="0" collapsed="false">
      <c r="A14" s="96" t="str">
        <f aca="false">IF($B14="","",10)</f>
        <v/>
      </c>
      <c r="B14" s="94" t="str">
        <f aca="false">IFERROR(INDEX(03_能力總表_Master!$A$5:$A$154,MATCH(10,_計算_Calc!$BX$5:$BX$154,0)),"")</f>
        <v/>
      </c>
      <c r="C14" s="96" t="str">
        <f aca="false">IFERROR(INDEX(03_能力總表_Master!$B$5:$B$154,MATCH(10,_計算_Calc!$BX$5:$BX$154,0)),"")</f>
        <v/>
      </c>
      <c r="D14" s="96" t="str">
        <f aca="false">IFERROR(INDEX(03_能力總表_Master!$C$5:$C$154,MATCH(10,_計算_Calc!$BX$5:$BX$154,0)),"")</f>
        <v/>
      </c>
      <c r="E14" s="107" t="str">
        <f aca="false">IFERROR(INDEX(03_能力總表_Master!$E$5:$E$154,MATCH(10,_計算_Calc!$BX$5:$BX$154,0)),"")</f>
        <v/>
      </c>
      <c r="F14" s="107" t="str">
        <f aca="false">IFERROR(INDEX(03_能力總表_Master!$K$5:$K$154,MATCH(10,_計算_Calc!$BX$5:$BX$154,0)),"")</f>
        <v/>
      </c>
      <c r="G14" s="107" t="str">
        <f aca="false">IFERROR(INDEX(03_能力總表_Master!$L$5:$L$154,MATCH(10,_計算_Calc!$BX$5:$BX$154,0)),"")</f>
        <v/>
      </c>
      <c r="H14" s="97" t="str">
        <f aca="false">IFERROR(INDEX(03_能力總表_Master!$Q$5:$Q$154,MATCH(10,_計算_Calc!$BX$5:$BX$154,0)),"")</f>
        <v/>
      </c>
      <c r="I14" s="97" t="str">
        <f aca="false">IFERROR(INDEX(03_能力總表_Master!$U$5:$U$154,MATCH(10,_計算_Calc!$BX$5:$BX$154,0)),"")</f>
        <v/>
      </c>
      <c r="J14" s="96" t="str">
        <f aca="false">IFERROR(INDEX(03_能力總表_Master!$W$5:$W$154,MATCH(10,_計算_Calc!$BX$5:$BX$154,0)),"")</f>
        <v/>
      </c>
      <c r="K14" s="107" t="str">
        <f aca="false">IFERROR(INDEX(03_能力總表_Master!$J$5:$J$154,MATCH(10,_計算_Calc!$BX$5:$BX$154,0)),"")</f>
        <v/>
      </c>
      <c r="L14" s="108" t="str">
        <f aca="false">IFERROR(INDEX(16_能力商機矩陣_CapOppMap!$CR$5:$CR$154,MATCH(10,_計算_Calc!$BX$5:$BX$154,0)),"")</f>
        <v/>
      </c>
    </row>
    <row r="15" customFormat="false" ht="27.75" hidden="false" customHeight="true" outlineLevel="0" collapsed="false">
      <c r="A15" s="96" t="str">
        <f aca="false">IF($B15="","",11)</f>
        <v/>
      </c>
      <c r="B15" s="94" t="str">
        <f aca="false">IFERROR(INDEX(03_能力總表_Master!$A$5:$A$154,MATCH(11,_計算_Calc!$BX$5:$BX$154,0)),"")</f>
        <v/>
      </c>
      <c r="C15" s="96" t="str">
        <f aca="false">IFERROR(INDEX(03_能力總表_Master!$B$5:$B$154,MATCH(11,_計算_Calc!$BX$5:$BX$154,0)),"")</f>
        <v/>
      </c>
      <c r="D15" s="96" t="str">
        <f aca="false">IFERROR(INDEX(03_能力總表_Master!$C$5:$C$154,MATCH(11,_計算_Calc!$BX$5:$BX$154,0)),"")</f>
        <v/>
      </c>
      <c r="E15" s="107" t="str">
        <f aca="false">IFERROR(INDEX(03_能力總表_Master!$E$5:$E$154,MATCH(11,_計算_Calc!$BX$5:$BX$154,0)),"")</f>
        <v/>
      </c>
      <c r="F15" s="107" t="str">
        <f aca="false">IFERROR(INDEX(03_能力總表_Master!$K$5:$K$154,MATCH(11,_計算_Calc!$BX$5:$BX$154,0)),"")</f>
        <v/>
      </c>
      <c r="G15" s="107" t="str">
        <f aca="false">IFERROR(INDEX(03_能力總表_Master!$L$5:$L$154,MATCH(11,_計算_Calc!$BX$5:$BX$154,0)),"")</f>
        <v/>
      </c>
      <c r="H15" s="97" t="str">
        <f aca="false">IFERROR(INDEX(03_能力總表_Master!$Q$5:$Q$154,MATCH(11,_計算_Calc!$BX$5:$BX$154,0)),"")</f>
        <v/>
      </c>
      <c r="I15" s="97" t="str">
        <f aca="false">IFERROR(INDEX(03_能力總表_Master!$U$5:$U$154,MATCH(11,_計算_Calc!$BX$5:$BX$154,0)),"")</f>
        <v/>
      </c>
      <c r="J15" s="96" t="str">
        <f aca="false">IFERROR(INDEX(03_能力總表_Master!$W$5:$W$154,MATCH(11,_計算_Calc!$BX$5:$BX$154,0)),"")</f>
        <v/>
      </c>
      <c r="K15" s="107" t="str">
        <f aca="false">IFERROR(INDEX(03_能力總表_Master!$J$5:$J$154,MATCH(11,_計算_Calc!$BX$5:$BX$154,0)),"")</f>
        <v/>
      </c>
      <c r="L15" s="108" t="str">
        <f aca="false">IFERROR(INDEX(16_能力商機矩陣_CapOppMap!$CR$5:$CR$154,MATCH(11,_計算_Calc!$BX$5:$BX$154,0)),"")</f>
        <v/>
      </c>
    </row>
    <row r="16" customFormat="false" ht="27.75" hidden="false" customHeight="true" outlineLevel="0" collapsed="false">
      <c r="A16" s="96" t="str">
        <f aca="false">IF($B16="","",12)</f>
        <v/>
      </c>
      <c r="B16" s="94" t="str">
        <f aca="false">IFERROR(INDEX(03_能力總表_Master!$A$5:$A$154,MATCH(12,_計算_Calc!$BX$5:$BX$154,0)),"")</f>
        <v/>
      </c>
      <c r="C16" s="96" t="str">
        <f aca="false">IFERROR(INDEX(03_能力總表_Master!$B$5:$B$154,MATCH(12,_計算_Calc!$BX$5:$BX$154,0)),"")</f>
        <v/>
      </c>
      <c r="D16" s="96" t="str">
        <f aca="false">IFERROR(INDEX(03_能力總表_Master!$C$5:$C$154,MATCH(12,_計算_Calc!$BX$5:$BX$154,0)),"")</f>
        <v/>
      </c>
      <c r="E16" s="107" t="str">
        <f aca="false">IFERROR(INDEX(03_能力總表_Master!$E$5:$E$154,MATCH(12,_計算_Calc!$BX$5:$BX$154,0)),"")</f>
        <v/>
      </c>
      <c r="F16" s="107" t="str">
        <f aca="false">IFERROR(INDEX(03_能力總表_Master!$K$5:$K$154,MATCH(12,_計算_Calc!$BX$5:$BX$154,0)),"")</f>
        <v/>
      </c>
      <c r="G16" s="107" t="str">
        <f aca="false">IFERROR(INDEX(03_能力總表_Master!$L$5:$L$154,MATCH(12,_計算_Calc!$BX$5:$BX$154,0)),"")</f>
        <v/>
      </c>
      <c r="H16" s="97" t="str">
        <f aca="false">IFERROR(INDEX(03_能力總表_Master!$Q$5:$Q$154,MATCH(12,_計算_Calc!$BX$5:$BX$154,0)),"")</f>
        <v/>
      </c>
      <c r="I16" s="97" t="str">
        <f aca="false">IFERROR(INDEX(03_能力總表_Master!$U$5:$U$154,MATCH(12,_計算_Calc!$BX$5:$BX$154,0)),"")</f>
        <v/>
      </c>
      <c r="J16" s="96" t="str">
        <f aca="false">IFERROR(INDEX(03_能力總表_Master!$W$5:$W$154,MATCH(12,_計算_Calc!$BX$5:$BX$154,0)),"")</f>
        <v/>
      </c>
      <c r="K16" s="107" t="str">
        <f aca="false">IFERROR(INDEX(03_能力總表_Master!$J$5:$J$154,MATCH(12,_計算_Calc!$BX$5:$BX$154,0)),"")</f>
        <v/>
      </c>
      <c r="L16" s="108" t="str">
        <f aca="false">IFERROR(INDEX(16_能力商機矩陣_CapOppMap!$CR$5:$CR$154,MATCH(12,_計算_Calc!$BX$5:$BX$154,0)),"")</f>
        <v/>
      </c>
    </row>
    <row r="17" customFormat="false" ht="27.75" hidden="false" customHeight="true" outlineLevel="0" collapsed="false">
      <c r="A17" s="96" t="str">
        <f aca="false">IF($B17="","",13)</f>
        <v/>
      </c>
      <c r="B17" s="94" t="str">
        <f aca="false">IFERROR(INDEX(03_能力總表_Master!$A$5:$A$154,MATCH(13,_計算_Calc!$BX$5:$BX$154,0)),"")</f>
        <v/>
      </c>
      <c r="C17" s="96" t="str">
        <f aca="false">IFERROR(INDEX(03_能力總表_Master!$B$5:$B$154,MATCH(13,_計算_Calc!$BX$5:$BX$154,0)),"")</f>
        <v/>
      </c>
      <c r="D17" s="96" t="str">
        <f aca="false">IFERROR(INDEX(03_能力總表_Master!$C$5:$C$154,MATCH(13,_計算_Calc!$BX$5:$BX$154,0)),"")</f>
        <v/>
      </c>
      <c r="E17" s="107" t="str">
        <f aca="false">IFERROR(INDEX(03_能力總表_Master!$E$5:$E$154,MATCH(13,_計算_Calc!$BX$5:$BX$154,0)),"")</f>
        <v/>
      </c>
      <c r="F17" s="107" t="str">
        <f aca="false">IFERROR(INDEX(03_能力總表_Master!$K$5:$K$154,MATCH(13,_計算_Calc!$BX$5:$BX$154,0)),"")</f>
        <v/>
      </c>
      <c r="G17" s="107" t="str">
        <f aca="false">IFERROR(INDEX(03_能力總表_Master!$L$5:$L$154,MATCH(13,_計算_Calc!$BX$5:$BX$154,0)),"")</f>
        <v/>
      </c>
      <c r="H17" s="97" t="str">
        <f aca="false">IFERROR(INDEX(03_能力總表_Master!$Q$5:$Q$154,MATCH(13,_計算_Calc!$BX$5:$BX$154,0)),"")</f>
        <v/>
      </c>
      <c r="I17" s="97" t="str">
        <f aca="false">IFERROR(INDEX(03_能力總表_Master!$U$5:$U$154,MATCH(13,_計算_Calc!$BX$5:$BX$154,0)),"")</f>
        <v/>
      </c>
      <c r="J17" s="96" t="str">
        <f aca="false">IFERROR(INDEX(03_能力總表_Master!$W$5:$W$154,MATCH(13,_計算_Calc!$BX$5:$BX$154,0)),"")</f>
        <v/>
      </c>
      <c r="K17" s="107" t="str">
        <f aca="false">IFERROR(INDEX(03_能力總表_Master!$J$5:$J$154,MATCH(13,_計算_Calc!$BX$5:$BX$154,0)),"")</f>
        <v/>
      </c>
      <c r="L17" s="108" t="str">
        <f aca="false">IFERROR(INDEX(16_能力商機矩陣_CapOppMap!$CR$5:$CR$154,MATCH(13,_計算_Calc!$BX$5:$BX$154,0)),"")</f>
        <v/>
      </c>
    </row>
    <row r="18" customFormat="false" ht="27.75" hidden="false" customHeight="true" outlineLevel="0" collapsed="false">
      <c r="A18" s="96" t="str">
        <f aca="false">IF($B18="","",14)</f>
        <v/>
      </c>
      <c r="B18" s="94" t="str">
        <f aca="false">IFERROR(INDEX(03_能力總表_Master!$A$5:$A$154,MATCH(14,_計算_Calc!$BX$5:$BX$154,0)),"")</f>
        <v/>
      </c>
      <c r="C18" s="96" t="str">
        <f aca="false">IFERROR(INDEX(03_能力總表_Master!$B$5:$B$154,MATCH(14,_計算_Calc!$BX$5:$BX$154,0)),"")</f>
        <v/>
      </c>
      <c r="D18" s="96" t="str">
        <f aca="false">IFERROR(INDEX(03_能力總表_Master!$C$5:$C$154,MATCH(14,_計算_Calc!$BX$5:$BX$154,0)),"")</f>
        <v/>
      </c>
      <c r="E18" s="107" t="str">
        <f aca="false">IFERROR(INDEX(03_能力總表_Master!$E$5:$E$154,MATCH(14,_計算_Calc!$BX$5:$BX$154,0)),"")</f>
        <v/>
      </c>
      <c r="F18" s="107" t="str">
        <f aca="false">IFERROR(INDEX(03_能力總表_Master!$K$5:$K$154,MATCH(14,_計算_Calc!$BX$5:$BX$154,0)),"")</f>
        <v/>
      </c>
      <c r="G18" s="107" t="str">
        <f aca="false">IFERROR(INDEX(03_能力總表_Master!$L$5:$L$154,MATCH(14,_計算_Calc!$BX$5:$BX$154,0)),"")</f>
        <v/>
      </c>
      <c r="H18" s="97" t="str">
        <f aca="false">IFERROR(INDEX(03_能力總表_Master!$Q$5:$Q$154,MATCH(14,_計算_Calc!$BX$5:$BX$154,0)),"")</f>
        <v/>
      </c>
      <c r="I18" s="97" t="str">
        <f aca="false">IFERROR(INDEX(03_能力總表_Master!$U$5:$U$154,MATCH(14,_計算_Calc!$BX$5:$BX$154,0)),"")</f>
        <v/>
      </c>
      <c r="J18" s="96" t="str">
        <f aca="false">IFERROR(INDEX(03_能力總表_Master!$W$5:$W$154,MATCH(14,_計算_Calc!$BX$5:$BX$154,0)),"")</f>
        <v/>
      </c>
      <c r="K18" s="107" t="str">
        <f aca="false">IFERROR(INDEX(03_能力總表_Master!$J$5:$J$154,MATCH(14,_計算_Calc!$BX$5:$BX$154,0)),"")</f>
        <v/>
      </c>
      <c r="L18" s="108" t="str">
        <f aca="false">IFERROR(INDEX(16_能力商機矩陣_CapOppMap!$CR$5:$CR$154,MATCH(14,_計算_Calc!$BX$5:$BX$154,0)),"")</f>
        <v/>
      </c>
    </row>
    <row r="19" customFormat="false" ht="27.75" hidden="false" customHeight="true" outlineLevel="0" collapsed="false">
      <c r="A19" s="96" t="str">
        <f aca="false">IF($B19="","",15)</f>
        <v/>
      </c>
      <c r="B19" s="94" t="str">
        <f aca="false">IFERROR(INDEX(03_能力總表_Master!$A$5:$A$154,MATCH(15,_計算_Calc!$BX$5:$BX$154,0)),"")</f>
        <v/>
      </c>
      <c r="C19" s="96" t="str">
        <f aca="false">IFERROR(INDEX(03_能力總表_Master!$B$5:$B$154,MATCH(15,_計算_Calc!$BX$5:$BX$154,0)),"")</f>
        <v/>
      </c>
      <c r="D19" s="96" t="str">
        <f aca="false">IFERROR(INDEX(03_能力總表_Master!$C$5:$C$154,MATCH(15,_計算_Calc!$BX$5:$BX$154,0)),"")</f>
        <v/>
      </c>
      <c r="E19" s="107" t="str">
        <f aca="false">IFERROR(INDEX(03_能力總表_Master!$E$5:$E$154,MATCH(15,_計算_Calc!$BX$5:$BX$154,0)),"")</f>
        <v/>
      </c>
      <c r="F19" s="107" t="str">
        <f aca="false">IFERROR(INDEX(03_能力總表_Master!$K$5:$K$154,MATCH(15,_計算_Calc!$BX$5:$BX$154,0)),"")</f>
        <v/>
      </c>
      <c r="G19" s="107" t="str">
        <f aca="false">IFERROR(INDEX(03_能力總表_Master!$L$5:$L$154,MATCH(15,_計算_Calc!$BX$5:$BX$154,0)),"")</f>
        <v/>
      </c>
      <c r="H19" s="97" t="str">
        <f aca="false">IFERROR(INDEX(03_能力總表_Master!$Q$5:$Q$154,MATCH(15,_計算_Calc!$BX$5:$BX$154,0)),"")</f>
        <v/>
      </c>
      <c r="I19" s="97" t="str">
        <f aca="false">IFERROR(INDEX(03_能力總表_Master!$U$5:$U$154,MATCH(15,_計算_Calc!$BX$5:$BX$154,0)),"")</f>
        <v/>
      </c>
      <c r="J19" s="96" t="str">
        <f aca="false">IFERROR(INDEX(03_能力總表_Master!$W$5:$W$154,MATCH(15,_計算_Calc!$BX$5:$BX$154,0)),"")</f>
        <v/>
      </c>
      <c r="K19" s="107" t="str">
        <f aca="false">IFERROR(INDEX(03_能力總表_Master!$J$5:$J$154,MATCH(15,_計算_Calc!$BX$5:$BX$154,0)),"")</f>
        <v/>
      </c>
      <c r="L19" s="108" t="str">
        <f aca="false">IFERROR(INDEX(16_能力商機矩陣_CapOppMap!$CR$5:$CR$154,MATCH(15,_計算_Calc!$BX$5:$BX$154,0)),"")</f>
        <v/>
      </c>
    </row>
    <row r="20" customFormat="false" ht="27.75" hidden="false" customHeight="true" outlineLevel="0" collapsed="false">
      <c r="A20" s="96" t="str">
        <f aca="false">IF($B20="","",16)</f>
        <v/>
      </c>
      <c r="B20" s="94" t="str">
        <f aca="false">IFERROR(INDEX(03_能力總表_Master!$A$5:$A$154,MATCH(16,_計算_Calc!$BX$5:$BX$154,0)),"")</f>
        <v/>
      </c>
      <c r="C20" s="96" t="str">
        <f aca="false">IFERROR(INDEX(03_能力總表_Master!$B$5:$B$154,MATCH(16,_計算_Calc!$BX$5:$BX$154,0)),"")</f>
        <v/>
      </c>
      <c r="D20" s="96" t="str">
        <f aca="false">IFERROR(INDEX(03_能力總表_Master!$C$5:$C$154,MATCH(16,_計算_Calc!$BX$5:$BX$154,0)),"")</f>
        <v/>
      </c>
      <c r="E20" s="107" t="str">
        <f aca="false">IFERROR(INDEX(03_能力總表_Master!$E$5:$E$154,MATCH(16,_計算_Calc!$BX$5:$BX$154,0)),"")</f>
        <v/>
      </c>
      <c r="F20" s="107" t="str">
        <f aca="false">IFERROR(INDEX(03_能力總表_Master!$K$5:$K$154,MATCH(16,_計算_Calc!$BX$5:$BX$154,0)),"")</f>
        <v/>
      </c>
      <c r="G20" s="107" t="str">
        <f aca="false">IFERROR(INDEX(03_能力總表_Master!$L$5:$L$154,MATCH(16,_計算_Calc!$BX$5:$BX$154,0)),"")</f>
        <v/>
      </c>
      <c r="H20" s="97" t="str">
        <f aca="false">IFERROR(INDEX(03_能力總表_Master!$Q$5:$Q$154,MATCH(16,_計算_Calc!$BX$5:$BX$154,0)),"")</f>
        <v/>
      </c>
      <c r="I20" s="97" t="str">
        <f aca="false">IFERROR(INDEX(03_能力總表_Master!$U$5:$U$154,MATCH(16,_計算_Calc!$BX$5:$BX$154,0)),"")</f>
        <v/>
      </c>
      <c r="J20" s="96" t="str">
        <f aca="false">IFERROR(INDEX(03_能力總表_Master!$W$5:$W$154,MATCH(16,_計算_Calc!$BX$5:$BX$154,0)),"")</f>
        <v/>
      </c>
      <c r="K20" s="107" t="str">
        <f aca="false">IFERROR(INDEX(03_能力總表_Master!$J$5:$J$154,MATCH(16,_計算_Calc!$BX$5:$BX$154,0)),"")</f>
        <v/>
      </c>
      <c r="L20" s="108" t="str">
        <f aca="false">IFERROR(INDEX(16_能力商機矩陣_CapOppMap!$CR$5:$CR$154,MATCH(16,_計算_Calc!$BX$5:$BX$154,0)),"")</f>
        <v/>
      </c>
    </row>
    <row r="21" customFormat="false" ht="27.75" hidden="false" customHeight="true" outlineLevel="0" collapsed="false">
      <c r="A21" s="96" t="str">
        <f aca="false">IF($B21="","",17)</f>
        <v/>
      </c>
      <c r="B21" s="94" t="str">
        <f aca="false">IFERROR(INDEX(03_能力總表_Master!$A$5:$A$154,MATCH(17,_計算_Calc!$BX$5:$BX$154,0)),"")</f>
        <v/>
      </c>
      <c r="C21" s="96" t="str">
        <f aca="false">IFERROR(INDEX(03_能力總表_Master!$B$5:$B$154,MATCH(17,_計算_Calc!$BX$5:$BX$154,0)),"")</f>
        <v/>
      </c>
      <c r="D21" s="96" t="str">
        <f aca="false">IFERROR(INDEX(03_能力總表_Master!$C$5:$C$154,MATCH(17,_計算_Calc!$BX$5:$BX$154,0)),"")</f>
        <v/>
      </c>
      <c r="E21" s="107" t="str">
        <f aca="false">IFERROR(INDEX(03_能力總表_Master!$E$5:$E$154,MATCH(17,_計算_Calc!$BX$5:$BX$154,0)),"")</f>
        <v/>
      </c>
      <c r="F21" s="107" t="str">
        <f aca="false">IFERROR(INDEX(03_能力總表_Master!$K$5:$K$154,MATCH(17,_計算_Calc!$BX$5:$BX$154,0)),"")</f>
        <v/>
      </c>
      <c r="G21" s="107" t="str">
        <f aca="false">IFERROR(INDEX(03_能力總表_Master!$L$5:$L$154,MATCH(17,_計算_Calc!$BX$5:$BX$154,0)),"")</f>
        <v/>
      </c>
      <c r="H21" s="97" t="str">
        <f aca="false">IFERROR(INDEX(03_能力總表_Master!$Q$5:$Q$154,MATCH(17,_計算_Calc!$BX$5:$BX$154,0)),"")</f>
        <v/>
      </c>
      <c r="I21" s="97" t="str">
        <f aca="false">IFERROR(INDEX(03_能力總表_Master!$U$5:$U$154,MATCH(17,_計算_Calc!$BX$5:$BX$154,0)),"")</f>
        <v/>
      </c>
      <c r="J21" s="96" t="str">
        <f aca="false">IFERROR(INDEX(03_能力總表_Master!$W$5:$W$154,MATCH(17,_計算_Calc!$BX$5:$BX$154,0)),"")</f>
        <v/>
      </c>
      <c r="K21" s="107" t="str">
        <f aca="false">IFERROR(INDEX(03_能力總表_Master!$J$5:$J$154,MATCH(17,_計算_Calc!$BX$5:$BX$154,0)),"")</f>
        <v/>
      </c>
      <c r="L21" s="108" t="str">
        <f aca="false">IFERROR(INDEX(16_能力商機矩陣_CapOppMap!$CR$5:$CR$154,MATCH(17,_計算_Calc!$BX$5:$BX$154,0)),"")</f>
        <v/>
      </c>
    </row>
    <row r="22" customFormat="false" ht="27.75" hidden="false" customHeight="true" outlineLevel="0" collapsed="false">
      <c r="A22" s="96" t="str">
        <f aca="false">IF($B22="","",18)</f>
        <v/>
      </c>
      <c r="B22" s="94" t="str">
        <f aca="false">IFERROR(INDEX(03_能力總表_Master!$A$5:$A$154,MATCH(18,_計算_Calc!$BX$5:$BX$154,0)),"")</f>
        <v/>
      </c>
      <c r="C22" s="96" t="str">
        <f aca="false">IFERROR(INDEX(03_能力總表_Master!$B$5:$B$154,MATCH(18,_計算_Calc!$BX$5:$BX$154,0)),"")</f>
        <v/>
      </c>
      <c r="D22" s="96" t="str">
        <f aca="false">IFERROR(INDEX(03_能力總表_Master!$C$5:$C$154,MATCH(18,_計算_Calc!$BX$5:$BX$154,0)),"")</f>
        <v/>
      </c>
      <c r="E22" s="107" t="str">
        <f aca="false">IFERROR(INDEX(03_能力總表_Master!$E$5:$E$154,MATCH(18,_計算_Calc!$BX$5:$BX$154,0)),"")</f>
        <v/>
      </c>
      <c r="F22" s="107" t="str">
        <f aca="false">IFERROR(INDEX(03_能力總表_Master!$K$5:$K$154,MATCH(18,_計算_Calc!$BX$5:$BX$154,0)),"")</f>
        <v/>
      </c>
      <c r="G22" s="107" t="str">
        <f aca="false">IFERROR(INDEX(03_能力總表_Master!$L$5:$L$154,MATCH(18,_計算_Calc!$BX$5:$BX$154,0)),"")</f>
        <v/>
      </c>
      <c r="H22" s="97" t="str">
        <f aca="false">IFERROR(INDEX(03_能力總表_Master!$Q$5:$Q$154,MATCH(18,_計算_Calc!$BX$5:$BX$154,0)),"")</f>
        <v/>
      </c>
      <c r="I22" s="97" t="str">
        <f aca="false">IFERROR(INDEX(03_能力總表_Master!$U$5:$U$154,MATCH(18,_計算_Calc!$BX$5:$BX$154,0)),"")</f>
        <v/>
      </c>
      <c r="J22" s="96" t="str">
        <f aca="false">IFERROR(INDEX(03_能力總表_Master!$W$5:$W$154,MATCH(18,_計算_Calc!$BX$5:$BX$154,0)),"")</f>
        <v/>
      </c>
      <c r="K22" s="107" t="str">
        <f aca="false">IFERROR(INDEX(03_能力總表_Master!$J$5:$J$154,MATCH(18,_計算_Calc!$BX$5:$BX$154,0)),"")</f>
        <v/>
      </c>
      <c r="L22" s="108" t="str">
        <f aca="false">IFERROR(INDEX(16_能力商機矩陣_CapOppMap!$CR$5:$CR$154,MATCH(18,_計算_Calc!$BX$5:$BX$154,0)),"")</f>
        <v/>
      </c>
    </row>
    <row r="23" customFormat="false" ht="27.75" hidden="false" customHeight="true" outlineLevel="0" collapsed="false">
      <c r="A23" s="96" t="str">
        <f aca="false">IF($B23="","",19)</f>
        <v/>
      </c>
      <c r="B23" s="94" t="str">
        <f aca="false">IFERROR(INDEX(03_能力總表_Master!$A$5:$A$154,MATCH(19,_計算_Calc!$BX$5:$BX$154,0)),"")</f>
        <v/>
      </c>
      <c r="C23" s="96" t="str">
        <f aca="false">IFERROR(INDEX(03_能力總表_Master!$B$5:$B$154,MATCH(19,_計算_Calc!$BX$5:$BX$154,0)),"")</f>
        <v/>
      </c>
      <c r="D23" s="96" t="str">
        <f aca="false">IFERROR(INDEX(03_能力總表_Master!$C$5:$C$154,MATCH(19,_計算_Calc!$BX$5:$BX$154,0)),"")</f>
        <v/>
      </c>
      <c r="E23" s="107" t="str">
        <f aca="false">IFERROR(INDEX(03_能力總表_Master!$E$5:$E$154,MATCH(19,_計算_Calc!$BX$5:$BX$154,0)),"")</f>
        <v/>
      </c>
      <c r="F23" s="107" t="str">
        <f aca="false">IFERROR(INDEX(03_能力總表_Master!$K$5:$K$154,MATCH(19,_計算_Calc!$BX$5:$BX$154,0)),"")</f>
        <v/>
      </c>
      <c r="G23" s="107" t="str">
        <f aca="false">IFERROR(INDEX(03_能力總表_Master!$L$5:$L$154,MATCH(19,_計算_Calc!$BX$5:$BX$154,0)),"")</f>
        <v/>
      </c>
      <c r="H23" s="97" t="str">
        <f aca="false">IFERROR(INDEX(03_能力總表_Master!$Q$5:$Q$154,MATCH(19,_計算_Calc!$BX$5:$BX$154,0)),"")</f>
        <v/>
      </c>
      <c r="I23" s="97" t="str">
        <f aca="false">IFERROR(INDEX(03_能力總表_Master!$U$5:$U$154,MATCH(19,_計算_Calc!$BX$5:$BX$154,0)),"")</f>
        <v/>
      </c>
      <c r="J23" s="96" t="str">
        <f aca="false">IFERROR(INDEX(03_能力總表_Master!$W$5:$W$154,MATCH(19,_計算_Calc!$BX$5:$BX$154,0)),"")</f>
        <v/>
      </c>
      <c r="K23" s="107" t="str">
        <f aca="false">IFERROR(INDEX(03_能力總表_Master!$J$5:$J$154,MATCH(19,_計算_Calc!$BX$5:$BX$154,0)),"")</f>
        <v/>
      </c>
      <c r="L23" s="108" t="str">
        <f aca="false">IFERROR(INDEX(16_能力商機矩陣_CapOppMap!$CR$5:$CR$154,MATCH(19,_計算_Calc!$BX$5:$BX$154,0)),"")</f>
        <v/>
      </c>
    </row>
    <row r="24" customFormat="false" ht="27.75" hidden="false" customHeight="true" outlineLevel="0" collapsed="false">
      <c r="A24" s="96" t="str">
        <f aca="false">IF($B24="","",20)</f>
        <v/>
      </c>
      <c r="B24" s="94" t="str">
        <f aca="false">IFERROR(INDEX(03_能力總表_Master!$A$5:$A$154,MATCH(20,_計算_Calc!$BX$5:$BX$154,0)),"")</f>
        <v/>
      </c>
      <c r="C24" s="96" t="str">
        <f aca="false">IFERROR(INDEX(03_能力總表_Master!$B$5:$B$154,MATCH(20,_計算_Calc!$BX$5:$BX$154,0)),"")</f>
        <v/>
      </c>
      <c r="D24" s="96" t="str">
        <f aca="false">IFERROR(INDEX(03_能力總表_Master!$C$5:$C$154,MATCH(20,_計算_Calc!$BX$5:$BX$154,0)),"")</f>
        <v/>
      </c>
      <c r="E24" s="107" t="str">
        <f aca="false">IFERROR(INDEX(03_能力總表_Master!$E$5:$E$154,MATCH(20,_計算_Calc!$BX$5:$BX$154,0)),"")</f>
        <v/>
      </c>
      <c r="F24" s="107" t="str">
        <f aca="false">IFERROR(INDEX(03_能力總表_Master!$K$5:$K$154,MATCH(20,_計算_Calc!$BX$5:$BX$154,0)),"")</f>
        <v/>
      </c>
      <c r="G24" s="107" t="str">
        <f aca="false">IFERROR(INDEX(03_能力總表_Master!$L$5:$L$154,MATCH(20,_計算_Calc!$BX$5:$BX$154,0)),"")</f>
        <v/>
      </c>
      <c r="H24" s="97" t="str">
        <f aca="false">IFERROR(INDEX(03_能力總表_Master!$Q$5:$Q$154,MATCH(20,_計算_Calc!$BX$5:$BX$154,0)),"")</f>
        <v/>
      </c>
      <c r="I24" s="97" t="str">
        <f aca="false">IFERROR(INDEX(03_能力總表_Master!$U$5:$U$154,MATCH(20,_計算_Calc!$BX$5:$BX$154,0)),"")</f>
        <v/>
      </c>
      <c r="J24" s="96" t="str">
        <f aca="false">IFERROR(INDEX(03_能力總表_Master!$W$5:$W$154,MATCH(20,_計算_Calc!$BX$5:$BX$154,0)),"")</f>
        <v/>
      </c>
      <c r="K24" s="107" t="str">
        <f aca="false">IFERROR(INDEX(03_能力總表_Master!$J$5:$J$154,MATCH(20,_計算_Calc!$BX$5:$BX$154,0)),"")</f>
        <v/>
      </c>
      <c r="L24" s="108" t="str">
        <f aca="false">IFERROR(INDEX(16_能力商機矩陣_CapOppMap!$CR$5:$CR$154,MATCH(20,_計算_Calc!$BX$5:$BX$154,0)),"")</f>
        <v/>
      </c>
    </row>
    <row r="25" customFormat="false" ht="27.75" hidden="false" customHeight="true" outlineLevel="0" collapsed="false">
      <c r="A25" s="96" t="str">
        <f aca="false">IF($B25="","",21)</f>
        <v/>
      </c>
      <c r="B25" s="94" t="str">
        <f aca="false">IFERROR(INDEX(03_能力總表_Master!$A$5:$A$154,MATCH(21,_計算_Calc!$BX$5:$BX$154,0)),"")</f>
        <v/>
      </c>
      <c r="C25" s="96" t="str">
        <f aca="false">IFERROR(INDEX(03_能力總表_Master!$B$5:$B$154,MATCH(21,_計算_Calc!$BX$5:$BX$154,0)),"")</f>
        <v/>
      </c>
      <c r="D25" s="96" t="str">
        <f aca="false">IFERROR(INDEX(03_能力總表_Master!$C$5:$C$154,MATCH(21,_計算_Calc!$BX$5:$BX$154,0)),"")</f>
        <v/>
      </c>
      <c r="E25" s="107" t="str">
        <f aca="false">IFERROR(INDEX(03_能力總表_Master!$E$5:$E$154,MATCH(21,_計算_Calc!$BX$5:$BX$154,0)),"")</f>
        <v/>
      </c>
      <c r="F25" s="107" t="str">
        <f aca="false">IFERROR(INDEX(03_能力總表_Master!$K$5:$K$154,MATCH(21,_計算_Calc!$BX$5:$BX$154,0)),"")</f>
        <v/>
      </c>
      <c r="G25" s="107" t="str">
        <f aca="false">IFERROR(INDEX(03_能力總表_Master!$L$5:$L$154,MATCH(21,_計算_Calc!$BX$5:$BX$154,0)),"")</f>
        <v/>
      </c>
      <c r="H25" s="97" t="str">
        <f aca="false">IFERROR(INDEX(03_能力總表_Master!$Q$5:$Q$154,MATCH(21,_計算_Calc!$BX$5:$BX$154,0)),"")</f>
        <v/>
      </c>
      <c r="I25" s="97" t="str">
        <f aca="false">IFERROR(INDEX(03_能力總表_Master!$U$5:$U$154,MATCH(21,_計算_Calc!$BX$5:$BX$154,0)),"")</f>
        <v/>
      </c>
      <c r="J25" s="96" t="str">
        <f aca="false">IFERROR(INDEX(03_能力總表_Master!$W$5:$W$154,MATCH(21,_計算_Calc!$BX$5:$BX$154,0)),"")</f>
        <v/>
      </c>
      <c r="K25" s="107" t="str">
        <f aca="false">IFERROR(INDEX(03_能力總表_Master!$J$5:$J$154,MATCH(21,_計算_Calc!$BX$5:$BX$154,0)),"")</f>
        <v/>
      </c>
      <c r="L25" s="108" t="str">
        <f aca="false">IFERROR(INDEX(16_能力商機矩陣_CapOppMap!$CR$5:$CR$154,MATCH(21,_計算_Calc!$BX$5:$BX$154,0)),"")</f>
        <v/>
      </c>
    </row>
    <row r="26" customFormat="false" ht="27.75" hidden="false" customHeight="true" outlineLevel="0" collapsed="false">
      <c r="A26" s="96" t="str">
        <f aca="false">IF($B26="","",22)</f>
        <v/>
      </c>
      <c r="B26" s="94" t="str">
        <f aca="false">IFERROR(INDEX(03_能力總表_Master!$A$5:$A$154,MATCH(22,_計算_Calc!$BX$5:$BX$154,0)),"")</f>
        <v/>
      </c>
      <c r="C26" s="96" t="str">
        <f aca="false">IFERROR(INDEX(03_能力總表_Master!$B$5:$B$154,MATCH(22,_計算_Calc!$BX$5:$BX$154,0)),"")</f>
        <v/>
      </c>
      <c r="D26" s="96" t="str">
        <f aca="false">IFERROR(INDEX(03_能力總表_Master!$C$5:$C$154,MATCH(22,_計算_Calc!$BX$5:$BX$154,0)),"")</f>
        <v/>
      </c>
      <c r="E26" s="107" t="str">
        <f aca="false">IFERROR(INDEX(03_能力總表_Master!$E$5:$E$154,MATCH(22,_計算_Calc!$BX$5:$BX$154,0)),"")</f>
        <v/>
      </c>
      <c r="F26" s="107" t="str">
        <f aca="false">IFERROR(INDEX(03_能力總表_Master!$K$5:$K$154,MATCH(22,_計算_Calc!$BX$5:$BX$154,0)),"")</f>
        <v/>
      </c>
      <c r="G26" s="107" t="str">
        <f aca="false">IFERROR(INDEX(03_能力總表_Master!$L$5:$L$154,MATCH(22,_計算_Calc!$BX$5:$BX$154,0)),"")</f>
        <v/>
      </c>
      <c r="H26" s="97" t="str">
        <f aca="false">IFERROR(INDEX(03_能力總表_Master!$Q$5:$Q$154,MATCH(22,_計算_Calc!$BX$5:$BX$154,0)),"")</f>
        <v/>
      </c>
      <c r="I26" s="97" t="str">
        <f aca="false">IFERROR(INDEX(03_能力總表_Master!$U$5:$U$154,MATCH(22,_計算_Calc!$BX$5:$BX$154,0)),"")</f>
        <v/>
      </c>
      <c r="J26" s="96" t="str">
        <f aca="false">IFERROR(INDEX(03_能力總表_Master!$W$5:$W$154,MATCH(22,_計算_Calc!$BX$5:$BX$154,0)),"")</f>
        <v/>
      </c>
      <c r="K26" s="107" t="str">
        <f aca="false">IFERROR(INDEX(03_能力總表_Master!$J$5:$J$154,MATCH(22,_計算_Calc!$BX$5:$BX$154,0)),"")</f>
        <v/>
      </c>
      <c r="L26" s="108" t="str">
        <f aca="false">IFERROR(INDEX(16_能力商機矩陣_CapOppMap!$CR$5:$CR$154,MATCH(22,_計算_Calc!$BX$5:$BX$154,0)),"")</f>
        <v/>
      </c>
    </row>
    <row r="27" customFormat="false" ht="27.75" hidden="false" customHeight="true" outlineLevel="0" collapsed="false">
      <c r="A27" s="96" t="str">
        <f aca="false">IF($B27="","",23)</f>
        <v/>
      </c>
      <c r="B27" s="94" t="str">
        <f aca="false">IFERROR(INDEX(03_能力總表_Master!$A$5:$A$154,MATCH(23,_計算_Calc!$BX$5:$BX$154,0)),"")</f>
        <v/>
      </c>
      <c r="C27" s="96" t="str">
        <f aca="false">IFERROR(INDEX(03_能力總表_Master!$B$5:$B$154,MATCH(23,_計算_Calc!$BX$5:$BX$154,0)),"")</f>
        <v/>
      </c>
      <c r="D27" s="96" t="str">
        <f aca="false">IFERROR(INDEX(03_能力總表_Master!$C$5:$C$154,MATCH(23,_計算_Calc!$BX$5:$BX$154,0)),"")</f>
        <v/>
      </c>
      <c r="E27" s="107" t="str">
        <f aca="false">IFERROR(INDEX(03_能力總表_Master!$E$5:$E$154,MATCH(23,_計算_Calc!$BX$5:$BX$154,0)),"")</f>
        <v/>
      </c>
      <c r="F27" s="107" t="str">
        <f aca="false">IFERROR(INDEX(03_能力總表_Master!$K$5:$K$154,MATCH(23,_計算_Calc!$BX$5:$BX$154,0)),"")</f>
        <v/>
      </c>
      <c r="G27" s="107" t="str">
        <f aca="false">IFERROR(INDEX(03_能力總表_Master!$L$5:$L$154,MATCH(23,_計算_Calc!$BX$5:$BX$154,0)),"")</f>
        <v/>
      </c>
      <c r="H27" s="97" t="str">
        <f aca="false">IFERROR(INDEX(03_能力總表_Master!$Q$5:$Q$154,MATCH(23,_計算_Calc!$BX$5:$BX$154,0)),"")</f>
        <v/>
      </c>
      <c r="I27" s="97" t="str">
        <f aca="false">IFERROR(INDEX(03_能力總表_Master!$U$5:$U$154,MATCH(23,_計算_Calc!$BX$5:$BX$154,0)),"")</f>
        <v/>
      </c>
      <c r="J27" s="96" t="str">
        <f aca="false">IFERROR(INDEX(03_能力總表_Master!$W$5:$W$154,MATCH(23,_計算_Calc!$BX$5:$BX$154,0)),"")</f>
        <v/>
      </c>
      <c r="K27" s="107" t="str">
        <f aca="false">IFERROR(INDEX(03_能力總表_Master!$J$5:$J$154,MATCH(23,_計算_Calc!$BX$5:$BX$154,0)),"")</f>
        <v/>
      </c>
      <c r="L27" s="108" t="str">
        <f aca="false">IFERROR(INDEX(16_能力商機矩陣_CapOppMap!$CR$5:$CR$154,MATCH(23,_計算_Calc!$BX$5:$BX$154,0)),"")</f>
        <v/>
      </c>
    </row>
    <row r="28" customFormat="false" ht="27.75" hidden="false" customHeight="true" outlineLevel="0" collapsed="false">
      <c r="A28" s="96" t="str">
        <f aca="false">IF($B28="","",24)</f>
        <v/>
      </c>
      <c r="B28" s="94" t="str">
        <f aca="false">IFERROR(INDEX(03_能力總表_Master!$A$5:$A$154,MATCH(24,_計算_Calc!$BX$5:$BX$154,0)),"")</f>
        <v/>
      </c>
      <c r="C28" s="96" t="str">
        <f aca="false">IFERROR(INDEX(03_能力總表_Master!$B$5:$B$154,MATCH(24,_計算_Calc!$BX$5:$BX$154,0)),"")</f>
        <v/>
      </c>
      <c r="D28" s="96" t="str">
        <f aca="false">IFERROR(INDEX(03_能力總表_Master!$C$5:$C$154,MATCH(24,_計算_Calc!$BX$5:$BX$154,0)),"")</f>
        <v/>
      </c>
      <c r="E28" s="107" t="str">
        <f aca="false">IFERROR(INDEX(03_能力總表_Master!$E$5:$E$154,MATCH(24,_計算_Calc!$BX$5:$BX$154,0)),"")</f>
        <v/>
      </c>
      <c r="F28" s="107" t="str">
        <f aca="false">IFERROR(INDEX(03_能力總表_Master!$K$5:$K$154,MATCH(24,_計算_Calc!$BX$5:$BX$154,0)),"")</f>
        <v/>
      </c>
      <c r="G28" s="107" t="str">
        <f aca="false">IFERROR(INDEX(03_能力總表_Master!$L$5:$L$154,MATCH(24,_計算_Calc!$BX$5:$BX$154,0)),"")</f>
        <v/>
      </c>
      <c r="H28" s="97" t="str">
        <f aca="false">IFERROR(INDEX(03_能力總表_Master!$Q$5:$Q$154,MATCH(24,_計算_Calc!$BX$5:$BX$154,0)),"")</f>
        <v/>
      </c>
      <c r="I28" s="97" t="str">
        <f aca="false">IFERROR(INDEX(03_能力總表_Master!$U$5:$U$154,MATCH(24,_計算_Calc!$BX$5:$BX$154,0)),"")</f>
        <v/>
      </c>
      <c r="J28" s="96" t="str">
        <f aca="false">IFERROR(INDEX(03_能力總表_Master!$W$5:$W$154,MATCH(24,_計算_Calc!$BX$5:$BX$154,0)),"")</f>
        <v/>
      </c>
      <c r="K28" s="107" t="str">
        <f aca="false">IFERROR(INDEX(03_能力總表_Master!$J$5:$J$154,MATCH(24,_計算_Calc!$BX$5:$BX$154,0)),"")</f>
        <v/>
      </c>
      <c r="L28" s="108" t="str">
        <f aca="false">IFERROR(INDEX(16_能力商機矩陣_CapOppMap!$CR$5:$CR$154,MATCH(24,_計算_Calc!$BX$5:$BX$154,0)),"")</f>
        <v/>
      </c>
    </row>
    <row r="29" customFormat="false" ht="27.75" hidden="false" customHeight="true" outlineLevel="0" collapsed="false">
      <c r="A29" s="96" t="str">
        <f aca="false">IF($B29="","",25)</f>
        <v/>
      </c>
      <c r="B29" s="94" t="str">
        <f aca="false">IFERROR(INDEX(03_能力總表_Master!$A$5:$A$154,MATCH(25,_計算_Calc!$BX$5:$BX$154,0)),"")</f>
        <v/>
      </c>
      <c r="C29" s="96" t="str">
        <f aca="false">IFERROR(INDEX(03_能力總表_Master!$B$5:$B$154,MATCH(25,_計算_Calc!$BX$5:$BX$154,0)),"")</f>
        <v/>
      </c>
      <c r="D29" s="96" t="str">
        <f aca="false">IFERROR(INDEX(03_能力總表_Master!$C$5:$C$154,MATCH(25,_計算_Calc!$BX$5:$BX$154,0)),"")</f>
        <v/>
      </c>
      <c r="E29" s="107" t="str">
        <f aca="false">IFERROR(INDEX(03_能力總表_Master!$E$5:$E$154,MATCH(25,_計算_Calc!$BX$5:$BX$154,0)),"")</f>
        <v/>
      </c>
      <c r="F29" s="107" t="str">
        <f aca="false">IFERROR(INDEX(03_能力總表_Master!$K$5:$K$154,MATCH(25,_計算_Calc!$BX$5:$BX$154,0)),"")</f>
        <v/>
      </c>
      <c r="G29" s="107" t="str">
        <f aca="false">IFERROR(INDEX(03_能力總表_Master!$L$5:$L$154,MATCH(25,_計算_Calc!$BX$5:$BX$154,0)),"")</f>
        <v/>
      </c>
      <c r="H29" s="97" t="str">
        <f aca="false">IFERROR(INDEX(03_能力總表_Master!$Q$5:$Q$154,MATCH(25,_計算_Calc!$BX$5:$BX$154,0)),"")</f>
        <v/>
      </c>
      <c r="I29" s="97" t="str">
        <f aca="false">IFERROR(INDEX(03_能力總表_Master!$U$5:$U$154,MATCH(25,_計算_Calc!$BX$5:$BX$154,0)),"")</f>
        <v/>
      </c>
      <c r="J29" s="96" t="str">
        <f aca="false">IFERROR(INDEX(03_能力總表_Master!$W$5:$W$154,MATCH(25,_計算_Calc!$BX$5:$BX$154,0)),"")</f>
        <v/>
      </c>
      <c r="K29" s="107" t="str">
        <f aca="false">IFERROR(INDEX(03_能力總表_Master!$J$5:$J$154,MATCH(25,_計算_Calc!$BX$5:$BX$154,0)),"")</f>
        <v/>
      </c>
      <c r="L29" s="108" t="str">
        <f aca="false">IFERROR(INDEX(16_能力商機矩陣_CapOppMap!$CR$5:$CR$154,MATCH(25,_計算_Calc!$BX$5:$BX$154,0)),"")</f>
        <v/>
      </c>
    </row>
    <row r="30" customFormat="false" ht="27.75" hidden="false" customHeight="true" outlineLevel="0" collapsed="false">
      <c r="A30" s="96" t="str">
        <f aca="false">IF($B30="","",26)</f>
        <v/>
      </c>
      <c r="B30" s="94" t="str">
        <f aca="false">IFERROR(INDEX(03_能力總表_Master!$A$5:$A$154,MATCH(26,_計算_Calc!$BX$5:$BX$154,0)),"")</f>
        <v/>
      </c>
      <c r="C30" s="96" t="str">
        <f aca="false">IFERROR(INDEX(03_能力總表_Master!$B$5:$B$154,MATCH(26,_計算_Calc!$BX$5:$BX$154,0)),"")</f>
        <v/>
      </c>
      <c r="D30" s="96" t="str">
        <f aca="false">IFERROR(INDEX(03_能力總表_Master!$C$5:$C$154,MATCH(26,_計算_Calc!$BX$5:$BX$154,0)),"")</f>
        <v/>
      </c>
      <c r="E30" s="107" t="str">
        <f aca="false">IFERROR(INDEX(03_能力總表_Master!$E$5:$E$154,MATCH(26,_計算_Calc!$BX$5:$BX$154,0)),"")</f>
        <v/>
      </c>
      <c r="F30" s="107" t="str">
        <f aca="false">IFERROR(INDEX(03_能力總表_Master!$K$5:$K$154,MATCH(26,_計算_Calc!$BX$5:$BX$154,0)),"")</f>
        <v/>
      </c>
      <c r="G30" s="107" t="str">
        <f aca="false">IFERROR(INDEX(03_能力總表_Master!$L$5:$L$154,MATCH(26,_計算_Calc!$BX$5:$BX$154,0)),"")</f>
        <v/>
      </c>
      <c r="H30" s="97" t="str">
        <f aca="false">IFERROR(INDEX(03_能力總表_Master!$Q$5:$Q$154,MATCH(26,_計算_Calc!$BX$5:$BX$154,0)),"")</f>
        <v/>
      </c>
      <c r="I30" s="97" t="str">
        <f aca="false">IFERROR(INDEX(03_能力總表_Master!$U$5:$U$154,MATCH(26,_計算_Calc!$BX$5:$BX$154,0)),"")</f>
        <v/>
      </c>
      <c r="J30" s="96" t="str">
        <f aca="false">IFERROR(INDEX(03_能力總表_Master!$W$5:$W$154,MATCH(26,_計算_Calc!$BX$5:$BX$154,0)),"")</f>
        <v/>
      </c>
      <c r="K30" s="107" t="str">
        <f aca="false">IFERROR(INDEX(03_能力總表_Master!$J$5:$J$154,MATCH(26,_計算_Calc!$BX$5:$BX$154,0)),"")</f>
        <v/>
      </c>
      <c r="L30" s="108" t="str">
        <f aca="false">IFERROR(INDEX(16_能力商機矩陣_CapOppMap!$CR$5:$CR$154,MATCH(26,_計算_Calc!$BX$5:$BX$154,0)),"")</f>
        <v/>
      </c>
    </row>
    <row r="31" customFormat="false" ht="27.75" hidden="false" customHeight="true" outlineLevel="0" collapsed="false">
      <c r="A31" s="96" t="str">
        <f aca="false">IF($B31="","",27)</f>
        <v/>
      </c>
      <c r="B31" s="94" t="str">
        <f aca="false">IFERROR(INDEX(03_能力總表_Master!$A$5:$A$154,MATCH(27,_計算_Calc!$BX$5:$BX$154,0)),"")</f>
        <v/>
      </c>
      <c r="C31" s="96" t="str">
        <f aca="false">IFERROR(INDEX(03_能力總表_Master!$B$5:$B$154,MATCH(27,_計算_Calc!$BX$5:$BX$154,0)),"")</f>
        <v/>
      </c>
      <c r="D31" s="96" t="str">
        <f aca="false">IFERROR(INDEX(03_能力總表_Master!$C$5:$C$154,MATCH(27,_計算_Calc!$BX$5:$BX$154,0)),"")</f>
        <v/>
      </c>
      <c r="E31" s="107" t="str">
        <f aca="false">IFERROR(INDEX(03_能力總表_Master!$E$5:$E$154,MATCH(27,_計算_Calc!$BX$5:$BX$154,0)),"")</f>
        <v/>
      </c>
      <c r="F31" s="107" t="str">
        <f aca="false">IFERROR(INDEX(03_能力總表_Master!$K$5:$K$154,MATCH(27,_計算_Calc!$BX$5:$BX$154,0)),"")</f>
        <v/>
      </c>
      <c r="G31" s="107" t="str">
        <f aca="false">IFERROR(INDEX(03_能力總表_Master!$L$5:$L$154,MATCH(27,_計算_Calc!$BX$5:$BX$154,0)),"")</f>
        <v/>
      </c>
      <c r="H31" s="97" t="str">
        <f aca="false">IFERROR(INDEX(03_能力總表_Master!$Q$5:$Q$154,MATCH(27,_計算_Calc!$BX$5:$BX$154,0)),"")</f>
        <v/>
      </c>
      <c r="I31" s="97" t="str">
        <f aca="false">IFERROR(INDEX(03_能力總表_Master!$U$5:$U$154,MATCH(27,_計算_Calc!$BX$5:$BX$154,0)),"")</f>
        <v/>
      </c>
      <c r="J31" s="96" t="str">
        <f aca="false">IFERROR(INDEX(03_能力總表_Master!$W$5:$W$154,MATCH(27,_計算_Calc!$BX$5:$BX$154,0)),"")</f>
        <v/>
      </c>
      <c r="K31" s="107" t="str">
        <f aca="false">IFERROR(INDEX(03_能力總表_Master!$J$5:$J$154,MATCH(27,_計算_Calc!$BX$5:$BX$154,0)),"")</f>
        <v/>
      </c>
      <c r="L31" s="108" t="str">
        <f aca="false">IFERROR(INDEX(16_能力商機矩陣_CapOppMap!$CR$5:$CR$154,MATCH(27,_計算_Calc!$BX$5:$BX$154,0)),"")</f>
        <v/>
      </c>
    </row>
    <row r="32" customFormat="false" ht="27.75" hidden="false" customHeight="true" outlineLevel="0" collapsed="false">
      <c r="A32" s="96" t="str">
        <f aca="false">IF($B32="","",28)</f>
        <v/>
      </c>
      <c r="B32" s="94" t="str">
        <f aca="false">IFERROR(INDEX(03_能力總表_Master!$A$5:$A$154,MATCH(28,_計算_Calc!$BX$5:$BX$154,0)),"")</f>
        <v/>
      </c>
      <c r="C32" s="96" t="str">
        <f aca="false">IFERROR(INDEX(03_能力總表_Master!$B$5:$B$154,MATCH(28,_計算_Calc!$BX$5:$BX$154,0)),"")</f>
        <v/>
      </c>
      <c r="D32" s="96" t="str">
        <f aca="false">IFERROR(INDEX(03_能力總表_Master!$C$5:$C$154,MATCH(28,_計算_Calc!$BX$5:$BX$154,0)),"")</f>
        <v/>
      </c>
      <c r="E32" s="107" t="str">
        <f aca="false">IFERROR(INDEX(03_能力總表_Master!$E$5:$E$154,MATCH(28,_計算_Calc!$BX$5:$BX$154,0)),"")</f>
        <v/>
      </c>
      <c r="F32" s="107" t="str">
        <f aca="false">IFERROR(INDEX(03_能力總表_Master!$K$5:$K$154,MATCH(28,_計算_Calc!$BX$5:$BX$154,0)),"")</f>
        <v/>
      </c>
      <c r="G32" s="107" t="str">
        <f aca="false">IFERROR(INDEX(03_能力總表_Master!$L$5:$L$154,MATCH(28,_計算_Calc!$BX$5:$BX$154,0)),"")</f>
        <v/>
      </c>
      <c r="H32" s="97" t="str">
        <f aca="false">IFERROR(INDEX(03_能力總表_Master!$Q$5:$Q$154,MATCH(28,_計算_Calc!$BX$5:$BX$154,0)),"")</f>
        <v/>
      </c>
      <c r="I32" s="97" t="str">
        <f aca="false">IFERROR(INDEX(03_能力總表_Master!$U$5:$U$154,MATCH(28,_計算_Calc!$BX$5:$BX$154,0)),"")</f>
        <v/>
      </c>
      <c r="J32" s="96" t="str">
        <f aca="false">IFERROR(INDEX(03_能力總表_Master!$W$5:$W$154,MATCH(28,_計算_Calc!$BX$5:$BX$154,0)),"")</f>
        <v/>
      </c>
      <c r="K32" s="107" t="str">
        <f aca="false">IFERROR(INDEX(03_能力總表_Master!$J$5:$J$154,MATCH(28,_計算_Calc!$BX$5:$BX$154,0)),"")</f>
        <v/>
      </c>
      <c r="L32" s="108" t="str">
        <f aca="false">IFERROR(INDEX(16_能力商機矩陣_CapOppMap!$CR$5:$CR$154,MATCH(28,_計算_Calc!$BX$5:$BX$154,0)),"")</f>
        <v/>
      </c>
    </row>
    <row r="33" customFormat="false" ht="27.75" hidden="false" customHeight="true" outlineLevel="0" collapsed="false">
      <c r="A33" s="96" t="str">
        <f aca="false">IF($B33="","",29)</f>
        <v/>
      </c>
      <c r="B33" s="94" t="str">
        <f aca="false">IFERROR(INDEX(03_能力總表_Master!$A$5:$A$154,MATCH(29,_計算_Calc!$BX$5:$BX$154,0)),"")</f>
        <v/>
      </c>
      <c r="C33" s="96" t="str">
        <f aca="false">IFERROR(INDEX(03_能力總表_Master!$B$5:$B$154,MATCH(29,_計算_Calc!$BX$5:$BX$154,0)),"")</f>
        <v/>
      </c>
      <c r="D33" s="96" t="str">
        <f aca="false">IFERROR(INDEX(03_能力總表_Master!$C$5:$C$154,MATCH(29,_計算_Calc!$BX$5:$BX$154,0)),"")</f>
        <v/>
      </c>
      <c r="E33" s="107" t="str">
        <f aca="false">IFERROR(INDEX(03_能力總表_Master!$E$5:$E$154,MATCH(29,_計算_Calc!$BX$5:$BX$154,0)),"")</f>
        <v/>
      </c>
      <c r="F33" s="107" t="str">
        <f aca="false">IFERROR(INDEX(03_能力總表_Master!$K$5:$K$154,MATCH(29,_計算_Calc!$BX$5:$BX$154,0)),"")</f>
        <v/>
      </c>
      <c r="G33" s="107" t="str">
        <f aca="false">IFERROR(INDEX(03_能力總表_Master!$L$5:$L$154,MATCH(29,_計算_Calc!$BX$5:$BX$154,0)),"")</f>
        <v/>
      </c>
      <c r="H33" s="97" t="str">
        <f aca="false">IFERROR(INDEX(03_能力總表_Master!$Q$5:$Q$154,MATCH(29,_計算_Calc!$BX$5:$BX$154,0)),"")</f>
        <v/>
      </c>
      <c r="I33" s="97" t="str">
        <f aca="false">IFERROR(INDEX(03_能力總表_Master!$U$5:$U$154,MATCH(29,_計算_Calc!$BX$5:$BX$154,0)),"")</f>
        <v/>
      </c>
      <c r="J33" s="96" t="str">
        <f aca="false">IFERROR(INDEX(03_能力總表_Master!$W$5:$W$154,MATCH(29,_計算_Calc!$BX$5:$BX$154,0)),"")</f>
        <v/>
      </c>
      <c r="K33" s="107" t="str">
        <f aca="false">IFERROR(INDEX(03_能力總表_Master!$J$5:$J$154,MATCH(29,_計算_Calc!$BX$5:$BX$154,0)),"")</f>
        <v/>
      </c>
      <c r="L33" s="108" t="str">
        <f aca="false">IFERROR(INDEX(16_能力商機矩陣_CapOppMap!$CR$5:$CR$154,MATCH(29,_計算_Calc!$BX$5:$BX$154,0)),"")</f>
        <v/>
      </c>
    </row>
    <row r="34" customFormat="false" ht="27.75" hidden="false" customHeight="true" outlineLevel="0" collapsed="false">
      <c r="A34" s="96" t="str">
        <f aca="false">IF($B34="","",30)</f>
        <v/>
      </c>
      <c r="B34" s="94" t="str">
        <f aca="false">IFERROR(INDEX(03_能力總表_Master!$A$5:$A$154,MATCH(30,_計算_Calc!$BX$5:$BX$154,0)),"")</f>
        <v/>
      </c>
      <c r="C34" s="96" t="str">
        <f aca="false">IFERROR(INDEX(03_能力總表_Master!$B$5:$B$154,MATCH(30,_計算_Calc!$BX$5:$BX$154,0)),"")</f>
        <v/>
      </c>
      <c r="D34" s="96" t="str">
        <f aca="false">IFERROR(INDEX(03_能力總表_Master!$C$5:$C$154,MATCH(30,_計算_Calc!$BX$5:$BX$154,0)),"")</f>
        <v/>
      </c>
      <c r="E34" s="107" t="str">
        <f aca="false">IFERROR(INDEX(03_能力總表_Master!$E$5:$E$154,MATCH(30,_計算_Calc!$BX$5:$BX$154,0)),"")</f>
        <v/>
      </c>
      <c r="F34" s="107" t="str">
        <f aca="false">IFERROR(INDEX(03_能力總表_Master!$K$5:$K$154,MATCH(30,_計算_Calc!$BX$5:$BX$154,0)),"")</f>
        <v/>
      </c>
      <c r="G34" s="107" t="str">
        <f aca="false">IFERROR(INDEX(03_能力總表_Master!$L$5:$L$154,MATCH(30,_計算_Calc!$BX$5:$BX$154,0)),"")</f>
        <v/>
      </c>
      <c r="H34" s="97" t="str">
        <f aca="false">IFERROR(INDEX(03_能力總表_Master!$Q$5:$Q$154,MATCH(30,_計算_Calc!$BX$5:$BX$154,0)),"")</f>
        <v/>
      </c>
      <c r="I34" s="97" t="str">
        <f aca="false">IFERROR(INDEX(03_能力總表_Master!$U$5:$U$154,MATCH(30,_計算_Calc!$BX$5:$BX$154,0)),"")</f>
        <v/>
      </c>
      <c r="J34" s="96" t="str">
        <f aca="false">IFERROR(INDEX(03_能力總表_Master!$W$5:$W$154,MATCH(30,_計算_Calc!$BX$5:$BX$154,0)),"")</f>
        <v/>
      </c>
      <c r="K34" s="107" t="str">
        <f aca="false">IFERROR(INDEX(03_能力總表_Master!$J$5:$J$154,MATCH(30,_計算_Calc!$BX$5:$BX$154,0)),"")</f>
        <v/>
      </c>
      <c r="L34" s="108" t="str">
        <f aca="false">IFERROR(INDEX(16_能力商機矩陣_CapOppMap!$CR$5:$CR$154,MATCH(30,_計算_Calc!$BX$5:$BX$154,0)),"")</f>
        <v/>
      </c>
    </row>
    <row r="36" customFormat="false" ht="25.5" hidden="false" customHeight="true" outlineLevel="0" collapsed="false">
      <c r="A36" s="109" t="s">
        <v>935</v>
      </c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</row>
    <row r="37" customFormat="false" ht="15" hidden="false" customHeight="false" outlineLevel="0" collapsed="false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</row>
  </sheetData>
  <sheetProtection sheet="true" formatColumns="false" formatRows="false" autoFilter="false"/>
  <mergeCells count="4">
    <mergeCell ref="A1:K1"/>
    <mergeCell ref="A2:K2"/>
    <mergeCell ref="A3:K3"/>
    <mergeCell ref="A36:L37"/>
  </mergeCells>
  <conditionalFormatting sqref="L5:L34">
    <cfRule type="cellIs" priority="2" operator="greaterThanOrEqual" aboveAverage="0" equalAverage="0" bottom="0" percent="0" rank="0" text="" dxfId="0">
      <formula>3</formula>
    </cfRule>
  </conditionalFormatting>
  <conditionalFormatting sqref="A5:L34">
    <cfRule type="expression" priority="3" aboveAverage="0" equalAverage="0" bottom="0" percent="0" rank="0" text="" dxfId="39">
      <formula>$B5=""</formula>
    </cfRule>
  </conditionalFormatting>
  <conditionalFormatting sqref="A3">
    <cfRule type="expression" priority="4" aboveAverage="0" equalAverage="0" bottom="0" percent="0" rank="0" text="" dxfId="40">
      <formula>COUNTIF(03_能力總表_Master!$H$5:$H$154,"缺口*")&gt;30</formula>
    </cfRule>
  </conditionalFormatting>
  <hyperlinks>
    <hyperlink ref="V3" r:id="rId1" location="'00A_從這裡開始_Start'!A1" display="⌂ 回導引頁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4" min="2" style="0" width="3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true" outlineLevel="0" max="22" min="15" style="0" width="13"/>
  </cols>
  <sheetData>
    <row r="1" customFormat="false" ht="30" hidden="false" customHeight="true" outlineLevel="0" collapsed="false">
      <c r="A1" s="1" t="s">
        <v>936</v>
      </c>
      <c r="B1" s="1"/>
      <c r="C1" s="1"/>
      <c r="D1" s="1"/>
      <c r="E1" s="1"/>
      <c r="F1" s="1"/>
      <c r="O1" s="2" t="s">
        <v>1</v>
      </c>
    </row>
    <row r="2" customFormat="false" ht="25.5" hidden="false" customHeight="true" outlineLevel="0" collapsed="false">
      <c r="A2" s="4" t="s">
        <v>937</v>
      </c>
      <c r="B2" s="4"/>
      <c r="C2" s="4"/>
      <c r="D2" s="4"/>
      <c r="E2" s="4"/>
      <c r="F2" s="4"/>
      <c r="O2" s="3" t="s">
        <v>938</v>
      </c>
      <c r="P2" s="3" t="s">
        <v>939</v>
      </c>
      <c r="Q2" s="3" t="s">
        <v>940</v>
      </c>
      <c r="R2" s="3" t="s">
        <v>941</v>
      </c>
      <c r="S2" s="3" t="s">
        <v>942</v>
      </c>
      <c r="T2" s="3" t="s">
        <v>943</v>
      </c>
      <c r="U2" s="3" t="s">
        <v>944</v>
      </c>
      <c r="V2" s="3" t="s">
        <v>945</v>
      </c>
    </row>
    <row r="3" customFormat="false" ht="17.15" hidden="false" customHeight="false" outlineLevel="0" collapsed="false">
      <c r="A3" s="5" t="s">
        <v>946</v>
      </c>
      <c r="O3" s="3" t="s">
        <v>947</v>
      </c>
      <c r="P3" s="3" t="s">
        <v>948</v>
      </c>
      <c r="Q3" s="3" t="s">
        <v>949</v>
      </c>
      <c r="R3" s="3" t="s">
        <v>950</v>
      </c>
      <c r="S3" s="3" t="s">
        <v>951</v>
      </c>
      <c r="T3" s="3" t="s">
        <v>952</v>
      </c>
      <c r="U3" s="3" t="s">
        <v>953</v>
      </c>
      <c r="V3" s="3" t="s">
        <v>954</v>
      </c>
    </row>
    <row r="4" customFormat="false" ht="25.5" hidden="false" customHeight="true" outlineLevel="0" collapsed="false">
      <c r="A4" s="6" t="s">
        <v>955</v>
      </c>
      <c r="B4" s="7" t="s">
        <v>956</v>
      </c>
      <c r="C4" s="7"/>
      <c r="D4" s="7"/>
      <c r="E4" s="8" t="s">
        <v>18</v>
      </c>
      <c r="F4" s="8"/>
      <c r="O4" s="3" t="s">
        <v>957</v>
      </c>
      <c r="P4" s="3" t="s">
        <v>958</v>
      </c>
      <c r="Q4" s="3" t="s">
        <v>959</v>
      </c>
      <c r="R4" s="3" t="s">
        <v>960</v>
      </c>
      <c r="S4" s="3" t="s">
        <v>961</v>
      </c>
      <c r="T4" s="3" t="s">
        <v>962</v>
      </c>
      <c r="U4" s="3" t="s">
        <v>963</v>
      </c>
      <c r="V4" s="3" t="s">
        <v>964</v>
      </c>
    </row>
    <row r="5" customFormat="false" ht="17.15" hidden="false" customHeight="false" outlineLevel="0" collapsed="false">
      <c r="O5" s="3" t="s">
        <v>965</v>
      </c>
      <c r="P5" s="3" t="s">
        <v>966</v>
      </c>
      <c r="Q5" s="3" t="s">
        <v>967</v>
      </c>
      <c r="R5" s="3" t="s">
        <v>968</v>
      </c>
      <c r="S5" s="3" t="s">
        <v>969</v>
      </c>
      <c r="T5" s="3" t="s">
        <v>970</v>
      </c>
      <c r="U5" s="3" t="s">
        <v>971</v>
      </c>
      <c r="V5" s="3" t="s">
        <v>972</v>
      </c>
    </row>
    <row r="6" customFormat="false" ht="27.75" hidden="false" customHeight="true" outlineLevel="0" collapsed="false">
      <c r="A6" s="48" t="s">
        <v>973</v>
      </c>
      <c r="B6" s="110" t="str">
        <f aca="false">IFERROR(INDEX($P$2:$P$20,MATCH($B$4,$O$2:$O$20,0)),"")</f>
        <v>資源有限，要決定先把人力和時間投在哪一門生意上。</v>
      </c>
      <c r="C6" s="110"/>
      <c r="D6" s="110"/>
      <c r="E6" s="110"/>
      <c r="F6" s="110"/>
      <c r="O6" s="3" t="s">
        <v>974</v>
      </c>
      <c r="P6" s="3" t="s">
        <v>975</v>
      </c>
      <c r="Q6" s="3" t="s">
        <v>976</v>
      </c>
      <c r="R6" s="3" t="s">
        <v>977</v>
      </c>
      <c r="S6" s="3" t="s">
        <v>978</v>
      </c>
      <c r="T6" s="2" t="s">
        <v>979</v>
      </c>
      <c r="U6" s="3" t="s">
        <v>980</v>
      </c>
      <c r="V6" s="3" t="s">
        <v>981</v>
      </c>
    </row>
    <row r="7" customFormat="false" ht="17.15" hidden="false" customHeight="false" outlineLevel="0" collapsed="false">
      <c r="B7" s="111" t="s">
        <v>982</v>
      </c>
      <c r="O7" s="3" t="s">
        <v>983</v>
      </c>
      <c r="P7" s="3" t="s">
        <v>984</v>
      </c>
      <c r="Q7" s="3" t="s">
        <v>985</v>
      </c>
      <c r="R7" s="3" t="s">
        <v>986</v>
      </c>
      <c r="S7" s="3" t="s">
        <v>987</v>
      </c>
      <c r="T7" s="3" t="s">
        <v>988</v>
      </c>
      <c r="U7" s="3" t="s">
        <v>989</v>
      </c>
      <c r="V7" s="3" t="s">
        <v>990</v>
      </c>
    </row>
    <row r="8" customFormat="false" ht="39.75" hidden="false" customHeight="true" outlineLevel="0" collapsed="false">
      <c r="A8" s="9" t="s">
        <v>991</v>
      </c>
      <c r="B8" s="112" t="str">
        <f aca="false">IFERROR(INDEX($Q$2:$Q$20,MATCH($B$4,$O$2:$O$20,0)),"")</f>
        <v>開 儀表板 → 看 Top 10 攻擊順位表。分數已經自動算好，不用自己排。</v>
      </c>
      <c r="C8" s="112"/>
      <c r="D8" s="112"/>
      <c r="E8" s="112"/>
      <c r="F8" s="112"/>
    </row>
    <row r="9" customFormat="false" ht="39.75" hidden="false" customHeight="true" outlineLevel="0" collapsed="false">
      <c r="A9" s="9" t="s">
        <v>992</v>
      </c>
      <c r="B9" s="112" t="str">
        <f aca="false">IFERROR(INDEX($R$2:$R$20,MATCH($B$4,$O$2:$O$20,0)),"")</f>
        <v>開 15_商機字典 → 看 Y 欄「攻擊優先分」與 Z 欄「順位」，那是完整 85 名的排序。</v>
      </c>
      <c r="C9" s="112"/>
      <c r="D9" s="112"/>
      <c r="E9" s="112"/>
      <c r="F9" s="112"/>
    </row>
    <row r="10" customFormat="false" ht="39.75" hidden="false" customHeight="true" outlineLevel="0" collapsed="false">
      <c r="A10" s="9" t="s">
        <v>993</v>
      </c>
      <c r="B10" s="112" t="str">
        <f aca="false">IFERROR(INDEX($S$2:$S$20,MATCH($B$4,$O$2:$O$20,0)),"")</f>
        <v>對前五名逐一開 17_商機作戰卡，確認能力齊不齊——分數高不等於打得動。</v>
      </c>
      <c r="C10" s="112"/>
      <c r="D10" s="112"/>
      <c r="E10" s="112"/>
      <c r="F10" s="112"/>
    </row>
    <row r="11" customFormat="false" ht="15" hidden="false" customHeight="false" outlineLevel="0" collapsed="false">
      <c r="B11" s="111" t="s">
        <v>994</v>
      </c>
    </row>
    <row r="12" customFormat="false" ht="45.75" hidden="false" customHeight="true" outlineLevel="0" collapsed="false">
      <c r="A12" s="9" t="s">
        <v>995</v>
      </c>
      <c r="B12" s="113" t="str">
        <f aca="false">IFERROR(INDEX($T$2:$T$20,MATCH($B$4,$O$2:$O$20,0)),"")</f>
        <v>攻擊優先分高 ＋ 缺口數少 ＋ 越南現況是③（幾乎沒人做）＝ 優先打。三者衝突時以「缺口數少」優先，因為打得動比分數漂亮重要。</v>
      </c>
      <c r="C12" s="113"/>
      <c r="D12" s="113"/>
      <c r="E12" s="113"/>
      <c r="F12" s="113"/>
    </row>
    <row r="14" customFormat="false" ht="39.75" hidden="false" customHeight="true" outlineLevel="0" collapsed="false">
      <c r="A14" s="47" t="s">
        <v>996</v>
      </c>
      <c r="B14" s="114" t="str">
        <f aca="false">IFERROR(INDEX($U$2:$U$20,MATCH($B$4,$O$2:$O$20,0)),"")</f>
        <v>只看分數高就衝。分數高但缺 3 項核心能力，那是「該去找夥伴」，不是「該打」。</v>
      </c>
      <c r="C14" s="114"/>
      <c r="D14" s="114"/>
      <c r="E14" s="114"/>
      <c r="F14" s="114"/>
    </row>
    <row r="16" customFormat="false" ht="33.75" hidden="false" customHeight="true" outlineLevel="0" collapsed="false">
      <c r="A16" s="115" t="s">
        <v>997</v>
      </c>
      <c r="B16" s="116" t="str">
        <f aca="false">IFERROR(INDEX($V$2:$V$20,MATCH($B$4,$O$2:$O$20,0)),"")</f>
        <v>選定後記到 14_商機清單，並在 10_決策紀錄 留一筆（含為什麼選它、為什麼不選第二名）。</v>
      </c>
      <c r="C16" s="116"/>
      <c r="D16" s="116"/>
      <c r="E16" s="116"/>
      <c r="F16" s="116"/>
    </row>
    <row r="18" customFormat="false" ht="15" hidden="false" customHeight="false" outlineLevel="0" collapsed="false">
      <c r="A18" s="14" t="s">
        <v>998</v>
      </c>
    </row>
    <row r="19" customFormat="false" ht="21.75" hidden="false" customHeight="true" outlineLevel="0" collapsed="false">
      <c r="A19" s="117" t="s">
        <v>999</v>
      </c>
      <c r="B19" s="117"/>
      <c r="C19" s="118" t="s">
        <v>939</v>
      </c>
      <c r="D19" s="118"/>
      <c r="E19" s="118"/>
      <c r="F19" s="118"/>
    </row>
    <row r="20" customFormat="false" ht="21.75" hidden="false" customHeight="true" outlineLevel="0" collapsed="false">
      <c r="A20" s="117" t="s">
        <v>947</v>
      </c>
      <c r="B20" s="117"/>
      <c r="C20" s="118" t="s">
        <v>948</v>
      </c>
      <c r="D20" s="118"/>
      <c r="E20" s="118"/>
      <c r="F20" s="118"/>
    </row>
    <row r="21" customFormat="false" ht="21.75" hidden="false" customHeight="true" outlineLevel="0" collapsed="false">
      <c r="A21" s="117" t="s">
        <v>957</v>
      </c>
      <c r="B21" s="117"/>
      <c r="C21" s="118" t="s">
        <v>958</v>
      </c>
      <c r="D21" s="118"/>
      <c r="E21" s="118"/>
      <c r="F21" s="118"/>
    </row>
    <row r="22" customFormat="false" ht="21.75" hidden="false" customHeight="true" outlineLevel="0" collapsed="false">
      <c r="A22" s="117" t="s">
        <v>965</v>
      </c>
      <c r="B22" s="117"/>
      <c r="C22" s="118" t="s">
        <v>966</v>
      </c>
      <c r="D22" s="118"/>
      <c r="E22" s="118"/>
      <c r="F22" s="118"/>
    </row>
    <row r="23" customFormat="false" ht="21.75" hidden="false" customHeight="true" outlineLevel="0" collapsed="false">
      <c r="A23" s="117" t="s">
        <v>974</v>
      </c>
      <c r="B23" s="117"/>
      <c r="C23" s="118" t="s">
        <v>975</v>
      </c>
      <c r="D23" s="118"/>
      <c r="E23" s="118"/>
      <c r="F23" s="118"/>
    </row>
    <row r="24" customFormat="false" ht="21.75" hidden="false" customHeight="true" outlineLevel="0" collapsed="false">
      <c r="A24" s="117" t="s">
        <v>983</v>
      </c>
      <c r="B24" s="117"/>
      <c r="C24" s="118" t="s">
        <v>984</v>
      </c>
      <c r="D24" s="118"/>
      <c r="E24" s="118"/>
      <c r="F24" s="118"/>
    </row>
    <row r="26" customFormat="false" ht="30" hidden="false" customHeight="true" outlineLevel="0" collapsed="false">
      <c r="A26" s="20" t="s">
        <v>1000</v>
      </c>
      <c r="B26" s="20"/>
      <c r="C26" s="20"/>
      <c r="D26" s="20"/>
      <c r="E26" s="20"/>
      <c r="F26" s="20"/>
    </row>
  </sheetData>
  <sheetProtection sheet="true" formatColumns="false" formatRows="false"/>
  <mergeCells count="24">
    <mergeCell ref="A1:F1"/>
    <mergeCell ref="A2:F2"/>
    <mergeCell ref="B4:D4"/>
    <mergeCell ref="E4:F4"/>
    <mergeCell ref="B6:F6"/>
    <mergeCell ref="B8:F8"/>
    <mergeCell ref="B9:F9"/>
    <mergeCell ref="B10:F10"/>
    <mergeCell ref="B12:F12"/>
    <mergeCell ref="B14:F14"/>
    <mergeCell ref="B16:F16"/>
    <mergeCell ref="A19:B19"/>
    <mergeCell ref="C19:F19"/>
    <mergeCell ref="A20:B20"/>
    <mergeCell ref="C20:F20"/>
    <mergeCell ref="A21:B21"/>
    <mergeCell ref="C21:F21"/>
    <mergeCell ref="A22:B22"/>
    <mergeCell ref="C22:F22"/>
    <mergeCell ref="A23:B23"/>
    <mergeCell ref="C23:F23"/>
    <mergeCell ref="A24:B24"/>
    <mergeCell ref="C24:F24"/>
    <mergeCell ref="A26:F26"/>
  </mergeCells>
  <dataValidations count="1">
    <dataValidation allowBlank="false" errorStyle="stop" operator="between" showDropDown="false" showErrorMessage="true" showInputMessage="false" sqref="B4" type="list">
      <formula1>"① 這 85 個商機，先打哪一個？,② 這個商機，我們打得動嗎？,③ 缺口一堆，先找哪一個夥伴補？,④ 這個夥伴能做什麼？值得談嗎？,⑤ 這一案，到底投不投？,⑥ 這一季，先做哪些事？"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2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62"/>
    <col collapsed="false" customWidth="true" hidden="false" outlineLevel="0" max="5" min="5" style="0" width="22"/>
    <col collapsed="false" customWidth="true" hidden="false" outlineLevel="0" max="6" min="6" style="0" width="3"/>
  </cols>
  <sheetData>
    <row r="2" customFormat="false" ht="23.85" hidden="false" customHeight="false" outlineLevel="0" collapsed="false">
      <c r="B2" s="119" t="s">
        <v>1001</v>
      </c>
    </row>
    <row r="3" customFormat="false" ht="15" hidden="false" customHeight="false" outlineLevel="0" collapsed="false">
      <c r="B3" s="120" t="s">
        <v>1002</v>
      </c>
    </row>
    <row r="5" customFormat="false" ht="15" hidden="false" customHeight="false" outlineLevel="0" collapsed="false">
      <c r="B5" s="121" t="s">
        <v>1003</v>
      </c>
    </row>
    <row r="6" customFormat="false" ht="21.75" hidden="false" customHeight="true" outlineLevel="0" collapsed="false">
      <c r="B6" s="122"/>
      <c r="C6" s="123" t="s">
        <v>1004</v>
      </c>
      <c r="D6" s="124" t="s">
        <v>1005</v>
      </c>
      <c r="E6" s="125" t="s">
        <v>1006</v>
      </c>
    </row>
    <row r="7" customFormat="false" ht="21.75" hidden="false" customHeight="true" outlineLevel="0" collapsed="false">
      <c r="B7" s="126"/>
      <c r="C7" s="127" t="s">
        <v>1007</v>
      </c>
      <c r="D7" s="124" t="s">
        <v>1008</v>
      </c>
      <c r="E7" s="125" t="s">
        <v>1009</v>
      </c>
    </row>
    <row r="8" customFormat="false" ht="21.75" hidden="false" customHeight="true" outlineLevel="0" collapsed="false">
      <c r="B8" s="128"/>
      <c r="C8" s="129" t="s">
        <v>1010</v>
      </c>
      <c r="D8" s="124" t="s">
        <v>1011</v>
      </c>
      <c r="E8" s="125" t="s">
        <v>1012</v>
      </c>
    </row>
    <row r="9" customFormat="false" ht="21.75" hidden="false" customHeight="true" outlineLevel="0" collapsed="false">
      <c r="B9" s="130"/>
      <c r="C9" s="131" t="s">
        <v>1013</v>
      </c>
      <c r="D9" s="124" t="s">
        <v>1014</v>
      </c>
      <c r="E9" s="125" t="s">
        <v>1015</v>
      </c>
    </row>
    <row r="10" customFormat="false" ht="21.75" hidden="false" customHeight="true" outlineLevel="0" collapsed="false">
      <c r="B10" s="132"/>
      <c r="C10" s="133" t="s">
        <v>1016</v>
      </c>
      <c r="D10" s="124" t="s">
        <v>1017</v>
      </c>
      <c r="E10" s="125" t="s">
        <v>1018</v>
      </c>
    </row>
    <row r="11" customFormat="false" ht="21.75" hidden="false" customHeight="true" outlineLevel="0" collapsed="false">
      <c r="B11" s="134"/>
      <c r="C11" s="135" t="s">
        <v>1019</v>
      </c>
      <c r="D11" s="124" t="s">
        <v>1020</v>
      </c>
      <c r="E11" s="125" t="s">
        <v>1021</v>
      </c>
    </row>
    <row r="13" customFormat="false" ht="24" hidden="false" customHeight="true" outlineLevel="0" collapsed="false">
      <c r="B13" s="136" t="s">
        <v>1022</v>
      </c>
      <c r="C13" s="136"/>
      <c r="D13" s="136"/>
      <c r="E13" s="136"/>
    </row>
    <row r="14" customFormat="false" ht="15" hidden="false" customHeight="false" outlineLevel="0" collapsed="false">
      <c r="C14" s="137" t="s">
        <v>1023</v>
      </c>
      <c r="D14" s="137" t="s">
        <v>1024</v>
      </c>
      <c r="E14" s="137" t="s">
        <v>1025</v>
      </c>
    </row>
    <row r="15" customFormat="false" ht="19.5" hidden="false" customHeight="true" outlineLevel="0" collapsed="false">
      <c r="C15" s="138" t="s">
        <v>1026</v>
      </c>
      <c r="D15" s="125" t="s">
        <v>1027</v>
      </c>
      <c r="E15" s="139" t="s">
        <v>1028</v>
      </c>
    </row>
    <row r="16" customFormat="false" ht="24" hidden="false" customHeight="true" outlineLevel="0" collapsed="false">
      <c r="B16" s="140" t="s">
        <v>1029</v>
      </c>
      <c r="C16" s="140"/>
      <c r="D16" s="140"/>
      <c r="E16" s="140"/>
    </row>
    <row r="17" customFormat="false" ht="15" hidden="false" customHeight="false" outlineLevel="0" collapsed="false">
      <c r="C17" s="137" t="s">
        <v>1023</v>
      </c>
      <c r="D17" s="137" t="s">
        <v>1024</v>
      </c>
      <c r="E17" s="137" t="s">
        <v>1025</v>
      </c>
    </row>
    <row r="18" customFormat="false" ht="19.5" hidden="false" customHeight="true" outlineLevel="0" collapsed="false">
      <c r="C18" s="141" t="s">
        <v>1030</v>
      </c>
      <c r="D18" s="125" t="s">
        <v>1031</v>
      </c>
      <c r="E18" s="139" t="s">
        <v>1028</v>
      </c>
    </row>
    <row r="19" customFormat="false" ht="24" hidden="false" customHeight="true" outlineLevel="0" collapsed="false">
      <c r="B19" s="136" t="s">
        <v>1022</v>
      </c>
      <c r="C19" s="136"/>
      <c r="D19" s="136"/>
      <c r="E19" s="136"/>
    </row>
    <row r="20" customFormat="false" ht="15" hidden="false" customHeight="false" outlineLevel="0" collapsed="false">
      <c r="C20" s="137" t="s">
        <v>1023</v>
      </c>
      <c r="D20" s="137" t="s">
        <v>1024</v>
      </c>
      <c r="E20" s="137" t="s">
        <v>1025</v>
      </c>
    </row>
    <row r="21" customFormat="false" ht="19.5" hidden="false" customHeight="true" outlineLevel="0" collapsed="false">
      <c r="C21" s="138" t="s">
        <v>1032</v>
      </c>
      <c r="D21" s="125" t="s">
        <v>1033</v>
      </c>
      <c r="E21" s="139" t="s">
        <v>1028</v>
      </c>
    </row>
    <row r="22" customFormat="false" ht="24" hidden="false" customHeight="true" outlineLevel="0" collapsed="false">
      <c r="B22" s="142" t="s">
        <v>1034</v>
      </c>
      <c r="C22" s="142"/>
      <c r="D22" s="142"/>
      <c r="E22" s="142"/>
    </row>
    <row r="23" customFormat="false" ht="15" hidden="false" customHeight="false" outlineLevel="0" collapsed="false">
      <c r="C23" s="137" t="s">
        <v>1023</v>
      </c>
      <c r="D23" s="137" t="s">
        <v>1024</v>
      </c>
      <c r="E23" s="137" t="s">
        <v>1025</v>
      </c>
    </row>
    <row r="24" customFormat="false" ht="19.5" hidden="false" customHeight="true" outlineLevel="0" collapsed="false">
      <c r="C24" s="138" t="s">
        <v>1035</v>
      </c>
      <c r="D24" s="125" t="s">
        <v>1036</v>
      </c>
      <c r="E24" s="143" t="s">
        <v>1037</v>
      </c>
    </row>
    <row r="25" customFormat="false" ht="24" hidden="false" customHeight="true" outlineLevel="0" collapsed="false">
      <c r="B25" s="140" t="s">
        <v>1029</v>
      </c>
      <c r="C25" s="140"/>
      <c r="D25" s="140"/>
      <c r="E25" s="140"/>
    </row>
    <row r="26" customFormat="false" ht="15" hidden="false" customHeight="false" outlineLevel="0" collapsed="false">
      <c r="C26" s="137" t="s">
        <v>1023</v>
      </c>
      <c r="D26" s="137" t="s">
        <v>1024</v>
      </c>
      <c r="E26" s="137" t="s">
        <v>1025</v>
      </c>
    </row>
    <row r="27" customFormat="false" ht="19.5" hidden="false" customHeight="true" outlineLevel="0" collapsed="false">
      <c r="C27" s="138" t="s">
        <v>1038</v>
      </c>
      <c r="D27" s="125" t="s">
        <v>1039</v>
      </c>
      <c r="E27" s="139" t="s">
        <v>1028</v>
      </c>
    </row>
    <row r="28" customFormat="false" ht="24" hidden="false" customHeight="true" outlineLevel="0" collapsed="false">
      <c r="B28" s="142" t="s">
        <v>1034</v>
      </c>
      <c r="C28" s="142"/>
      <c r="D28" s="142"/>
      <c r="E28" s="142"/>
    </row>
    <row r="29" customFormat="false" ht="15" hidden="false" customHeight="false" outlineLevel="0" collapsed="false">
      <c r="C29" s="137" t="s">
        <v>1023</v>
      </c>
      <c r="D29" s="137" t="s">
        <v>1024</v>
      </c>
      <c r="E29" s="137" t="s">
        <v>1025</v>
      </c>
    </row>
    <row r="30" customFormat="false" ht="19.5" hidden="false" customHeight="true" outlineLevel="0" collapsed="false">
      <c r="C30" s="138" t="s">
        <v>1040</v>
      </c>
      <c r="D30" s="125" t="s">
        <v>1041</v>
      </c>
      <c r="E30" s="139" t="s">
        <v>1028</v>
      </c>
    </row>
    <row r="31" customFormat="false" ht="19.5" hidden="false" customHeight="true" outlineLevel="0" collapsed="false">
      <c r="C31" s="138" t="s">
        <v>1042</v>
      </c>
      <c r="D31" s="125" t="s">
        <v>1043</v>
      </c>
      <c r="E31" s="139" t="s">
        <v>1028</v>
      </c>
    </row>
    <row r="32" customFormat="false" ht="24" hidden="false" customHeight="true" outlineLevel="0" collapsed="false">
      <c r="B32" s="144" t="s">
        <v>1044</v>
      </c>
      <c r="C32" s="144"/>
      <c r="D32" s="144"/>
      <c r="E32" s="144"/>
    </row>
    <row r="33" customFormat="false" ht="15" hidden="false" customHeight="false" outlineLevel="0" collapsed="false">
      <c r="C33" s="137" t="s">
        <v>1023</v>
      </c>
      <c r="D33" s="137" t="s">
        <v>1024</v>
      </c>
      <c r="E33" s="137" t="s">
        <v>1025</v>
      </c>
    </row>
    <row r="34" customFormat="false" ht="19.5" hidden="false" customHeight="true" outlineLevel="0" collapsed="false">
      <c r="C34" s="138" t="s">
        <v>1045</v>
      </c>
      <c r="D34" s="125" t="s">
        <v>1046</v>
      </c>
      <c r="E34" s="139" t="s">
        <v>1028</v>
      </c>
    </row>
    <row r="35" customFormat="false" ht="19.5" hidden="false" customHeight="true" outlineLevel="0" collapsed="false">
      <c r="C35" s="138" t="s">
        <v>1047</v>
      </c>
      <c r="D35" s="125" t="s">
        <v>1048</v>
      </c>
      <c r="E35" s="139" t="s">
        <v>1028</v>
      </c>
    </row>
    <row r="36" customFormat="false" ht="19.5" hidden="false" customHeight="true" outlineLevel="0" collapsed="false">
      <c r="C36" s="138" t="s">
        <v>1049</v>
      </c>
      <c r="D36" s="125" t="s">
        <v>1050</v>
      </c>
      <c r="E36" s="139" t="s">
        <v>1028</v>
      </c>
    </row>
    <row r="37" customFormat="false" ht="19.5" hidden="false" customHeight="true" outlineLevel="0" collapsed="false">
      <c r="C37" s="138" t="s">
        <v>1051</v>
      </c>
      <c r="D37" s="125" t="s">
        <v>1052</v>
      </c>
      <c r="E37" s="139" t="s">
        <v>1028</v>
      </c>
    </row>
    <row r="38" customFormat="false" ht="24" hidden="false" customHeight="true" outlineLevel="0" collapsed="false">
      <c r="B38" s="145" t="s">
        <v>1053</v>
      </c>
      <c r="C38" s="145"/>
      <c r="D38" s="145"/>
      <c r="E38" s="145"/>
    </row>
    <row r="39" customFormat="false" ht="15" hidden="false" customHeight="false" outlineLevel="0" collapsed="false">
      <c r="C39" s="137" t="s">
        <v>1023</v>
      </c>
      <c r="D39" s="137" t="s">
        <v>1024</v>
      </c>
      <c r="E39" s="137" t="s">
        <v>1025</v>
      </c>
    </row>
    <row r="40" customFormat="false" ht="19.5" hidden="false" customHeight="true" outlineLevel="0" collapsed="false">
      <c r="C40" s="138" t="s">
        <v>1054</v>
      </c>
      <c r="D40" s="125" t="s">
        <v>1055</v>
      </c>
      <c r="E40" s="139" t="s">
        <v>1056</v>
      </c>
    </row>
    <row r="42" customFormat="false" ht="15" hidden="false" customHeight="false" outlineLevel="0" collapsed="false">
      <c r="B42" s="121" t="s">
        <v>1057</v>
      </c>
    </row>
    <row r="43" customFormat="false" ht="18.75" hidden="false" customHeight="true" outlineLevel="0" collapsed="false">
      <c r="B43" s="146" t="s">
        <v>1058</v>
      </c>
      <c r="C43" s="146"/>
      <c r="D43" s="146"/>
      <c r="E43" s="146"/>
    </row>
    <row r="44" customFormat="false" ht="18.75" hidden="false" customHeight="true" outlineLevel="0" collapsed="false">
      <c r="B44" s="146" t="s">
        <v>1059</v>
      </c>
      <c r="C44" s="146"/>
      <c r="D44" s="146"/>
      <c r="E44" s="146"/>
    </row>
    <row r="45" customFormat="false" ht="18.75" hidden="false" customHeight="true" outlineLevel="0" collapsed="false">
      <c r="B45" s="146" t="s">
        <v>1060</v>
      </c>
      <c r="C45" s="146"/>
      <c r="D45" s="146"/>
      <c r="E45" s="146"/>
    </row>
    <row r="46" customFormat="false" ht="18.75" hidden="false" customHeight="true" outlineLevel="0" collapsed="false">
      <c r="B46" s="146" t="s">
        <v>1061</v>
      </c>
      <c r="C46" s="146"/>
      <c r="D46" s="146"/>
      <c r="E46" s="146"/>
    </row>
    <row r="47" customFormat="false" ht="18.75" hidden="false" customHeight="true" outlineLevel="0" collapsed="false">
      <c r="B47" s="146" t="s">
        <v>1062</v>
      </c>
      <c r="C47" s="146"/>
      <c r="D47" s="146"/>
      <c r="E47" s="146"/>
    </row>
    <row r="49" customFormat="false" ht="25.5" hidden="false" customHeight="true" outlineLevel="0" collapsed="false">
      <c r="B49" s="147" t="s">
        <v>1063</v>
      </c>
      <c r="C49" s="147"/>
      <c r="D49" s="147"/>
      <c r="E49" s="147"/>
    </row>
  </sheetData>
  <mergeCells count="14">
    <mergeCell ref="B13:E13"/>
    <mergeCell ref="B16:E16"/>
    <mergeCell ref="B19:E19"/>
    <mergeCell ref="B22:E22"/>
    <mergeCell ref="B25:E25"/>
    <mergeCell ref="B28:E28"/>
    <mergeCell ref="B32:E32"/>
    <mergeCell ref="B38:E38"/>
    <mergeCell ref="B43:E43"/>
    <mergeCell ref="B44:E44"/>
    <mergeCell ref="B45:E45"/>
    <mergeCell ref="B46:E46"/>
    <mergeCell ref="B47:E47"/>
    <mergeCell ref="B49:E49"/>
  </mergeCells>
  <hyperlinks>
    <hyperlink ref="C15" r:id="rId1" location="'00A_從這裡開始_Start'!A1" display="00A_從這裡開始_Start"/>
    <hyperlink ref="C18" r:id="rId2" location="'儀表板_Dashboard'!A1" display="儀表板_Dashboard"/>
    <hyperlink ref="C21" r:id="rId3" location="'00C_分頁地圖_Map'!A1" display="00C_分頁地圖_Map"/>
    <hyperlink ref="C24" r:id="rId4" location="'15_商機字典_OppLibrary'!A1" display="15_商機字典_OppLibrary"/>
    <hyperlink ref="C27" r:id="rId5" location="'17_商機作戰卡_OppView'!A1" display="17_商機作戰卡_OppView"/>
    <hyperlink ref="C30" r:id="rId6" location="'12_夥伴視角_PartnerView'!A1" display="12_夥伴視角_PartnerView"/>
    <hyperlink ref="C31" r:id="rId7" location="'11_缺口招募_GapRFI'!A1" display="11_缺口招募_GapRFI"/>
    <hyperlink ref="C34" r:id="rId8" location="'18_層級地圖_Layers'!A1" display="18_層級地圖_Layers"/>
    <hyperlink ref="C35" r:id="rId9" location="'19_商機趨勢_OppTrend'!A1" display="19_商機趨勢_OppTrend"/>
    <hyperlink ref="C36" r:id="rId10" location="'20_能力趨勢_CapTrend'!A1" display="20_能力趨勢_CapTrend"/>
    <hyperlink ref="C37" r:id="rId11" location="'21_情報來源_Sources'!A1" display="21_情報來源_Sources"/>
    <hyperlink ref="C40" r:id="rId12" location="'99_代碼表_Codebook'!A1" display="99_代碼表_Codeboo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20"/>
    <col collapsed="false" customWidth="true" hidden="false" outlineLevel="0" max="10" min="10" style="0" width="3"/>
  </cols>
  <sheetData>
    <row r="1" customFormat="false" ht="30" hidden="false" customHeight="true" outlineLevel="0" collapsed="false">
      <c r="A1" s="1" t="s">
        <v>1064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4" t="s">
        <v>1065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31.5" hidden="false" customHeight="true" outlineLevel="0" collapsed="false">
      <c r="A3" s="148" t="s">
        <v>1066</v>
      </c>
      <c r="B3" s="148"/>
      <c r="C3" s="148"/>
      <c r="D3" s="148"/>
      <c r="E3" s="148"/>
      <c r="F3" s="148"/>
      <c r="G3" s="148"/>
      <c r="H3" s="148"/>
      <c r="I3" s="148"/>
      <c r="J3" s="148"/>
    </row>
    <row r="4" customFormat="false" ht="15" hidden="false" customHeight="false" outlineLevel="0" collapsed="false">
      <c r="B4" s="14" t="s">
        <v>1067</v>
      </c>
    </row>
    <row r="5" customFormat="false" ht="24" hidden="false" customHeight="true" outlineLevel="0" collapsed="false">
      <c r="B5" s="149" t="s">
        <v>1068</v>
      </c>
      <c r="C5" s="149"/>
      <c r="D5" s="150" t="s">
        <v>1069</v>
      </c>
      <c r="E5" s="150"/>
      <c r="F5" s="150"/>
      <c r="G5" s="151" t="s">
        <v>1070</v>
      </c>
      <c r="H5" s="151"/>
      <c r="I5" s="151"/>
    </row>
    <row r="6" customFormat="false" ht="24" hidden="false" customHeight="true" outlineLevel="0" collapsed="false">
      <c r="B6" s="152" t="s">
        <v>1071</v>
      </c>
      <c r="C6" s="152"/>
      <c r="D6" s="150" t="s">
        <v>1072</v>
      </c>
      <c r="E6" s="150"/>
      <c r="F6" s="150"/>
      <c r="G6" s="151" t="s">
        <v>1073</v>
      </c>
      <c r="H6" s="151"/>
      <c r="I6" s="151"/>
    </row>
    <row r="7" customFormat="false" ht="24" hidden="false" customHeight="true" outlineLevel="0" collapsed="false">
      <c r="B7" s="153" t="s">
        <v>1074</v>
      </c>
      <c r="C7" s="153"/>
      <c r="D7" s="150" t="s">
        <v>1075</v>
      </c>
      <c r="E7" s="150"/>
      <c r="F7" s="150"/>
      <c r="G7" s="151" t="s">
        <v>1076</v>
      </c>
      <c r="H7" s="151"/>
      <c r="I7" s="151"/>
    </row>
    <row r="9" customFormat="false" ht="27.75" hidden="false" customHeight="true" outlineLevel="0" collapsed="false">
      <c r="B9" s="154" t="s">
        <v>1077</v>
      </c>
      <c r="C9" s="154"/>
      <c r="D9" s="154"/>
      <c r="E9" s="154"/>
      <c r="F9" s="154"/>
      <c r="G9" s="154"/>
      <c r="H9" s="154"/>
      <c r="I9" s="154"/>
    </row>
    <row r="11" customFormat="false" ht="15" hidden="false" customHeight="false" outlineLevel="0" collapsed="false">
      <c r="B11" s="14" t="s">
        <v>1078</v>
      </c>
    </row>
    <row r="12" customFormat="false" ht="18.75" hidden="false" customHeight="true" outlineLevel="0" collapsed="false">
      <c r="B12" s="155" t="s">
        <v>1079</v>
      </c>
      <c r="C12" s="155"/>
      <c r="D12" s="149" t="s">
        <v>1080</v>
      </c>
      <c r="E12" s="149"/>
      <c r="F12" s="156" t="s">
        <v>1081</v>
      </c>
      <c r="G12" s="156"/>
      <c r="H12" s="157" t="s">
        <v>1082</v>
      </c>
      <c r="I12" s="157"/>
    </row>
    <row r="13" customFormat="false" ht="18.75" hidden="false" customHeight="true" outlineLevel="0" collapsed="false">
      <c r="B13" s="155"/>
      <c r="C13" s="155"/>
      <c r="D13" s="149"/>
      <c r="E13" s="149"/>
      <c r="F13" s="156"/>
      <c r="G13" s="156"/>
      <c r="H13" s="157"/>
      <c r="I13" s="157"/>
    </row>
    <row r="14" customFormat="false" ht="12.75" hidden="false" customHeight="true" outlineLevel="0" collapsed="false">
      <c r="B14" s="158" t="s">
        <v>1083</v>
      </c>
      <c r="D14" s="158" t="s">
        <v>1083</v>
      </c>
      <c r="F14" s="158" t="s">
        <v>1083</v>
      </c>
      <c r="H14" s="158" t="s">
        <v>1083</v>
      </c>
    </row>
    <row r="15" customFormat="false" ht="22.5" hidden="false" customHeight="true" outlineLevel="0" collapsed="false">
      <c r="B15" s="159" t="s">
        <v>1084</v>
      </c>
      <c r="C15" s="159"/>
      <c r="D15" s="159"/>
      <c r="E15" s="159"/>
      <c r="F15" s="159"/>
      <c r="G15" s="159"/>
      <c r="H15" s="159"/>
      <c r="I15" s="159"/>
    </row>
    <row r="16" customFormat="false" ht="22.5" hidden="false" customHeight="true" outlineLevel="0" collapsed="false">
      <c r="B16" s="159"/>
      <c r="C16" s="159"/>
      <c r="D16" s="159"/>
      <c r="E16" s="159"/>
      <c r="F16" s="159"/>
      <c r="G16" s="159"/>
      <c r="H16" s="159"/>
      <c r="I16" s="159"/>
    </row>
    <row r="17" customFormat="false" ht="12.75" hidden="false" customHeight="true" outlineLevel="0" collapsed="false">
      <c r="C17" s="158" t="s">
        <v>1083</v>
      </c>
      <c r="G17" s="158" t="s">
        <v>1083</v>
      </c>
    </row>
    <row r="18" customFormat="false" ht="24.75" hidden="false" customHeight="true" outlineLevel="0" collapsed="false">
      <c r="B18" s="160" t="s">
        <v>1085</v>
      </c>
      <c r="C18" s="160"/>
      <c r="D18" s="160"/>
      <c r="E18" s="160"/>
      <c r="F18" s="45" t="s">
        <v>1086</v>
      </c>
      <c r="G18" s="45"/>
      <c r="H18" s="45"/>
      <c r="I18" s="45"/>
    </row>
    <row r="19" customFormat="false" ht="24.75" hidden="false" customHeight="true" outlineLevel="0" collapsed="false">
      <c r="B19" s="160"/>
      <c r="C19" s="160"/>
      <c r="D19" s="160"/>
      <c r="E19" s="160"/>
      <c r="F19" s="45"/>
      <c r="G19" s="45"/>
      <c r="H19" s="45"/>
      <c r="I19" s="45"/>
    </row>
    <row r="20" customFormat="false" ht="12.75" hidden="false" customHeight="true" outlineLevel="0" collapsed="false">
      <c r="B20" s="158" t="s">
        <v>1083</v>
      </c>
      <c r="D20" s="158" t="s">
        <v>1083</v>
      </c>
      <c r="F20" s="158" t="s">
        <v>1083</v>
      </c>
      <c r="H20" s="158" t="s">
        <v>1083</v>
      </c>
    </row>
    <row r="21" customFormat="false" ht="24" hidden="false" customHeight="true" outlineLevel="0" collapsed="false">
      <c r="B21" s="155" t="s">
        <v>1087</v>
      </c>
      <c r="C21" s="155"/>
      <c r="D21" s="153" t="s">
        <v>1088</v>
      </c>
      <c r="E21" s="153"/>
      <c r="F21" s="157" t="s">
        <v>1089</v>
      </c>
      <c r="G21" s="157"/>
      <c r="H21" s="161" t="s">
        <v>1090</v>
      </c>
      <c r="I21" s="161"/>
    </row>
    <row r="23" customFormat="false" ht="15" hidden="false" customHeight="false" outlineLevel="0" collapsed="false">
      <c r="B23" s="14" t="s">
        <v>1091</v>
      </c>
    </row>
    <row r="24" customFormat="false" ht="18" hidden="false" customHeight="true" outlineLevel="0" collapsed="false">
      <c r="B24" s="36" t="s">
        <v>1092</v>
      </c>
      <c r="C24" s="36" t="s">
        <v>1093</v>
      </c>
      <c r="D24" s="36"/>
      <c r="E24" s="36"/>
      <c r="F24" s="36" t="s">
        <v>1094</v>
      </c>
      <c r="G24" s="36" t="s">
        <v>1095</v>
      </c>
      <c r="H24" s="36"/>
      <c r="I24" s="36"/>
    </row>
    <row r="25" customFormat="false" ht="19.5" hidden="false" customHeight="true" outlineLevel="0" collapsed="false">
      <c r="B25" s="162" t="s">
        <v>1096</v>
      </c>
      <c r="C25" s="163" t="s">
        <v>1097</v>
      </c>
      <c r="D25" s="163"/>
      <c r="E25" s="163"/>
      <c r="F25" s="164" t="s">
        <v>1098</v>
      </c>
      <c r="G25" s="165" t="s">
        <v>1099</v>
      </c>
      <c r="H25" s="165"/>
      <c r="I25" s="165"/>
    </row>
    <row r="26" customFormat="false" ht="19.5" hidden="false" customHeight="true" outlineLevel="0" collapsed="false">
      <c r="B26" s="162" t="s">
        <v>1100</v>
      </c>
      <c r="C26" s="163" t="s">
        <v>1101</v>
      </c>
      <c r="D26" s="163"/>
      <c r="E26" s="163"/>
      <c r="F26" s="164" t="s">
        <v>1102</v>
      </c>
      <c r="G26" s="165" t="s">
        <v>1103</v>
      </c>
      <c r="H26" s="165"/>
      <c r="I26" s="165"/>
    </row>
    <row r="27" customFormat="false" ht="19.5" hidden="false" customHeight="true" outlineLevel="0" collapsed="false">
      <c r="B27" s="162" t="s">
        <v>1104</v>
      </c>
      <c r="C27" s="166" t="s">
        <v>1105</v>
      </c>
      <c r="D27" s="166"/>
      <c r="E27" s="166"/>
      <c r="F27" s="164" t="s">
        <v>1106</v>
      </c>
      <c r="G27" s="165" t="s">
        <v>1107</v>
      </c>
      <c r="H27" s="165"/>
      <c r="I27" s="165"/>
    </row>
    <row r="28" customFormat="false" ht="19.5" hidden="false" customHeight="true" outlineLevel="0" collapsed="false">
      <c r="B28" s="162" t="s">
        <v>1108</v>
      </c>
      <c r="C28" s="166" t="s">
        <v>1109</v>
      </c>
      <c r="D28" s="166"/>
      <c r="E28" s="166"/>
      <c r="F28" s="164" t="s">
        <v>1106</v>
      </c>
      <c r="G28" s="165" t="s">
        <v>1110</v>
      </c>
      <c r="H28" s="165"/>
      <c r="I28" s="165"/>
    </row>
    <row r="29" customFormat="false" ht="19.5" hidden="false" customHeight="true" outlineLevel="0" collapsed="false">
      <c r="B29" s="167" t="s">
        <v>1111</v>
      </c>
      <c r="C29" s="168" t="s">
        <v>1112</v>
      </c>
      <c r="D29" s="168"/>
      <c r="E29" s="168"/>
      <c r="F29" s="169" t="s">
        <v>1113</v>
      </c>
      <c r="G29" s="170" t="s">
        <v>1114</v>
      </c>
      <c r="H29" s="170"/>
      <c r="I29" s="170"/>
    </row>
    <row r="31" customFormat="false" ht="19.4" hidden="false" customHeight="false" outlineLevel="0" collapsed="false">
      <c r="B31" s="14" t="s">
        <v>1115</v>
      </c>
    </row>
    <row r="32" customFormat="false" ht="19.5" hidden="false" customHeight="true" outlineLevel="0" collapsed="false">
      <c r="B32" s="171" t="s">
        <v>1116</v>
      </c>
      <c r="C32" s="172" t="s">
        <v>1117</v>
      </c>
      <c r="D32" s="172"/>
      <c r="E32" s="173" t="s">
        <v>1118</v>
      </c>
      <c r="F32" s="173"/>
      <c r="G32" s="173"/>
      <c r="H32" s="173"/>
      <c r="I32" s="173"/>
    </row>
    <row r="33" customFormat="false" ht="19.5" hidden="false" customHeight="true" outlineLevel="0" collapsed="false">
      <c r="B33" s="171" t="s">
        <v>1119</v>
      </c>
      <c r="C33" s="172" t="s">
        <v>1120</v>
      </c>
      <c r="D33" s="172"/>
      <c r="E33" s="173" t="s">
        <v>1121</v>
      </c>
      <c r="F33" s="173"/>
      <c r="G33" s="173"/>
      <c r="H33" s="173"/>
      <c r="I33" s="173"/>
    </row>
    <row r="34" customFormat="false" ht="19.5" hidden="false" customHeight="true" outlineLevel="0" collapsed="false">
      <c r="B34" s="171" t="s">
        <v>1122</v>
      </c>
      <c r="C34" s="172" t="s">
        <v>1123</v>
      </c>
      <c r="D34" s="172"/>
      <c r="E34" s="173" t="s">
        <v>1124</v>
      </c>
      <c r="F34" s="173"/>
      <c r="G34" s="173"/>
      <c r="H34" s="173"/>
      <c r="I34" s="173"/>
    </row>
    <row r="35" customFormat="false" ht="19.5" hidden="false" customHeight="true" outlineLevel="0" collapsed="false">
      <c r="B35" s="171" t="s">
        <v>1125</v>
      </c>
      <c r="C35" s="172" t="s">
        <v>1126</v>
      </c>
      <c r="D35" s="172"/>
      <c r="E35" s="173" t="s">
        <v>1127</v>
      </c>
      <c r="F35" s="173"/>
      <c r="G35" s="173"/>
      <c r="H35" s="173"/>
      <c r="I35" s="173"/>
    </row>
    <row r="36" customFormat="false" ht="19.5" hidden="false" customHeight="true" outlineLevel="0" collapsed="false">
      <c r="B36" s="171" t="s">
        <v>1128</v>
      </c>
      <c r="C36" s="172" t="s">
        <v>1129</v>
      </c>
      <c r="D36" s="172"/>
      <c r="E36" s="173" t="s">
        <v>1130</v>
      </c>
      <c r="F36" s="173"/>
      <c r="G36" s="173"/>
      <c r="H36" s="173"/>
      <c r="I36" s="173"/>
    </row>
    <row r="38" customFormat="false" ht="15" hidden="false" customHeight="false" outlineLevel="0" collapsed="false">
      <c r="B38" s="14" t="s">
        <v>1131</v>
      </c>
    </row>
    <row r="39" customFormat="false" ht="19.5" hidden="false" customHeight="true" outlineLevel="0" collapsed="false">
      <c r="B39" s="174" t="s">
        <v>1132</v>
      </c>
      <c r="C39" s="174"/>
      <c r="D39" s="175" t="s">
        <v>1133</v>
      </c>
      <c r="E39" s="175"/>
      <c r="F39" s="175"/>
      <c r="G39" s="175"/>
      <c r="H39" s="175"/>
      <c r="I39" s="175"/>
    </row>
    <row r="40" customFormat="false" ht="27.75" hidden="false" customHeight="true" outlineLevel="0" collapsed="false">
      <c r="B40" s="174" t="s">
        <v>1134</v>
      </c>
      <c r="C40" s="174"/>
      <c r="D40" s="175" t="s">
        <v>1135</v>
      </c>
      <c r="E40" s="175"/>
      <c r="F40" s="175"/>
      <c r="G40" s="175"/>
      <c r="H40" s="175"/>
      <c r="I40" s="175"/>
    </row>
    <row r="41" customFormat="false" ht="27.75" hidden="false" customHeight="true" outlineLevel="0" collapsed="false">
      <c r="B41" s="174" t="s">
        <v>1136</v>
      </c>
      <c r="C41" s="174"/>
      <c r="D41" s="175" t="s">
        <v>1137</v>
      </c>
      <c r="E41" s="175"/>
      <c r="F41" s="175"/>
      <c r="G41" s="175"/>
      <c r="H41" s="175"/>
      <c r="I41" s="175"/>
    </row>
    <row r="42" customFormat="false" ht="19.5" hidden="false" customHeight="true" outlineLevel="0" collapsed="false">
      <c r="B42" s="174" t="s">
        <v>1138</v>
      </c>
      <c r="C42" s="174"/>
      <c r="D42" s="175" t="s">
        <v>1139</v>
      </c>
      <c r="E42" s="175"/>
      <c r="F42" s="175"/>
      <c r="G42" s="175"/>
      <c r="H42" s="175"/>
      <c r="I42" s="175"/>
    </row>
    <row r="43" customFormat="false" ht="19.5" hidden="false" customHeight="true" outlineLevel="0" collapsed="false">
      <c r="B43" s="174" t="s">
        <v>1140</v>
      </c>
      <c r="C43" s="174"/>
      <c r="D43" s="175" t="s">
        <v>1141</v>
      </c>
      <c r="E43" s="175"/>
      <c r="F43" s="175"/>
      <c r="G43" s="175"/>
      <c r="H43" s="175"/>
      <c r="I43" s="175"/>
    </row>
    <row r="44" customFormat="false" ht="27.75" hidden="false" customHeight="true" outlineLevel="0" collapsed="false">
      <c r="B44" s="174" t="s">
        <v>1142</v>
      </c>
      <c r="C44" s="174"/>
      <c r="D44" s="176" t="s">
        <v>1143</v>
      </c>
      <c r="E44" s="176"/>
      <c r="F44" s="176"/>
      <c r="G44" s="176"/>
      <c r="H44" s="176"/>
      <c r="I44" s="176"/>
    </row>
    <row r="45" customFormat="false" ht="19.5" hidden="false" customHeight="true" outlineLevel="0" collapsed="false">
      <c r="B45" s="174" t="s">
        <v>1144</v>
      </c>
      <c r="C45" s="174"/>
      <c r="D45" s="175" t="s">
        <v>1145</v>
      </c>
      <c r="E45" s="175"/>
      <c r="F45" s="175"/>
      <c r="G45" s="175"/>
      <c r="H45" s="175"/>
      <c r="I45" s="175"/>
    </row>
    <row r="47" customFormat="false" ht="15" hidden="false" customHeight="false" outlineLevel="0" collapsed="false">
      <c r="B47" s="14" t="s">
        <v>1146</v>
      </c>
    </row>
    <row r="48" customFormat="false" ht="24" hidden="false" customHeight="true" outlineLevel="0" collapsed="false">
      <c r="B48" s="177" t="s">
        <v>1147</v>
      </c>
      <c r="C48" s="178" t="s">
        <v>1148</v>
      </c>
      <c r="D48" s="179" t="s">
        <v>1149</v>
      </c>
      <c r="E48" s="180" t="s">
        <v>1150</v>
      </c>
      <c r="F48" s="181" t="s">
        <v>1151</v>
      </c>
    </row>
    <row r="50" customFormat="false" ht="15" hidden="false" customHeight="true" outlineLevel="0" collapsed="false">
      <c r="B50" s="182" t="s">
        <v>1152</v>
      </c>
      <c r="C50" s="182"/>
      <c r="D50" s="182"/>
      <c r="E50" s="182"/>
      <c r="F50" s="182"/>
      <c r="G50" s="182"/>
      <c r="H50" s="182"/>
      <c r="I50" s="182"/>
    </row>
    <row r="51" customFormat="false" ht="15" hidden="false" customHeight="false" outlineLevel="0" collapsed="false">
      <c r="B51" s="182"/>
      <c r="C51" s="182"/>
      <c r="D51" s="182"/>
      <c r="E51" s="182"/>
      <c r="F51" s="182"/>
      <c r="G51" s="182"/>
      <c r="H51" s="182"/>
      <c r="I51" s="182"/>
    </row>
    <row r="53" customFormat="false" ht="15" hidden="false" customHeight="false" outlineLevel="0" collapsed="false">
      <c r="B53" s="183" t="s">
        <v>1153</v>
      </c>
    </row>
    <row r="54" customFormat="false" ht="15" hidden="false" customHeight="false" outlineLevel="0" collapsed="false">
      <c r="B54" s="184" t="s">
        <v>1154</v>
      </c>
      <c r="D54" s="184" t="s">
        <v>1155</v>
      </c>
      <c r="F54" s="184" t="s">
        <v>1156</v>
      </c>
      <c r="H54" s="184" t="s">
        <v>1157</v>
      </c>
    </row>
    <row r="55" customFormat="false" ht="15" hidden="false" customHeight="false" outlineLevel="0" collapsed="false">
      <c r="B55" s="184" t="s">
        <v>1158</v>
      </c>
      <c r="D55" s="184" t="s">
        <v>1159</v>
      </c>
      <c r="F55" s="184" t="s">
        <v>1160</v>
      </c>
      <c r="H55" s="184" t="s">
        <v>1161</v>
      </c>
    </row>
    <row r="56" customFormat="false" ht="15" hidden="false" customHeight="false" outlineLevel="0" collapsed="false">
      <c r="B56" s="184" t="s">
        <v>1162</v>
      </c>
      <c r="D56" s="184" t="s">
        <v>1163</v>
      </c>
      <c r="F56" s="184" t="s">
        <v>1164</v>
      </c>
    </row>
    <row r="62" customFormat="false" ht="19.4" hidden="false" customHeight="false" outlineLevel="0" collapsed="false">
      <c r="B62" s="14" t="s">
        <v>1165</v>
      </c>
    </row>
    <row r="63" customFormat="false" ht="21.75" hidden="false" customHeight="true" outlineLevel="0" collapsed="false">
      <c r="B63" s="185" t="s">
        <v>1166</v>
      </c>
      <c r="C63" s="185"/>
      <c r="D63" s="186" t="s">
        <v>1167</v>
      </c>
      <c r="E63" s="186"/>
      <c r="F63" s="186"/>
      <c r="G63" s="186"/>
      <c r="H63" s="186"/>
      <c r="I63" s="186"/>
    </row>
    <row r="64" customFormat="false" ht="21.75" hidden="false" customHeight="true" outlineLevel="0" collapsed="false">
      <c r="B64" s="185" t="s">
        <v>1168</v>
      </c>
      <c r="C64" s="185"/>
      <c r="D64" s="186" t="s">
        <v>1169</v>
      </c>
      <c r="E64" s="186"/>
      <c r="F64" s="186"/>
      <c r="G64" s="186"/>
      <c r="H64" s="186"/>
      <c r="I64" s="186"/>
    </row>
    <row r="65" customFormat="false" ht="21.75" hidden="false" customHeight="true" outlineLevel="0" collapsed="false">
      <c r="B65" s="185" t="s">
        <v>1170</v>
      </c>
      <c r="C65" s="185"/>
      <c r="D65" s="186" t="s">
        <v>1171</v>
      </c>
      <c r="E65" s="186"/>
      <c r="F65" s="186"/>
      <c r="G65" s="186"/>
      <c r="H65" s="186"/>
      <c r="I65" s="186"/>
    </row>
    <row r="66" customFormat="false" ht="21.75" hidden="false" customHeight="true" outlineLevel="0" collapsed="false">
      <c r="B66" s="185" t="s">
        <v>1172</v>
      </c>
      <c r="C66" s="185"/>
      <c r="D66" s="186" t="s">
        <v>1173</v>
      </c>
      <c r="E66" s="186"/>
      <c r="F66" s="186"/>
      <c r="G66" s="186"/>
      <c r="H66" s="186"/>
      <c r="I66" s="186"/>
    </row>
    <row r="67" customFormat="false" ht="21.75" hidden="false" customHeight="true" outlineLevel="0" collapsed="false">
      <c r="B67" s="185" t="s">
        <v>1174</v>
      </c>
      <c r="C67" s="185"/>
      <c r="D67" s="186" t="s">
        <v>1175</v>
      </c>
      <c r="E67" s="186"/>
      <c r="F67" s="186"/>
      <c r="G67" s="186"/>
      <c r="H67" s="186"/>
      <c r="I67" s="186"/>
    </row>
    <row r="68" customFormat="false" ht="21.75" hidden="false" customHeight="true" outlineLevel="0" collapsed="false">
      <c r="B68" s="185" t="s">
        <v>1176</v>
      </c>
      <c r="C68" s="185"/>
      <c r="D68" s="186" t="s">
        <v>1177</v>
      </c>
      <c r="E68" s="186"/>
      <c r="F68" s="186"/>
      <c r="G68" s="186"/>
      <c r="H68" s="186"/>
      <c r="I68" s="186"/>
    </row>
    <row r="69" customFormat="false" ht="21.75" hidden="false" customHeight="true" outlineLevel="0" collapsed="false">
      <c r="B69" s="185" t="s">
        <v>1178</v>
      </c>
      <c r="C69" s="185"/>
      <c r="D69" s="186" t="s">
        <v>1179</v>
      </c>
      <c r="E69" s="186"/>
      <c r="F69" s="186"/>
      <c r="G69" s="186"/>
      <c r="H69" s="186"/>
      <c r="I69" s="186"/>
    </row>
    <row r="70" customFormat="false" ht="21.75" hidden="false" customHeight="true" outlineLevel="0" collapsed="false">
      <c r="B70" s="185" t="s">
        <v>1180</v>
      </c>
      <c r="C70" s="185"/>
      <c r="D70" s="186" t="s">
        <v>1181</v>
      </c>
      <c r="E70" s="186"/>
      <c r="F70" s="186"/>
      <c r="G70" s="186"/>
      <c r="H70" s="186"/>
      <c r="I70" s="186"/>
    </row>
    <row r="71" customFormat="false" ht="21.75" hidden="false" customHeight="true" outlineLevel="0" collapsed="false">
      <c r="B71" s="185" t="s">
        <v>1182</v>
      </c>
      <c r="C71" s="185"/>
      <c r="D71" s="186" t="s">
        <v>1183</v>
      </c>
      <c r="E71" s="186"/>
      <c r="F71" s="186"/>
      <c r="G71" s="186"/>
      <c r="H71" s="186"/>
      <c r="I71" s="186"/>
    </row>
    <row r="72" customFormat="false" ht="21.75" hidden="false" customHeight="true" outlineLevel="0" collapsed="false">
      <c r="B72" s="185" t="s">
        <v>1184</v>
      </c>
      <c r="C72" s="185"/>
      <c r="D72" s="186" t="s">
        <v>1185</v>
      </c>
      <c r="E72" s="186"/>
      <c r="F72" s="186"/>
      <c r="G72" s="186"/>
      <c r="H72" s="186"/>
      <c r="I72" s="186"/>
    </row>
    <row r="73" customFormat="false" ht="21.75" hidden="false" customHeight="true" outlineLevel="0" collapsed="false">
      <c r="B73" s="185" t="s">
        <v>1186</v>
      </c>
      <c r="C73" s="185"/>
      <c r="D73" s="186" t="s">
        <v>1187</v>
      </c>
      <c r="E73" s="186"/>
      <c r="F73" s="186"/>
      <c r="G73" s="186"/>
      <c r="H73" s="186"/>
      <c r="I73" s="186"/>
    </row>
    <row r="74" customFormat="false" ht="21.75" hidden="false" customHeight="true" outlineLevel="0" collapsed="false">
      <c r="B74" s="185" t="s">
        <v>1188</v>
      </c>
      <c r="C74" s="185"/>
      <c r="D74" s="187" t="s">
        <v>1189</v>
      </c>
      <c r="E74" s="187"/>
      <c r="F74" s="187"/>
      <c r="G74" s="187"/>
      <c r="H74" s="187"/>
      <c r="I74" s="187"/>
    </row>
    <row r="75" customFormat="false" ht="21.75" hidden="false" customHeight="true" outlineLevel="0" collapsed="false">
      <c r="B75" s="185" t="s">
        <v>1190</v>
      </c>
      <c r="C75" s="185"/>
      <c r="D75" s="187" t="s">
        <v>1191</v>
      </c>
      <c r="E75" s="187"/>
      <c r="F75" s="187"/>
      <c r="G75" s="187"/>
      <c r="H75" s="187"/>
      <c r="I75" s="187"/>
    </row>
    <row r="76" customFormat="false" ht="21.75" hidden="false" customHeight="true" outlineLevel="0" collapsed="false">
      <c r="B76" s="185" t="s">
        <v>1192</v>
      </c>
      <c r="C76" s="185"/>
      <c r="D76" s="186" t="s">
        <v>1193</v>
      </c>
      <c r="E76" s="186"/>
      <c r="F76" s="186"/>
      <c r="G76" s="186"/>
      <c r="H76" s="186"/>
      <c r="I76" s="186"/>
    </row>
    <row r="77" customFormat="false" ht="21.75" hidden="false" customHeight="true" outlineLevel="0" collapsed="false">
      <c r="B77" s="174" t="s">
        <v>1194</v>
      </c>
      <c r="C77" s="174"/>
      <c r="D77" s="186" t="s">
        <v>1195</v>
      </c>
      <c r="E77" s="186"/>
      <c r="F77" s="186"/>
      <c r="G77" s="186"/>
      <c r="H77" s="186"/>
      <c r="I77" s="186"/>
    </row>
    <row r="78" customFormat="false" ht="21.75" hidden="false" customHeight="true" outlineLevel="0" collapsed="false">
      <c r="B78" s="174" t="s">
        <v>1196</v>
      </c>
      <c r="C78" s="174"/>
      <c r="D78" s="186" t="s">
        <v>1197</v>
      </c>
      <c r="E78" s="186"/>
      <c r="F78" s="186"/>
      <c r="G78" s="186"/>
      <c r="H78" s="186"/>
      <c r="I78" s="186"/>
    </row>
    <row r="79" customFormat="false" ht="21.75" hidden="false" customHeight="true" outlineLevel="0" collapsed="false">
      <c r="B79" s="174" t="s">
        <v>1198</v>
      </c>
      <c r="C79" s="174"/>
      <c r="D79" s="186" t="s">
        <v>1199</v>
      </c>
      <c r="E79" s="186"/>
      <c r="F79" s="186"/>
      <c r="G79" s="186"/>
      <c r="H79" s="186"/>
      <c r="I79" s="186"/>
    </row>
    <row r="80" customFormat="false" ht="21.75" hidden="false" customHeight="true" outlineLevel="0" collapsed="false">
      <c r="B80" s="174" t="s">
        <v>1200</v>
      </c>
      <c r="C80" s="174"/>
      <c r="D80" s="187" t="s">
        <v>1201</v>
      </c>
      <c r="E80" s="187"/>
      <c r="F80" s="187"/>
      <c r="G80" s="187"/>
      <c r="H80" s="187"/>
      <c r="I80" s="187"/>
    </row>
    <row r="81" customFormat="false" ht="21.75" hidden="false" customHeight="true" outlineLevel="0" collapsed="false">
      <c r="B81" s="185" t="s">
        <v>1202</v>
      </c>
      <c r="C81" s="185"/>
      <c r="D81" s="186" t="s">
        <v>1203</v>
      </c>
      <c r="E81" s="186"/>
      <c r="F81" s="186"/>
      <c r="G81" s="186"/>
      <c r="H81" s="186"/>
      <c r="I81" s="186"/>
    </row>
    <row r="82" customFormat="false" ht="21.75" hidden="false" customHeight="true" outlineLevel="0" collapsed="false">
      <c r="B82" s="185" t="s">
        <v>1204</v>
      </c>
      <c r="C82" s="185"/>
      <c r="D82" s="187" t="s">
        <v>1205</v>
      </c>
      <c r="E82" s="187"/>
      <c r="F82" s="187"/>
      <c r="G82" s="187"/>
      <c r="H82" s="187"/>
      <c r="I82" s="187"/>
    </row>
    <row r="83" customFormat="false" ht="21.75" hidden="false" customHeight="true" outlineLevel="0" collapsed="false">
      <c r="B83" s="185" t="s">
        <v>1206</v>
      </c>
      <c r="C83" s="185"/>
      <c r="D83" s="186" t="s">
        <v>1207</v>
      </c>
      <c r="E83" s="186"/>
      <c r="F83" s="186"/>
      <c r="G83" s="186"/>
      <c r="H83" s="186"/>
      <c r="I83" s="186"/>
    </row>
    <row r="84" customFormat="false" ht="21.75" hidden="false" customHeight="true" outlineLevel="0" collapsed="false">
      <c r="B84" s="174" t="s">
        <v>1208</v>
      </c>
      <c r="C84" s="174"/>
      <c r="D84" s="187" t="s">
        <v>1209</v>
      </c>
      <c r="E84" s="187"/>
      <c r="F84" s="187"/>
      <c r="G84" s="187"/>
      <c r="H84" s="187"/>
      <c r="I84" s="187"/>
    </row>
    <row r="86" customFormat="false" ht="15" hidden="false" customHeight="false" outlineLevel="0" collapsed="false">
      <c r="B86" s="183" t="s">
        <v>1153</v>
      </c>
    </row>
    <row r="87" customFormat="false" ht="15" hidden="false" customHeight="false" outlineLevel="0" collapsed="false">
      <c r="B87" s="184" t="s">
        <v>1210</v>
      </c>
      <c r="D87" s="184" t="s">
        <v>1211</v>
      </c>
      <c r="F87" s="184" t="s">
        <v>1154</v>
      </c>
      <c r="H87" s="184" t="s">
        <v>1155</v>
      </c>
    </row>
    <row r="88" customFormat="false" ht="15" hidden="false" customHeight="false" outlineLevel="0" collapsed="false">
      <c r="B88" s="184" t="s">
        <v>1156</v>
      </c>
      <c r="D88" s="184" t="s">
        <v>1157</v>
      </c>
      <c r="F88" s="184" t="s">
        <v>1158</v>
      </c>
      <c r="H88" s="184" t="s">
        <v>1159</v>
      </c>
    </row>
    <row r="89" customFormat="false" ht="15" hidden="false" customHeight="false" outlineLevel="0" collapsed="false">
      <c r="B89" s="184" t="s">
        <v>1160</v>
      </c>
      <c r="D89" s="184" t="s">
        <v>1161</v>
      </c>
      <c r="F89" s="184" t="s">
        <v>1162</v>
      </c>
      <c r="H89" s="184" t="s">
        <v>1163</v>
      </c>
    </row>
    <row r="90" customFormat="false" ht="15" hidden="false" customHeight="false" outlineLevel="0" collapsed="false">
      <c r="B90" s="184" t="s">
        <v>1212</v>
      </c>
      <c r="D90" s="184" t="s">
        <v>1213</v>
      </c>
      <c r="F90" s="184" t="s">
        <v>1214</v>
      </c>
      <c r="H90" s="184" t="s">
        <v>1215</v>
      </c>
    </row>
    <row r="91" customFormat="false" ht="17.15" hidden="false" customHeight="false" outlineLevel="0" collapsed="false">
      <c r="B91" s="188" t="s">
        <v>1216</v>
      </c>
      <c r="D91" s="184" t="s">
        <v>1217</v>
      </c>
      <c r="F91" s="184" t="s">
        <v>1218</v>
      </c>
      <c r="H91" s="184" t="s">
        <v>1164</v>
      </c>
    </row>
  </sheetData>
  <sheetProtection sheet="true" formatColumns="false" formatRows="false" autoFilter="false"/>
  <mergeCells count="105">
    <mergeCell ref="A1:J1"/>
    <mergeCell ref="A2:J2"/>
    <mergeCell ref="A3:J3"/>
    <mergeCell ref="B5:C5"/>
    <mergeCell ref="D5:F5"/>
    <mergeCell ref="G5:I5"/>
    <mergeCell ref="B6:C6"/>
    <mergeCell ref="D6:F6"/>
    <mergeCell ref="G6:I6"/>
    <mergeCell ref="B7:C7"/>
    <mergeCell ref="D7:F7"/>
    <mergeCell ref="G7:I7"/>
    <mergeCell ref="B9:I9"/>
    <mergeCell ref="B12:C13"/>
    <mergeCell ref="D12:E13"/>
    <mergeCell ref="F12:G13"/>
    <mergeCell ref="H12:I13"/>
    <mergeCell ref="B15:I16"/>
    <mergeCell ref="B18:E19"/>
    <mergeCell ref="F18:I19"/>
    <mergeCell ref="B21:C21"/>
    <mergeCell ref="D21:E21"/>
    <mergeCell ref="F21:G21"/>
    <mergeCell ref="H21:I21"/>
    <mergeCell ref="C24:E24"/>
    <mergeCell ref="G24:I24"/>
    <mergeCell ref="C25:E25"/>
    <mergeCell ref="G25:I25"/>
    <mergeCell ref="C26:E26"/>
    <mergeCell ref="G26:I26"/>
    <mergeCell ref="C27:E27"/>
    <mergeCell ref="G27:I27"/>
    <mergeCell ref="C28:E28"/>
    <mergeCell ref="G28:I28"/>
    <mergeCell ref="C29:E29"/>
    <mergeCell ref="G29:I29"/>
    <mergeCell ref="C32:D32"/>
    <mergeCell ref="E32:I32"/>
    <mergeCell ref="C33:D33"/>
    <mergeCell ref="E33:I33"/>
    <mergeCell ref="C34:D34"/>
    <mergeCell ref="E34:I34"/>
    <mergeCell ref="C35:D35"/>
    <mergeCell ref="E35:I35"/>
    <mergeCell ref="C36:D36"/>
    <mergeCell ref="E36:I36"/>
    <mergeCell ref="B39:C39"/>
    <mergeCell ref="D39:I39"/>
    <mergeCell ref="B40:C40"/>
    <mergeCell ref="D40:I40"/>
    <mergeCell ref="B41:C41"/>
    <mergeCell ref="D41:I41"/>
    <mergeCell ref="B42:C42"/>
    <mergeCell ref="D42:I42"/>
    <mergeCell ref="B43:C43"/>
    <mergeCell ref="D43:I43"/>
    <mergeCell ref="B44:C44"/>
    <mergeCell ref="D44:I44"/>
    <mergeCell ref="B45:C45"/>
    <mergeCell ref="D45:I45"/>
    <mergeCell ref="B50:I51"/>
    <mergeCell ref="B63:C63"/>
    <mergeCell ref="D63:I63"/>
    <mergeCell ref="B64:C64"/>
    <mergeCell ref="D64:I64"/>
    <mergeCell ref="B65:C65"/>
    <mergeCell ref="D65:I65"/>
    <mergeCell ref="B66:C66"/>
    <mergeCell ref="D66:I66"/>
    <mergeCell ref="B67:C67"/>
    <mergeCell ref="D67:I67"/>
    <mergeCell ref="B68:C68"/>
    <mergeCell ref="D68:I68"/>
    <mergeCell ref="B69:C69"/>
    <mergeCell ref="D69:I69"/>
    <mergeCell ref="B70:C70"/>
    <mergeCell ref="D70:I70"/>
    <mergeCell ref="B71:C71"/>
    <mergeCell ref="D71:I71"/>
    <mergeCell ref="B72:C72"/>
    <mergeCell ref="D72:I72"/>
    <mergeCell ref="B73:C73"/>
    <mergeCell ref="D73:I73"/>
    <mergeCell ref="B74:C74"/>
    <mergeCell ref="D74:I74"/>
    <mergeCell ref="B75:C75"/>
    <mergeCell ref="D75:I75"/>
    <mergeCell ref="B76:C76"/>
    <mergeCell ref="D76:I76"/>
    <mergeCell ref="B77:C77"/>
    <mergeCell ref="D77:I77"/>
    <mergeCell ref="B78:C78"/>
    <mergeCell ref="D78:I78"/>
    <mergeCell ref="B79:C79"/>
    <mergeCell ref="D79:I79"/>
    <mergeCell ref="B80:C80"/>
    <mergeCell ref="D80:I80"/>
    <mergeCell ref="B81:C81"/>
    <mergeCell ref="D81:I81"/>
    <mergeCell ref="B82:C82"/>
    <mergeCell ref="D82:I82"/>
    <mergeCell ref="B83:C83"/>
    <mergeCell ref="D83:I83"/>
    <mergeCell ref="B84:C84"/>
    <mergeCell ref="D84:I84"/>
  </mergeCells>
  <hyperlinks>
    <hyperlink ref="B54" r:id="rId1" location="'01_總藍圖_Blueprint'!A1" display="▸ 01_總藍圖_Blueprint"/>
    <hyperlink ref="D54" r:id="rId2" location="'02_情境權重_Scenario'!A1" display="▸ 02_情境權重_Scenario"/>
    <hyperlink ref="F54" r:id="rId3" location="'03_能力總表_Master'!A1" display="▸ 03_能力總表_Master"/>
    <hyperlink ref="H54" r:id="rId4" location="'04_夥伴拼圖_Partners'!A1" display="▸ 04_夥伴拼圖_Partners"/>
    <hyperlink ref="B55" r:id="rId5" location="'05_法規門檻_Gates'!A1" display="▸ 05_法規門檻_Gates"/>
    <hyperlink ref="D55" r:id="rId6" location="'06_行動路線_Roadmap'!A1" display="▸ 06_行動路線_Roadmap"/>
    <hyperlink ref="F55" r:id="rId7" location="'07_整案量級_Portfolio'!A1" display="▸ 07_整案量級_Portfolio"/>
    <hyperlink ref="H55" r:id="rId8" location="'08_風險清冊_Risk'!A1" display="▸ 08_風險清冊_Risk"/>
    <hyperlink ref="B56" r:id="rId9" location="'09_KPI計分卡_KPI'!A1" display="▸ 09_KPI計分卡_KPI"/>
    <hyperlink ref="D56" r:id="rId10" location="'10_決策紀錄_Log'!A1" display="▸ 10_決策紀錄_Log"/>
    <hyperlink ref="F56" r:id="rId11" location="'99_代碼表_Codebook'!A1" display="▸ 99_代碼表_Codebook"/>
    <hyperlink ref="B87" r:id="rId12" location="'儀表板_Dashboard'!A1" display="▸ 儀表板_Dashboard"/>
    <hyperlink ref="D87" r:id="rId13" location="'17_商機作戰卡_OppView'!A1" display="▸ 17_商機作戰卡_OppView"/>
    <hyperlink ref="F87" r:id="rId14" location="'01_總藍圖_Blueprint'!A1" display="▸ 01_總藍圖_Blueprint"/>
    <hyperlink ref="H87" r:id="rId15" location="'02_情境權重_Scenario'!A1" display="▸ 02_情境權重_Scenario"/>
    <hyperlink ref="B88" r:id="rId16" location="'03_能力總表_Master'!A1" display="▸ 03_能力總表_Master"/>
    <hyperlink ref="D88" r:id="rId17" location="'04_夥伴拼圖_Partners'!A1" display="▸ 04_夥伴拼圖_Partners"/>
    <hyperlink ref="F88" r:id="rId18" location="'05_法規門檻_Gates'!A1" display="▸ 05_法規門檻_Gates"/>
    <hyperlink ref="H88" r:id="rId19" location="'06_行動路線_Roadmap'!A1" display="▸ 06_行動路線_Roadmap"/>
    <hyperlink ref="B89" r:id="rId20" location="'07_整案量級_Portfolio'!A1" display="▸ 07_整案量級_Portfolio"/>
    <hyperlink ref="D89" r:id="rId21" location="'08_風險清冊_Risk'!A1" display="▸ 08_風險清冊_Risk"/>
    <hyperlink ref="F89" r:id="rId22" location="'09_KPI計分卡_KPI'!A1" display="▸ 09_KPI計分卡_KPI"/>
    <hyperlink ref="H89" r:id="rId23" location="'10_決策紀錄_Log'!A1" display="▸ 10_決策紀錄_Log"/>
    <hyperlink ref="B90" r:id="rId24" location="'11_缺口招募_GapRFI'!A1" display="▸ 11_缺口招募_GapRFI"/>
    <hyperlink ref="D90" r:id="rId25" location="'12_夥伴視角_PartnerView'!A1" display="▸ 12_夥伴視角_PartnerView"/>
    <hyperlink ref="F90" r:id="rId26" location="'13_待辦看板_Actions'!A1" display="▸ 13_待辦看板_Actions"/>
    <hyperlink ref="H90" r:id="rId27" location="'14_商機清單_Pipeline'!A1" display="▸ 14_商機清單_Pipeline"/>
    <hyperlink ref="B91" r:id="rId28" location="'15_商機字典_OppLibrary'!A1" display="附圖：20 分頁關聯圖（箭頭＝資料流向；被指到的分頁是自動算的，詳見使用手冊）"/>
    <hyperlink ref="D91" r:id="rId29" location="'16_能力商機矩陣_CapOppMap'!A1" display="▸ 16_能力商機矩陣_CapOppMap"/>
    <hyperlink ref="F91" r:id="rId30" location="'98_選單維護_Lists'!A1" display="▸ 98_選單維護_Lists"/>
    <hyperlink ref="H91" r:id="rId31" location="'99_代碼表_Codebook'!A1" display="▸ 99_代碼表_Codeboo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5" min="2" style="0" width="26"/>
    <col collapsed="false" customWidth="true" hidden="false" outlineLevel="0" max="6" min="6" style="0" width="27"/>
    <col collapsed="false" customWidth="true" hidden="false" outlineLevel="0" max="7" min="7" style="0" width="26"/>
    <col collapsed="false" customWidth="true" hidden="false" outlineLevel="0" max="8" min="8" style="0" width="25"/>
    <col collapsed="false" customWidth="true" hidden="false" outlineLevel="0" max="9" min="9" style="0" width="9"/>
  </cols>
  <sheetData>
    <row r="1" customFormat="false" ht="30" hidden="false" customHeight="true" outlineLevel="0" collapsed="false">
      <c r="A1" s="1" t="s">
        <v>1219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4" t="s">
        <v>1220</v>
      </c>
      <c r="B2" s="4"/>
      <c r="C2" s="4"/>
      <c r="D2" s="4"/>
      <c r="E2" s="4"/>
      <c r="F2" s="4"/>
      <c r="G2" s="4"/>
      <c r="H2" s="4"/>
      <c r="I2" s="4"/>
    </row>
    <row r="3" customFormat="false" ht="15" hidden="false" customHeight="false" outlineLevel="0" collapsed="false">
      <c r="A3" s="5" t="s">
        <v>946</v>
      </c>
    </row>
    <row r="4" customFormat="false" ht="18" hidden="false" customHeight="true" outlineLevel="0" collapsed="false">
      <c r="A4" s="189" t="s">
        <v>1221</v>
      </c>
      <c r="B4" s="190" t="s">
        <v>147</v>
      </c>
      <c r="C4" s="191" t="s">
        <v>1222</v>
      </c>
      <c r="D4" s="192" t="s">
        <v>1223</v>
      </c>
      <c r="E4" s="193" t="s">
        <v>1224</v>
      </c>
      <c r="F4" s="194" t="s">
        <v>1225</v>
      </c>
      <c r="G4" s="195" t="s">
        <v>1226</v>
      </c>
    </row>
    <row r="5" customFormat="false" ht="30" hidden="false" customHeight="true" outlineLevel="0" collapsed="false">
      <c r="A5" s="189"/>
      <c r="B5" s="196" t="n">
        <f aca="false">COUNTA(03_能力總表_Master!$A$5:$A$154)</f>
        <v>60</v>
      </c>
      <c r="C5" s="197" t="n">
        <f aca="false">COUNTIF(03_能力總表_Master!$H$5:$H$154,"群晶*")</f>
        <v>8</v>
      </c>
      <c r="D5" s="198" t="n">
        <f aca="false">COUNTIF(03_能力總表_Master!$H$5:$H$154,"*已確認*")</f>
        <v>0</v>
      </c>
      <c r="E5" s="199" t="n">
        <f aca="false">COUNTIF(03_能力總表_Master!$H$5:$H$154,"*洽談*")</f>
        <v>43</v>
      </c>
      <c r="F5" s="200" t="n">
        <f aca="false">COUNTIF(03_能力總表_Master!$H$5:$H$154,"缺口*")</f>
        <v>9</v>
      </c>
      <c r="G5" s="201" t="n">
        <f aca="false">COUNTIFS(05_法規門檻_Gates!$E$5:$E$51,"*強制*",05_法規門檻_Gates!$F$5:$F$51,"*待確認*")</f>
        <v>16</v>
      </c>
    </row>
    <row r="7" customFormat="false" ht="30" hidden="false" customHeight="true" outlineLevel="0" collapsed="false">
      <c r="A7" s="149" t="s">
        <v>1227</v>
      </c>
      <c r="B7" s="152" t="s">
        <v>1228</v>
      </c>
      <c r="C7" s="152" t="s">
        <v>1229</v>
      </c>
      <c r="D7" s="152" t="s">
        <v>1230</v>
      </c>
      <c r="E7" s="152" t="s">
        <v>1231</v>
      </c>
      <c r="F7" s="152" t="s">
        <v>1232</v>
      </c>
      <c r="G7" s="152" t="s">
        <v>1233</v>
      </c>
      <c r="H7" s="152" t="s">
        <v>1234</v>
      </c>
      <c r="I7" s="202" t="s">
        <v>1235</v>
      </c>
    </row>
    <row r="8" customFormat="false" ht="31.5" hidden="false" customHeight="true" outlineLevel="0" collapsed="false">
      <c r="A8" s="203" t="s">
        <v>1236</v>
      </c>
      <c r="B8" s="204" t="str">
        <f aca="false">"—（取得授權為先）"&amp;CHAR(10)&amp;"未確認 "&amp;COUNTIFS(05_法規門檻_Gates!$E$5:$E$51,"*強制*",05_法規門檻_Gates!$G$5:$G$51,"●",05_法規門檻_Gates!$F$5:$F$51,"*待確認*")&amp;" 項"</f>
        <v>—（取得授權為先）
未確認 1 項</v>
      </c>
      <c r="C8" s="204" t="str">
        <f aca="false">"LAW15·DEC96·PDP91·DATA60·CYBER53·PPP71"&amp;CHAR(10)&amp;"未確認 "&amp;COUNTIFS(05_法規門檻_Gates!$E$5:$E$51,"*強制*",05_法規門檻_Gates!$H$5:$H$51,"●",05_法規門檻_Gates!$F$5:$F$51,"*待確認*")&amp;" 項"</f>
        <v>LAW15·DEC96·PDP91·DATA60·CYBER53·PPP71
未確認 6 項</v>
      </c>
      <c r="D8" s="204" t="str">
        <f aca="false">"＋EMR13·MD98·JCI·FHIR2146·AI134"&amp;CHAR(10)&amp;"未確認 "&amp;COUNTIFS(05_法規門檻_Gates!$E$5:$E$51,"*強制*",05_法規門檻_Gates!$I$5:$I$51,"●",05_法規門檻_Gates!$F$5:$F$51,"*待確認*")&amp;" 項"</f>
        <v>＋EMR13·MD98·JCI·FHIR2146·AI134
未確認 10 項</v>
      </c>
      <c r="E8" s="204" t="str">
        <f aca="false">"＋ISO27001·IEC80001·醫材註冊"&amp;CHAR(10)&amp;"未確認 "&amp;COUNTIFS(05_法規門檻_Gates!$E$5:$E$51,"*強制*",05_法規門檻_Gates!$J$5:$J$51,"●",05_法規門檻_Gates!$F$5:$F$51,"*待確認*")&amp;" 項"</f>
        <v>＋ISO27001·IEC80001·醫材註冊
未確認 9 項</v>
      </c>
      <c r="F8" s="204" t="str">
        <f aca="false">"全數強制法規＋電子處方·介接/資安驗測"&amp;CHAR(10)&amp;"未確認 "&amp;COUNTIFS(05_法規門檻_Gates!$E$5:$E$51,"*強制*",05_法規門檻_Gates!$K$5:$K$51,"●",05_法規門檻_Gates!$F$5:$F$51,"*待確認*")&amp;" 項"</f>
        <v>全數強制法規＋電子處方·介接/資安驗測
未確認 8 項</v>
      </c>
      <c r="G8" s="204" t="str">
        <f aca="false">"開院執照·臨床安全·個資稽核"&amp;CHAR(10)&amp;"未確認 "&amp;COUNTIFS(05_法規門檻_Gates!$E$5:$E$51,"*強制*",05_法規門檻_Gates!$L$5:$L$51,"●",05_法規門檻_Gates!$F$5:$F$51,"*待確認*")&amp;" 項"</f>
        <v>開院執照·臨床安全·個資稽核
未確認 7 項</v>
      </c>
      <c r="H8" s="204" t="str">
        <f aca="false">"持續合規·認證·效益驗收"&amp;CHAR(10)&amp;"未確認 "&amp;COUNTIFS(05_法規門檻_Gates!$E$5:$E$51,"*強制*",05_法規門檻_Gates!$M$5:$M$51,"●",05_法規門檻_Gates!$F$5:$F$51,"*待確認*")&amp;" 項"</f>
        <v>持續合規·認證·效益驗收
未確認 2 項</v>
      </c>
    </row>
    <row r="9" customFormat="false" ht="18" hidden="false" customHeight="true" outlineLevel="0" collapsed="false">
      <c r="A9" s="205" t="s">
        <v>1237</v>
      </c>
      <c r="B9" s="205"/>
      <c r="C9" s="205"/>
      <c r="D9" s="205"/>
      <c r="E9" s="205"/>
      <c r="F9" s="205"/>
      <c r="G9" s="205"/>
      <c r="H9" s="205"/>
      <c r="I9" s="205"/>
    </row>
    <row r="10" customFormat="false" ht="62.25" hidden="false" customHeight="true" outlineLevel="0" collapsed="false">
      <c r="A10" s="206" t="s">
        <v>1238</v>
      </c>
      <c r="B10" s="207" t="str">
        <f aca="false">IF(_計算_Calc!D$154="","—",_計算_Calc!D$154)</f>
        <v>◐ 001 政府授權與計畫章程
◐ 002 利害關係人與權力地圖
◐ 005 聯盟治理與利益衝突</v>
      </c>
      <c r="C10" s="207" t="str">
        <f aca="false">IF(_計算_Calc!E$154="","—",_計算_Calc!E$154)</f>
        <v>◐ 003 交易模式選擇
◐ 004 法規與執照路徑</v>
      </c>
      <c r="D10" s="207" t="str">
        <f aca="false">IF(_計算_Calc!F$154="","—",_計算_Calc!F$154)</f>
        <v>◐ 006 績效契約與變更控制</v>
      </c>
      <c r="E10" s="207" t="str">
        <f aca="false">IF(_計算_Calc!G$154="","—",_計算_Calc!G$154)</f>
        <v>—</v>
      </c>
      <c r="F10" s="207" t="str">
        <f aca="false">IF(_計算_Calc!H$154="","—",_計算_Calc!H$154)</f>
        <v>—</v>
      </c>
      <c r="G10" s="207" t="str">
        <f aca="false">IF(_計算_Calc!I$154="","—",_計算_Calc!I$154)</f>
        <v>—</v>
      </c>
      <c r="H10" s="207" t="str">
        <f aca="false">IF(_計算_Calc!J$154="","—",_計算_Calc!J$154)</f>
        <v>—</v>
      </c>
      <c r="I10" s="208" t="n">
        <f aca="false">COUNTIFS(03_能力總表_Master!$B$5:$B$154,LEFT($A10,3)&amp;"*",03_能力總表_Master!$H$5:$H$154,"缺口*")</f>
        <v>0</v>
      </c>
    </row>
    <row r="11" customFormat="false" ht="99.75" hidden="false" customHeight="true" outlineLevel="0" collapsed="false">
      <c r="A11" s="206" t="s">
        <v>1239</v>
      </c>
      <c r="B11" s="207" t="str">
        <f aca="false">IF(_計算_Calc!K$154="","—",_計算_Calc!K$154)</f>
        <v>—</v>
      </c>
      <c r="C11" s="207" t="str">
        <f aca="false">IF(_計算_Calc!L$154="","—",_計算_Calc!L$154)</f>
        <v>◐ 007 人口需求與病例量預測
◐ 008 醫院定位與服務組合
◐ 009 重點專科優先化
◐ 010 病人流程與容量設計
◐ 011 轉診與區域照護網絡
◐ 012 臨床治理與責任架構</v>
      </c>
      <c r="D11" s="207" t="str">
        <f aca="false">IF(_計算_Calc!M$154="","—",_計算_Calc!M$154)</f>
        <v>—</v>
      </c>
      <c r="E11" s="207" t="str">
        <f aca="false">IF(_計算_Calc!N$154="","—",_計算_Calc!N$154)</f>
        <v>—</v>
      </c>
      <c r="F11" s="207" t="str">
        <f aca="false">IF(_計算_Calc!O$154="","—",_計算_Calc!O$154)</f>
        <v>—</v>
      </c>
      <c r="G11" s="207" t="str">
        <f aca="false">IF(_計算_Calc!P$154="","—",_計算_Calc!P$154)</f>
        <v>—</v>
      </c>
      <c r="H11" s="207" t="str">
        <f aca="false">IF(_計算_Calc!Q$154="","—",_計算_Calc!Q$154)</f>
        <v>—</v>
      </c>
      <c r="I11" s="208" t="n">
        <f aca="false">COUNTIFS(03_能力總表_Master!$B$5:$B$154,LEFT($A11,3)&amp;"*",03_能力總表_Master!$H$5:$H$154,"缺口*")</f>
        <v>0</v>
      </c>
    </row>
    <row r="12" customFormat="false" ht="62.25" hidden="false" customHeight="true" outlineLevel="0" collapsed="false">
      <c r="A12" s="206" t="s">
        <v>1240</v>
      </c>
      <c r="B12" s="207" t="str">
        <f aca="false">IF(_計算_Calc!R$154="","—",_計算_Calc!R$154)</f>
        <v>—</v>
      </c>
      <c r="C12" s="207" t="str">
        <f aca="false">IF(_計算_Calc!S$154="","—",_計算_Calc!S$154)</f>
        <v>◐ 013 場址與醫院總體規劃</v>
      </c>
      <c r="D12" s="207" t="str">
        <f aca="false">IF(_計算_Calc!T$154="","—",_計算_Calc!T$154)</f>
        <v>◐ 014 醫療建築功能計畫
◐ 015 感染控制與潔污動線
◐ 019 綠色與氣候韌性醫院</v>
      </c>
      <c r="E12" s="207" t="str">
        <f aca="false">IF(_計算_Calc!U$154="","—",_計算_Calc!U$154)</f>
        <v>● 016 電力、備援與微電網
◐ 017 醫療氣體與關鍵公用系統
◐ 018 醫療廢棄物與水資源</v>
      </c>
      <c r="F12" s="207" t="str">
        <f aca="false">IF(_計算_Calc!V$154="","—",_計算_Calc!V$154)</f>
        <v>—</v>
      </c>
      <c r="G12" s="207" t="str">
        <f aca="false">IF(_計算_Calc!W$154="","—",_計算_Calc!W$154)</f>
        <v>—</v>
      </c>
      <c r="H12" s="207" t="str">
        <f aca="false">IF(_計算_Calc!X$154="","—",_計算_Calc!X$154)</f>
        <v>—</v>
      </c>
      <c r="I12" s="208" t="n">
        <f aca="false">COUNTIFS(03_能力總表_Master!$B$5:$B$154,LEFT($A12,3)&amp;"*",03_能力總表_Master!$H$5:$H$154,"缺口*")</f>
        <v>0</v>
      </c>
    </row>
    <row r="13" customFormat="false" ht="99.75" hidden="false" customHeight="true" outlineLevel="0" collapsed="false">
      <c r="A13" s="206" t="s">
        <v>1241</v>
      </c>
      <c r="B13" s="207" t="str">
        <f aca="false">IF(_計算_Calc!Y$154="","—",_計算_Calc!Y$154)</f>
        <v>—</v>
      </c>
      <c r="C13" s="207" t="str">
        <f aca="false">IF(_計算_Calc!Z$154="","—",_計算_Calc!Z$154)</f>
        <v>—</v>
      </c>
      <c r="D13" s="207" t="str">
        <f aca="false">IF(_計算_Calc!AA$154="","—",_計算_Calc!AA$154)</f>
        <v>—</v>
      </c>
      <c r="E13" s="207" t="str">
        <f aca="false">IF(_計算_Calc!AB$154="","—",_計算_Calc!AB$154)</f>
        <v>● 020 IDC與邊緣運算底座</v>
      </c>
      <c r="F13" s="207" t="str">
        <f aca="false">IF(_計算_Calc!AC$154="","—",_計算_Calc!AC$154)</f>
        <v>● 021 有線無線網路與分區
◐ 022 資安營運與零信任
● 023 BMS與能源管理
● 024 RTLS與資產／人員定位
● 025 智慧病房、護理呼叫與感測
● 026 災難復原與營運持續</v>
      </c>
      <c r="G13" s="207" t="str">
        <f aca="false">IF(_計算_Calc!AD$154="","—",_計算_Calc!AD$154)</f>
        <v>—</v>
      </c>
      <c r="H13" s="207" t="str">
        <f aca="false">IF(_計算_Calc!AE$154="","—",_計算_Calc!AE$154)</f>
        <v>—</v>
      </c>
      <c r="I13" s="208" t="n">
        <f aca="false">COUNTIFS(03_能力總表_Master!$B$5:$B$154,LEFT($A13,3)&amp;"*",03_能力總表_Master!$H$5:$H$154,"缺口*")</f>
        <v>0</v>
      </c>
    </row>
    <row r="14" customFormat="false" ht="87" hidden="false" customHeight="true" outlineLevel="0" collapsed="false">
      <c r="A14" s="206" t="s">
        <v>1242</v>
      </c>
      <c r="B14" s="207" t="str">
        <f aca="false">IF(_計算_Calc!AF$154="","—",_計算_Calc!AF$154)</f>
        <v>—</v>
      </c>
      <c r="C14" s="207" t="str">
        <f aca="false">IF(_計算_Calc!AG$154="","—",_計算_Calc!AG$154)</f>
        <v>—</v>
      </c>
      <c r="D14" s="207" t="str">
        <f aca="false">IF(_計算_Calc!AH$154="","—",_計算_Calc!AH$154)</f>
        <v>◐ 027 醫材需求與設備計畫</v>
      </c>
      <c r="E14" s="207" t="str">
        <f aca="false">IF(_計算_Calc!AI$154="","—",_計算_Calc!AI$154)</f>
        <v>—</v>
      </c>
      <c r="F14" s="207" t="str">
        <f aca="false">IF(_計算_Calc!AJ$154="","—",_計算_Calc!AJ$154)</f>
        <v>○ 028 影像設備、PACS與報告流程
○ 029 實驗室自動化與LIS
○ 030 手術室與重症整合
◐ 031 醫材介接與裝置身分
◐ 032 醫療工程與設備生命週期</v>
      </c>
      <c r="G14" s="207" t="str">
        <f aca="false">IF(_計算_Calc!AK$154="","—",_計算_Calc!AK$154)</f>
        <v>—</v>
      </c>
      <c r="H14" s="207" t="str">
        <f aca="false">IF(_計算_Calc!AL$154="","—",_計算_Calc!AL$154)</f>
        <v>—</v>
      </c>
      <c r="I14" s="208" t="n">
        <f aca="false">COUNTIFS(03_能力總表_Master!$B$5:$B$154,LEFT($A14,3)&amp;"*",03_能力總表_Master!$H$5:$H$154,"缺口*")</f>
        <v>3</v>
      </c>
    </row>
    <row r="15" customFormat="false" ht="75" hidden="false" customHeight="true" outlineLevel="0" collapsed="false">
      <c r="A15" s="206" t="s">
        <v>1243</v>
      </c>
      <c r="B15" s="207" t="str">
        <f aca="false">IF(_計算_Calc!AM$154="","—",_計算_Calc!AM$154)</f>
        <v>—</v>
      </c>
      <c r="C15" s="207" t="str">
        <f aca="false">IF(_計算_Calc!AN$154="","—",_計算_Calc!AN$154)</f>
        <v>—</v>
      </c>
      <c r="D15" s="207" t="str">
        <f aca="false">IF(_計算_Calc!AO$154="","—",_計算_Calc!AO$154)</f>
        <v>—</v>
      </c>
      <c r="E15" s="207" t="str">
        <f aca="false">IF(_計算_Calc!AP$154="","—",_計算_Calc!AP$154)</f>
        <v>◐ 033 HIS／EMR核心平台
◐ 036 臨床術語與主資料治理</v>
      </c>
      <c r="F15" s="207" t="str">
        <f aca="false">IF(_計算_Calc!AQ$154="","—",_計算_Calc!AQ$154)</f>
        <v>◐ 034 FHIR介接與API管理
○ 035 主病人索引與身分整合
◐ 037 電子醫囑、用藥與決策支援
◐ 038 資料平台、BI與營運指揮</v>
      </c>
      <c r="G15" s="207" t="str">
        <f aca="false">IF(_計算_Calc!AR$154="","—",_計算_Calc!AR$154)</f>
        <v>○ 039 病人入口、行動服務與VNeID準備</v>
      </c>
      <c r="H15" s="207" t="str">
        <f aca="false">IF(_計算_Calc!AS$154="","—",_計算_Calc!AS$154)</f>
        <v>—</v>
      </c>
      <c r="I15" s="208" t="n">
        <f aca="false">COUNTIFS(03_能力總表_Master!$B$5:$B$154,LEFT($A15,3)&amp;"*",03_能力總表_Master!$H$5:$H$154,"缺口*")</f>
        <v>2</v>
      </c>
    </row>
    <row r="16" customFormat="false" ht="49.5" hidden="false" customHeight="true" outlineLevel="0" collapsed="false">
      <c r="A16" s="206" t="s">
        <v>1244</v>
      </c>
      <c r="B16" s="207" t="str">
        <f aca="false">IF(_計算_Calc!AT$154="","—",_計算_Calc!AT$154)</f>
        <v>—</v>
      </c>
      <c r="C16" s="207" t="str">
        <f aca="false">IF(_計算_Calc!AU$154="","—",_計算_Calc!AU$154)</f>
        <v>—</v>
      </c>
      <c r="D16" s="207" t="str">
        <f aca="false">IF(_計算_Calc!AV$154="","—",_計算_Calc!AV$154)</f>
        <v>◐ 040 品質管理與JCI路線圖</v>
      </c>
      <c r="E16" s="207" t="str">
        <f aca="false">IF(_計算_Calc!AW$154="","—",_計算_Calc!AW$154)</f>
        <v>◐ 041 感染預防與控制制度
◐ 043 事件通報與根因改善</v>
      </c>
      <c r="F16" s="207" t="str">
        <f aca="false">IF(_計算_Calc!AX$154="","—",_計算_Calc!AX$154)</f>
        <v>◐ 042 用藥安全閉環</v>
      </c>
      <c r="G16" s="207" t="str">
        <f aca="false">IF(_計算_Calc!AY$154="","—",_計算_Calc!AY$154)</f>
        <v>◐ 044 開院臨床安全驗證</v>
      </c>
      <c r="H16" s="207" t="str">
        <f aca="false">IF(_計算_Calc!AZ$154="","—",_計算_Calc!AZ$154)</f>
        <v>—</v>
      </c>
      <c r="I16" s="208" t="n">
        <f aca="false">COUNTIFS(03_能力總表_Master!$B$5:$B$154,LEFT($A16,3)&amp;"*",03_能力總表_Master!$H$5:$H$154,"缺口*")</f>
        <v>0</v>
      </c>
    </row>
    <row r="17" customFormat="false" ht="49.5" hidden="false" customHeight="true" outlineLevel="0" collapsed="false">
      <c r="A17" s="206" t="s">
        <v>1245</v>
      </c>
      <c r="B17" s="207" t="str">
        <f aca="false">IF(_計算_Calc!BA$154="","—",_計算_Calc!BA$154)</f>
        <v>—</v>
      </c>
      <c r="C17" s="207" t="str">
        <f aca="false">IF(_計算_Calc!BB$154="","—",_計算_Calc!BB$154)</f>
        <v>—</v>
      </c>
      <c r="D17" s="207" t="str">
        <f aca="false">IF(_計算_Calc!BC$154="","—",_計算_Calc!BC$154)</f>
        <v>○ 045 人力與輪班模型</v>
      </c>
      <c r="E17" s="207" t="str">
        <f aca="false">IF(_計算_Calc!BD$154="","—",_計算_Calc!BD$154)</f>
        <v>◐ 046 職能矩陣與授權</v>
      </c>
      <c r="F17" s="207" t="str">
        <f aca="false">IF(_計算_Calc!BE$154="","—",_計算_Calc!BE$154)</f>
        <v>◐ 047 種子教師與技術移轉
◐ 049 變革管理與使用者採納</v>
      </c>
      <c r="G17" s="207" t="str">
        <f aca="false">IF(_計算_Calc!BF$154="","—",_計算_Calc!BF$154)</f>
        <v>◐ 048 模擬中心與開院演練</v>
      </c>
      <c r="H17" s="207" t="str">
        <f aca="false">IF(_計算_Calc!BG$154="","—",_計算_Calc!BG$154)</f>
        <v>—</v>
      </c>
      <c r="I17" s="208" t="n">
        <f aca="false">COUNTIFS(03_能力總表_Master!$B$5:$B$154,LEFT($A17,3)&amp;"*",03_能力總表_Master!$H$5:$H$154,"缺口*")</f>
        <v>1</v>
      </c>
    </row>
    <row r="18" customFormat="false" ht="62.25" hidden="false" customHeight="true" outlineLevel="0" collapsed="false">
      <c r="A18" s="206" t="s">
        <v>1246</v>
      </c>
      <c r="B18" s="207" t="str">
        <f aca="false">IF(_計算_Calc!BH$154="","—",_計算_Calc!BH$154)</f>
        <v>—</v>
      </c>
      <c r="C18" s="207" t="str">
        <f aca="false">IF(_計算_Calc!BI$154="","—",_計算_Calc!BI$154)</f>
        <v>—</v>
      </c>
      <c r="D18" s="207" t="str">
        <f aca="false">IF(_計算_Calc!BJ$154="","—",_計算_Calc!BJ$154)</f>
        <v>◐ 050 整合採購與供應商治理</v>
      </c>
      <c r="E18" s="207" t="str">
        <f aca="false">IF(_計算_Calc!BK$154="","—",_計算_Calc!BK$154)</f>
        <v>—</v>
      </c>
      <c r="F18" s="207" t="str">
        <f aca="false">IF(_計算_Calc!BL$154="","—",_計算_Calc!BL$154)</f>
        <v>◐ 051 藥品耗材與SPD物流
◐ 052 冷鏈與特殊物料
● 053 CMMS與設施維運</v>
      </c>
      <c r="G18" s="207" t="str">
        <f aca="false">IF(_計算_Calc!BM$154="","—",_計算_Calc!BM$154)</f>
        <v>◐ 054 在地備品、維修與汰換</v>
      </c>
      <c r="H18" s="207" t="str">
        <f aca="false">IF(_計算_Calc!BN$154="","—",_計算_Calc!BN$154)</f>
        <v>—</v>
      </c>
      <c r="I18" s="208" t="n">
        <f aca="false">COUNTIFS(03_能力總表_Master!$B$5:$B$154,LEFT($A18,3)&amp;"*",03_能力總表_Master!$H$5:$H$154,"缺口*")</f>
        <v>0</v>
      </c>
    </row>
    <row r="19" customFormat="false" ht="49.5" hidden="false" customHeight="true" outlineLevel="0" collapsed="false">
      <c r="A19" s="206" t="s">
        <v>1247</v>
      </c>
      <c r="B19" s="207" t="str">
        <f aca="false">IF(_計算_Calc!BO$154="","—",_計算_Calc!BO$154)</f>
        <v>—</v>
      </c>
      <c r="C19" s="207" t="str">
        <f aca="false">IF(_計算_Calc!BP$154="","—",_計算_Calc!BP$154)</f>
        <v>◐ 055 全生命週期成本模型</v>
      </c>
      <c r="D19" s="207" t="str">
        <f aca="false">IF(_計算_Calc!BQ$154="","—",_計算_Calc!BQ$154)</f>
        <v>◐ 059 PPP／JV財務與風險分配</v>
      </c>
      <c r="E19" s="207" t="str">
        <f aca="false">IF(_計算_Calc!BR$154="","—",_計算_Calc!BR$154)</f>
        <v>—</v>
      </c>
      <c r="F19" s="207" t="str">
        <f aca="false">IF(_計算_Calc!BS$154="","—",_計算_Calc!BS$154)</f>
        <v>○ 056 健保申報與數位理賠
○ 057 現金流、支付與收入週期</v>
      </c>
      <c r="G19" s="207" t="str">
        <f aca="false">IF(_計算_Calc!BT$154="","—",_計算_Calc!BT$154)</f>
        <v>○ 058 國際醫療與高價值服務</v>
      </c>
      <c r="H19" s="207" t="str">
        <f aca="false">IF(_計算_Calc!BU$154="","—",_計算_Calc!BU$154)</f>
        <v>◐ 060 效益實現與複製藍圖</v>
      </c>
      <c r="I19" s="208" t="n">
        <f aca="false">COUNTIFS(03_能力總表_Master!$B$5:$B$154,LEFT($A19,3)&amp;"*",03_能力總表_Master!$H$5:$H$154,"缺口*")</f>
        <v>3</v>
      </c>
    </row>
    <row r="20" customFormat="false" ht="19.5" hidden="false" customHeight="true" outlineLevel="0" collapsed="false">
      <c r="A20" s="202" t="s">
        <v>1248</v>
      </c>
      <c r="B20" s="209" t="n">
        <f aca="false">COUNTIFS(03_能力總表_Master!$C$5:$C$154,"G0",03_能力總表_Master!$H$5:$H$154,"缺口*")</f>
        <v>0</v>
      </c>
      <c r="C20" s="209" t="n">
        <f aca="false">COUNTIFS(03_能力總表_Master!$C$5:$C$154,"G1",03_能力總表_Master!$H$5:$H$154,"缺口*")</f>
        <v>0</v>
      </c>
      <c r="D20" s="209" t="n">
        <f aca="false">COUNTIFS(03_能力總表_Master!$C$5:$C$154,"G2",03_能力總表_Master!$H$5:$H$154,"缺口*")</f>
        <v>1</v>
      </c>
      <c r="E20" s="209" t="n">
        <f aca="false">COUNTIFS(03_能力總表_Master!$C$5:$C$154,"G3",03_能力總表_Master!$H$5:$H$154,"缺口*")</f>
        <v>0</v>
      </c>
      <c r="F20" s="209" t="n">
        <f aca="false">COUNTIFS(03_能力總表_Master!$C$5:$C$154,"G4",03_能力總表_Master!$H$5:$H$154,"缺口*")</f>
        <v>6</v>
      </c>
      <c r="G20" s="209" t="n">
        <f aca="false">COUNTIFS(03_能力總表_Master!$C$5:$C$154,"G5",03_能力總表_Master!$H$5:$H$154,"缺口*")</f>
        <v>2</v>
      </c>
      <c r="H20" s="209" t="n">
        <f aca="false">COUNTIFS(03_能力總表_Master!$C$5:$C$154,"G6",03_能力總表_Master!$H$5:$H$154,"缺口*")</f>
        <v>0</v>
      </c>
      <c r="I20" s="210" t="n">
        <f aca="false">COUNTIF(03_能力總表_Master!$H$5:$H$154,"缺口*")</f>
        <v>9</v>
      </c>
    </row>
    <row r="22" customFormat="false" ht="43.5" hidden="false" customHeight="true" outlineLevel="0" collapsed="false">
      <c r="A22" s="211" t="s">
        <v>1249</v>
      </c>
      <c r="B22" s="211"/>
      <c r="C22" s="211"/>
      <c r="D22" s="211"/>
      <c r="E22" s="211"/>
      <c r="F22" s="211"/>
      <c r="G22" s="211"/>
      <c r="H22" s="211"/>
      <c r="I22" s="211"/>
    </row>
  </sheetData>
  <sheetProtection sheet="true" formatColumns="false" formatRows="false" autoFilter="false"/>
  <mergeCells count="5">
    <mergeCell ref="A1:I1"/>
    <mergeCell ref="A2:I2"/>
    <mergeCell ref="A4:A5"/>
    <mergeCell ref="A9:I9"/>
    <mergeCell ref="A22:I22"/>
  </mergeCells>
  <conditionalFormatting sqref="B10:H19">
    <cfRule type="expression" priority="2" aboveAverage="0" equalAverage="0" bottom="0" percent="0" rank="0" text="" dxfId="41">
      <formula>ISNUMBER(SEARCH("○",B10))</formula>
    </cfRule>
    <cfRule type="expression" priority="3" aboveAverage="0" equalAverage="0" bottom="0" percent="0" rank="0" text="" dxfId="42">
      <formula>EXACT(B10,"—")</formula>
    </cfRule>
    <cfRule type="expression" priority="4" aboveAverage="0" equalAverage="0" bottom="0" percent="0" rank="0" text="" dxfId="43">
      <formula>AND(ISNUMBER(SEARCH("●",B10)),ISERROR(SEARCH("◐",B10)),ISERROR(SEARCH("◆",B10)))</formula>
    </cfRule>
  </conditionalFormatting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4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8" min="6" style="0" width="8"/>
    <col collapsed="false" customWidth="true" hidden="false" outlineLevel="0" max="9" min="9" style="0" width="9"/>
    <col collapsed="false" customWidth="true" hidden="false" outlineLevel="0" max="10" min="10" style="0" width="18"/>
    <col collapsed="false" customWidth="true" hidden="false" outlineLevel="0" max="12" min="11" style="0" width="15"/>
    <col collapsed="false" customWidth="true" hidden="false" outlineLevel="0" max="13" min="13" style="0" width="18"/>
    <col collapsed="false" customWidth="true" hidden="false" outlineLevel="0" max="15" min="14" style="0" width="15"/>
    <col collapsed="false" customWidth="true" hidden="false" outlineLevel="0" max="16" min="16" style="0" width="16"/>
    <col collapsed="false" customWidth="true" hidden="false" outlineLevel="0" max="17" min="17" style="0" width="18"/>
    <col collapsed="false" customWidth="true" hidden="false" outlineLevel="0" max="18" min="18" style="0" width="28"/>
    <col collapsed="false" customWidth="true" hidden="false" outlineLevel="0" max="19" min="19" style="0" width="24"/>
  </cols>
  <sheetData>
    <row r="1" customFormat="false" ht="30" hidden="false" customHeight="true" outlineLevel="0" collapsed="false">
      <c r="A1" s="1" t="s">
        <v>1250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5.5" hidden="false" customHeight="true" outlineLevel="0" collapsed="false">
      <c r="A2" s="4" t="s">
        <v>1251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customFormat="false" ht="15" hidden="false" customHeight="false" outlineLevel="0" collapsed="false">
      <c r="A3" s="5" t="s">
        <v>946</v>
      </c>
    </row>
    <row r="4" customFormat="false" ht="43.5" hidden="false" customHeight="true" outlineLevel="0" collapsed="false">
      <c r="A4" s="36" t="s">
        <v>1252</v>
      </c>
      <c r="B4" s="46" t="s">
        <v>1253</v>
      </c>
      <c r="C4" s="46" t="s">
        <v>1254</v>
      </c>
      <c r="D4" s="46" t="s">
        <v>1255</v>
      </c>
      <c r="E4" s="46" t="s">
        <v>196</v>
      </c>
      <c r="F4" s="46" t="s">
        <v>1256</v>
      </c>
      <c r="G4" s="46" t="s">
        <v>1257</v>
      </c>
      <c r="H4" s="46" t="s">
        <v>1258</v>
      </c>
      <c r="I4" s="46" t="s">
        <v>1259</v>
      </c>
      <c r="J4" s="48" t="s">
        <v>1260</v>
      </c>
      <c r="K4" s="48" t="s">
        <v>1261</v>
      </c>
      <c r="L4" s="48" t="s">
        <v>1262</v>
      </c>
      <c r="M4" s="36" t="s">
        <v>1263</v>
      </c>
      <c r="N4" s="36" t="s">
        <v>1264</v>
      </c>
      <c r="O4" s="36" t="s">
        <v>1265</v>
      </c>
      <c r="P4" s="36" t="s">
        <v>1266</v>
      </c>
      <c r="Q4" s="36" t="s">
        <v>1267</v>
      </c>
      <c r="R4" s="36" t="s">
        <v>1268</v>
      </c>
      <c r="S4" s="36" t="s">
        <v>1269</v>
      </c>
    </row>
    <row r="5" customFormat="false" ht="33.75" hidden="false" customHeight="true" outlineLevel="0" collapsed="false">
      <c r="A5" s="212" t="s">
        <v>1270</v>
      </c>
      <c r="B5" s="213" t="str">
        <f aca="false">IF($A5="","",IFERROR(INDEX(15_商機字典_OppLibrary!$B$5:$B$104,MATCH($A5,15_商機字典_OppLibrary!$U$5:$U$104,0)),""))</f>
        <v>醫院IDC機房與院區網路建置</v>
      </c>
      <c r="C5" s="54" t="str">
        <f aca="false">IF($A5="","",IFERROR(INDEX(15_商機字典_OppLibrary!$D$5:$D$104,MATCH($A5,15_商機字典_OppLibrary!$U$5:$U$104,0)),""))</f>
        <v>D 數位基建與資安</v>
      </c>
      <c r="D5" s="214" t="str">
        <f aca="false">IF($A5="","",IFERROR(INDEX(15_商機字典_OppLibrary!$F$5:$F$104,MATCH($A5,15_商機字典_OppLibrary!$U$5:$U$104,0)),""))</f>
        <v>② 起步中：剛開始有人做</v>
      </c>
      <c r="E5" s="54" t="str">
        <f aca="false">IF($A5="","",IFERROR(INDEX(15_商機字典_OppLibrary!$G$5:$G$104,MATCH($A5,15_商機字典_OppLibrary!$U$5:$U$104,0)),""))</f>
        <v>D04</v>
      </c>
      <c r="F5" s="55" t="n">
        <f aca="false">IF($A5="","",IFERROR(INDEX(15_商機字典_OppLibrary!$H$5:$H$104,MATCH($A5,15_商機字典_OppLibrary!$U$5:$U$104,0)),""))</f>
        <v>3</v>
      </c>
      <c r="G5" s="56" t="n">
        <f aca="false">IF($A5="","",IFERROR(INDEX(15_商機字典_OppLibrary!$I$5:$I$104,MATCH($A5,15_商機字典_OppLibrary!$U$5:$U$104,0)),""))</f>
        <v>3.9</v>
      </c>
      <c r="H5" s="56" t="n">
        <f aca="false">IF($A5="","",IFERROR(INDEX(15_商機字典_OppLibrary!$J$5:$J$104,MATCH($A5,15_商機字典_OppLibrary!$U$5:$U$104,0)),""))</f>
        <v>3.4</v>
      </c>
      <c r="I5" s="57" t="n">
        <f aca="false">IF($A5="","",IFERROR(INDEX(15_商機字典_OppLibrary!$K$5:$K$104,MATCH($A5,15_商機字典_OppLibrary!$U$5:$U$104,0)),""))</f>
        <v>0</v>
      </c>
      <c r="J5" s="54" t="str">
        <f aca="false">IF($A5="","",IFERROR(INDEX(15_商機字典_OppLibrary!$N$5:$N$104,MATCH($A5,15_商機字典_OppLibrary!$U$5:$U$104,0)),""))</f>
        <v>醫院業主資本支出(CAPEX)</v>
      </c>
      <c r="K5" s="55" t="str">
        <f aca="false">IF($A5="","",IFERROR(INDEX(15_商機字典_OppLibrary!$O$5:$O$104,MATCH($A5,15_商機字典_OppLibrary!$U$5:$U$104,0)),""))</f>
        <v>統包工程(EPC)</v>
      </c>
      <c r="L5" s="55" t="str">
        <f aca="false">IF($A5="","",IFERROR(INDEX(15_商機字典_OppLibrary!$P$5:$P$104,MATCH($A5,15_商機字典_OppLibrary!$U$5:$U$104,0)),""))</f>
        <v>2M-10M USD</v>
      </c>
      <c r="M5" s="215" t="s">
        <v>244</v>
      </c>
      <c r="N5" s="216" t="s">
        <v>303</v>
      </c>
      <c r="O5" s="217" t="s">
        <v>271</v>
      </c>
      <c r="P5" s="217" t="s">
        <v>1271</v>
      </c>
      <c r="Q5" s="217" t="s">
        <v>439</v>
      </c>
      <c r="R5" s="215" t="s">
        <v>1272</v>
      </c>
      <c r="S5" s="215" t="s">
        <v>1273</v>
      </c>
    </row>
    <row r="6" customFormat="false" ht="33.75" hidden="false" customHeight="true" outlineLevel="0" collapsed="false">
      <c r="A6" s="212" t="s">
        <v>1274</v>
      </c>
      <c r="B6" s="213" t="str">
        <f aca="false">IF($A6="","",IFERROR(INDEX(15_商機字典_OppLibrary!$B$5:$B$104,MATCH($A6,15_商機字典_OppLibrary!$U$5:$U$104,0)),""))</f>
        <v>影像設備整批交鑰匙（CT/MRI/DSA＋機房）</v>
      </c>
      <c r="C6" s="54" t="str">
        <f aca="false">IF($A6="","",IFERROR(INDEX(15_商機字典_OppLibrary!$D$5:$D$104,MATCH($A6,15_商機字典_OppLibrary!$U$5:$U$104,0)),""))</f>
        <v>C 醫材與臨床設備</v>
      </c>
      <c r="D6" s="214" t="str">
        <f aca="false">IF($A6="","",IFERROR(INDEX(15_商機字典_OppLibrary!$F$5:$F$104,MATCH($A6,15_商機字典_OppLibrary!$U$5:$U$104,0)),""))</f>
        <v>① 已成熟：在地已有供應商</v>
      </c>
      <c r="E6" s="54" t="str">
        <f aca="false">IF($A6="","",IFERROR(INDEX(15_商機字典_OppLibrary!$G$5:$G$104,MATCH($A6,15_商機字典_OppLibrary!$U$5:$U$104,0)),""))</f>
        <v>D05</v>
      </c>
      <c r="F6" s="55" t="n">
        <f aca="false">IF($A6="","",IFERROR(INDEX(15_商機字典_OppLibrary!$H$5:$H$104,MATCH($A6,15_商機字典_OppLibrary!$U$5:$U$104,0)),""))</f>
        <v>2</v>
      </c>
      <c r="G6" s="56" t="n">
        <f aca="false">IF($A6="","",IFERROR(INDEX(15_商機字典_OppLibrary!$I$5:$I$104,MATCH($A6,15_商機字典_OppLibrary!$U$5:$U$104,0)),""))</f>
        <v>4.7</v>
      </c>
      <c r="H6" s="56" t="n">
        <f aca="false">IF($A6="","",IFERROR(INDEX(15_商機字典_OppLibrary!$J$5:$J$104,MATCH($A6,15_商機字典_OppLibrary!$U$5:$U$104,0)),""))</f>
        <v>2.4</v>
      </c>
      <c r="I6" s="57" t="n">
        <f aca="false">IF($A6="","",IFERROR(INDEX(15_商機字典_OppLibrary!$K$5:$K$104,MATCH($A6,15_商機字典_OppLibrary!$U$5:$U$104,0)),""))</f>
        <v>1</v>
      </c>
      <c r="J6" s="54" t="str">
        <f aca="false">IF($A6="","",IFERROR(INDEX(15_商機字典_OppLibrary!$N$5:$N$104,MATCH($A6,15_商機字典_OppLibrary!$U$5:$U$104,0)),""))</f>
        <v>醫院業主資本支出(CAPEX)</v>
      </c>
      <c r="K6" s="55" t="str">
        <f aca="false">IF($A6="","",IFERROR(INDEX(15_商機字典_OppLibrary!$O$5:$O$104,MATCH($A6,15_商機字典_OppLibrary!$U$5:$U$104,0)),""))</f>
        <v>設施/設備PPP</v>
      </c>
      <c r="L6" s="55" t="str">
        <f aca="false">IF($A6="","",IFERROR(INDEX(15_商機字典_OppLibrary!$P$5:$P$104,MATCH($A6,15_商機字典_OppLibrary!$U$5:$U$104,0)),""))</f>
        <v>2M-10M USD</v>
      </c>
      <c r="M6" s="215" t="s">
        <v>244</v>
      </c>
      <c r="N6" s="216" t="s">
        <v>362</v>
      </c>
      <c r="O6" s="217" t="s">
        <v>271</v>
      </c>
      <c r="P6" s="217" t="s">
        <v>1275</v>
      </c>
      <c r="Q6" s="217" t="s">
        <v>363</v>
      </c>
      <c r="R6" s="215" t="s">
        <v>1276</v>
      </c>
      <c r="S6" s="215" t="s">
        <v>1277</v>
      </c>
    </row>
    <row r="7" customFormat="false" ht="33.75" hidden="false" customHeight="true" outlineLevel="0" collapsed="false">
      <c r="A7" s="212" t="s">
        <v>1278</v>
      </c>
      <c r="B7" s="213" t="str">
        <f aca="false">IF($A7="","",IFERROR(INDEX(15_商機字典_OppLibrary!$B$5:$B$104,MATCH($A7,15_商機字典_OppLibrary!$U$5:$U$104,0)),""))</f>
        <v>醫院投資規劃與PPP交易架構顧問</v>
      </c>
      <c r="C7" s="54" t="str">
        <f aca="false">IF($A7="","",IFERROR(INDEX(15_商機字典_OppLibrary!$D$5:$D$104,MATCH($A7,15_商機字典_OppLibrary!$U$5:$U$104,0)),""))</f>
        <v>A 規劃投資與交易架構</v>
      </c>
      <c r="D7" s="214" t="str">
        <f aca="false">IF($A7="","",IFERROR(INDEX(15_商機字典_OppLibrary!$F$5:$F$104,MATCH($A7,15_商機字典_OppLibrary!$U$5:$U$104,0)),""))</f>
        <v>② 起步中：剛開始有人做</v>
      </c>
      <c r="E7" s="54" t="str">
        <f aca="false">IF($A7="","",IFERROR(INDEX(15_商機字典_OppLibrary!$G$5:$G$104,MATCH($A7,15_商機字典_OppLibrary!$U$5:$U$104,0)),""))</f>
        <v>D01; D10</v>
      </c>
      <c r="F7" s="55" t="n">
        <f aca="false">IF($A7="","",IFERROR(INDEX(15_商機字典_OppLibrary!$H$5:$H$104,MATCH($A7,15_商機字典_OppLibrary!$U$5:$U$104,0)),""))</f>
        <v>9</v>
      </c>
      <c r="G7" s="56" t="n">
        <f aca="false">IF($A7="","",IFERROR(INDEX(15_商機字典_OppLibrary!$I$5:$I$104,MATCH($A7,15_商機字典_OppLibrary!$U$5:$U$104,0)),""))</f>
        <v>3.7</v>
      </c>
      <c r="H7" s="56" t="n">
        <f aca="false">IF($A7="","",IFERROR(INDEX(15_商機字典_OppLibrary!$J$5:$J$104,MATCH($A7,15_商機字典_OppLibrary!$U$5:$U$104,0)),""))</f>
        <v>2</v>
      </c>
      <c r="I7" s="57" t="n">
        <f aca="false">IF($A7="","",IFERROR(INDEX(15_商機字典_OppLibrary!$K$5:$K$104,MATCH($A7,15_商機字典_OppLibrary!$U$5:$U$104,0)),""))</f>
        <v>0</v>
      </c>
      <c r="J7" s="54" t="str">
        <f aca="false">IF($A7="","",IFERROR(INDEX(15_商機字典_OppLibrary!$N$5:$N$104,MATCH($A7,15_商機字典_OppLibrary!$U$5:$U$104,0)),""))</f>
        <v>越南政府／衛生部預算</v>
      </c>
      <c r="K7" s="55" t="str">
        <f aca="false">IF($A7="","",IFERROR(INDEX(15_商機字典_OppLibrary!$O$5:$O$104,MATCH($A7,15_商機字典_OppLibrary!$U$5:$U$104,0)),""))</f>
        <v>顧問服務</v>
      </c>
      <c r="L7" s="55" t="str">
        <f aca="false">IF($A7="","",IFERROR(INDEX(15_商機字典_OppLibrary!$P$5:$P$104,MATCH($A7,15_商機字典_OppLibrary!$U$5:$U$104,0)),""))</f>
        <v>500K-2M USD</v>
      </c>
      <c r="M7" s="215" t="s">
        <v>227</v>
      </c>
      <c r="N7" s="216" t="s">
        <v>228</v>
      </c>
      <c r="O7" s="217" t="s">
        <v>229</v>
      </c>
      <c r="P7" s="217" t="s">
        <v>1279</v>
      </c>
      <c r="Q7" s="217" t="s">
        <v>231</v>
      </c>
      <c r="R7" s="215" t="s">
        <v>1280</v>
      </c>
      <c r="S7" s="215" t="s">
        <v>1281</v>
      </c>
    </row>
    <row r="8" customFormat="false" ht="33.75" hidden="false" customHeight="true" outlineLevel="0" collapsed="false">
      <c r="A8" s="212" t="s">
        <v>1282</v>
      </c>
      <c r="B8" s="213" t="str">
        <f aca="false">IF($A8="","",IFERROR(INDEX(15_商機字典_OppLibrary!$B$5:$B$104,MATCH($A8,15_商機字典_OppLibrary!$U$5:$U$104,0)),""))</f>
        <v>HIS／EMR核心平台導入</v>
      </c>
      <c r="C8" s="54" t="str">
        <f aca="false">IF($A8="","",IFERROR(INDEX(15_商機字典_OppLibrary!$D$5:$D$104,MATCH($A8,15_商機字典_OppLibrary!$U$5:$U$104,0)),""))</f>
        <v>E 醫療資訊與資料</v>
      </c>
      <c r="D8" s="214" t="str">
        <f aca="false">IF($A8="","",IFERROR(INDEX(15_商機字典_OppLibrary!$F$5:$F$104,MATCH($A8,15_商機字典_OppLibrary!$U$5:$U$104,0)),""))</f>
        <v>② 起步中：剛開始有人做</v>
      </c>
      <c r="E8" s="54" t="str">
        <f aca="false">IF($A8="","",IFERROR(INDEX(15_商機字典_OppLibrary!$G$5:$G$104,MATCH($A8,15_商機字典_OppLibrary!$U$5:$U$104,0)),""))</f>
        <v>D06</v>
      </c>
      <c r="F8" s="55" t="n">
        <f aca="false">IF($A8="","",IFERROR(INDEX(15_商機字典_OppLibrary!$H$5:$H$104,MATCH($A8,15_商機字典_OppLibrary!$U$5:$U$104,0)),""))</f>
        <v>2</v>
      </c>
      <c r="G8" s="56" t="n">
        <f aca="false">IF($A8="","",IFERROR(INDEX(15_商機字典_OppLibrary!$I$5:$I$104,MATCH($A8,15_商機字典_OppLibrary!$U$5:$U$104,0)),""))</f>
        <v>4.9</v>
      </c>
      <c r="H8" s="56" t="n">
        <f aca="false">IF($A8="","",IFERROR(INDEX(15_商機字典_OppLibrary!$J$5:$J$104,MATCH($A8,15_商機字典_OppLibrary!$U$5:$U$104,0)),""))</f>
        <v>2.4</v>
      </c>
      <c r="I8" s="57" t="n">
        <f aca="false">IF($A8="","",IFERROR(INDEX(15_商機字典_OppLibrary!$K$5:$K$104,MATCH($A8,15_商機字典_OppLibrary!$U$5:$U$104,0)),""))</f>
        <v>0</v>
      </c>
      <c r="J8" s="54" t="str">
        <f aca="false">IF($A8="","",IFERROR(INDEX(15_商機字典_OppLibrary!$N$5:$N$104,MATCH($A8,15_商機字典_OppLibrary!$U$5:$U$104,0)),""))</f>
        <v>醫院業主資本支出(CAPEX)</v>
      </c>
      <c r="K8" s="55" t="str">
        <f aca="false">IF($A8="","",IFERROR(INDEX(15_商機字典_OppLibrary!$O$5:$O$104,MATCH($A8,15_商機字典_OppLibrary!$U$5:$U$104,0)),""))</f>
        <v>軟體授權／訂閱</v>
      </c>
      <c r="L8" s="55" t="str">
        <f aca="false">IF($A8="","",IFERROR(INDEX(15_商機字典_OppLibrary!$P$5:$P$104,MATCH($A8,15_商機字典_OppLibrary!$U$5:$U$104,0)),""))</f>
        <v>500K-2M USD</v>
      </c>
      <c r="M8" s="215" t="s">
        <v>332</v>
      </c>
      <c r="N8" s="216" t="s">
        <v>559</v>
      </c>
      <c r="O8" s="217" t="s">
        <v>229</v>
      </c>
      <c r="P8" s="217" t="s">
        <v>1275</v>
      </c>
      <c r="Q8" s="217" t="s">
        <v>487</v>
      </c>
      <c r="R8" s="215" t="s">
        <v>1283</v>
      </c>
      <c r="S8" s="215" t="s">
        <v>1284</v>
      </c>
    </row>
    <row r="9" customFormat="false" ht="33.75" hidden="false" customHeight="true" outlineLevel="0" collapsed="false">
      <c r="A9" s="212" t="s">
        <v>1285</v>
      </c>
      <c r="B9" s="213" t="str">
        <f aca="false">IF($A9="","",IFERROR(INDEX(15_商機字典_OppLibrary!$B$5:$B$104,MATCH($A9,15_商機字典_OppLibrary!$U$5:$U$104,0)),""))</f>
        <v>結核胸片AI篩檢(CAD)</v>
      </c>
      <c r="C9" s="54" t="str">
        <f aca="false">IF($A9="","",IFERROR(INDEX(15_商機字典_OppLibrary!$D$5:$D$104,MATCH($A9,15_商機字典_OppLibrary!$U$5:$U$104,0)),""))</f>
        <v>F AI與智慧醫療</v>
      </c>
      <c r="D9" s="214" t="str">
        <f aca="false">IF($A9="","",IFERROR(INDEX(15_商機字典_OppLibrary!$F$5:$F$104,MATCH($A9,15_商機字典_OppLibrary!$U$5:$U$104,0)),""))</f>
        <v>② 起步中：剛開始有人做</v>
      </c>
      <c r="E9" s="54" t="str">
        <f aca="false">IF($A9="","",IFERROR(INDEX(15_商機字典_OppLibrary!$G$5:$G$104,MATCH($A9,15_商機字典_OppLibrary!$U$5:$U$104,0)),""))</f>
        <v>（尚無對應能力）</v>
      </c>
      <c r="F9" s="55" t="n">
        <f aca="false">IF($A9="","",IFERROR(INDEX(15_商機字典_OppLibrary!$H$5:$H$104,MATCH($A9,15_商機字典_OppLibrary!$U$5:$U$104,0)),""))</f>
        <v>0</v>
      </c>
      <c r="G9" s="56" t="str">
        <f aca="false">IF($A9="","",IFERROR(INDEX(15_商機字典_OppLibrary!$I$5:$I$104,MATCH($A9,15_商機字典_OppLibrary!$U$5:$U$104,0)),""))</f>
        <v/>
      </c>
      <c r="H9" s="56" t="str">
        <f aca="false">IF($A9="","",IFERROR(INDEX(15_商機字典_OppLibrary!$J$5:$J$104,MATCH($A9,15_商機字典_OppLibrary!$U$5:$U$104,0)),""))</f>
        <v/>
      </c>
      <c r="I9" s="57" t="n">
        <f aca="false">IF($A9="","",IFERROR(INDEX(15_商機字典_OppLibrary!$K$5:$K$104,MATCH($A9,15_商機字典_OppLibrary!$U$5:$U$104,0)),""))</f>
        <v>0</v>
      </c>
      <c r="J9" s="54" t="str">
        <f aca="false">IF($A9="","",IFERROR(INDEX(15_商機字典_OppLibrary!$N$5:$N$104,MATCH($A9,15_商機字典_OppLibrary!$U$5:$U$104,0)),""))</f>
        <v>國際開發援助(ODA／世銀／ADB)</v>
      </c>
      <c r="K9" s="55" t="str">
        <f aca="false">IF($A9="","",IFERROR(INDEX(15_商機字典_OppLibrary!$O$5:$O$104,MATCH($A9,15_商機字典_OppLibrary!$U$5:$U$104,0)),""))</f>
        <v>ODA／贈款</v>
      </c>
      <c r="L9" s="55" t="str">
        <f aca="false">IF($A9="","",IFERROR(INDEX(15_商機字典_OppLibrary!$P$5:$P$104,MATCH($A9,15_商機字典_OppLibrary!$U$5:$U$104,0)),""))</f>
        <v>100K-500K USD</v>
      </c>
      <c r="M9" s="215" t="s">
        <v>583</v>
      </c>
      <c r="N9" s="217" t="s">
        <v>584</v>
      </c>
      <c r="O9" s="217" t="s">
        <v>245</v>
      </c>
      <c r="P9" s="217" t="s">
        <v>1286</v>
      </c>
      <c r="Q9" s="217" t="s">
        <v>363</v>
      </c>
      <c r="R9" s="215" t="s">
        <v>1287</v>
      </c>
      <c r="S9" s="215" t="s">
        <v>1288</v>
      </c>
    </row>
    <row r="10" customFormat="false" ht="33.75" hidden="false" customHeight="true" outlineLevel="0" collapsed="false">
      <c r="A10" s="212" t="s">
        <v>1289</v>
      </c>
      <c r="B10" s="213" t="str">
        <f aca="false">IF($A10="","",IFERROR(INDEX(15_商機字典_OppLibrary!$B$5:$B$104,MATCH($A10,15_商機字典_OppLibrary!$U$5:$U$104,0)),""))</f>
        <v>院內物流SPD委外</v>
      </c>
      <c r="C10" s="54" t="str">
        <f aca="false">IF($A10="","",IFERROR(INDEX(15_商機字典_OppLibrary!$D$5:$D$104,MATCH($A10,15_商機字典_OppLibrary!$U$5:$U$104,0)),""))</f>
        <v>H 供應鏈與維運服務</v>
      </c>
      <c r="D10" s="214" t="str">
        <f aca="false">IF($A10="","",IFERROR(INDEX(15_商機字典_OppLibrary!$F$5:$F$104,MATCH($A10,15_商機字典_OppLibrary!$U$5:$U$104,0)),""))</f>
        <v>③ 尚未出現：幾乎空白</v>
      </c>
      <c r="E10" s="54" t="str">
        <f aca="false">IF($A10="","",IFERROR(INDEX(15_商機字典_OppLibrary!$G$5:$G$104,MATCH($A10,15_商機字典_OppLibrary!$U$5:$U$104,0)),""))</f>
        <v>D09</v>
      </c>
      <c r="F10" s="55" t="n">
        <f aca="false">IF($A10="","",IFERROR(INDEX(15_商機字典_OppLibrary!$H$5:$H$104,MATCH($A10,15_商機字典_OppLibrary!$U$5:$U$104,0)),""))</f>
        <v>2</v>
      </c>
      <c r="G10" s="56" t="n">
        <f aca="false">IF($A10="","",IFERROR(INDEX(15_商機字典_OppLibrary!$I$5:$I$104,MATCH($A10,15_商機字典_OppLibrary!$U$5:$U$104,0)),""))</f>
        <v>3.9</v>
      </c>
      <c r="H10" s="56" t="n">
        <f aca="false">IF($A10="","",IFERROR(INDEX(15_商機字典_OppLibrary!$J$5:$J$104,MATCH($A10,15_商機字典_OppLibrary!$U$5:$U$104,0)),""))</f>
        <v>3</v>
      </c>
      <c r="I10" s="57" t="n">
        <f aca="false">IF($A10="","",IFERROR(INDEX(15_商機字典_OppLibrary!$K$5:$K$104,MATCH($A10,15_商機字典_OppLibrary!$U$5:$U$104,0)),""))</f>
        <v>0</v>
      </c>
      <c r="J10" s="54" t="str">
        <f aca="false">IF($A10="","",IFERROR(INDEX(15_商機字典_OppLibrary!$N$5:$N$104,MATCH($A10,15_商機字典_OppLibrary!$U$5:$U$104,0)),""))</f>
        <v>醫院營運預算(OPEX)</v>
      </c>
      <c r="K10" s="55" t="str">
        <f aca="false">IF($A10="","",IFERROR(INDEX(15_商機字典_OppLibrary!$O$5:$O$104,MATCH($A10,15_商機字典_OppLibrary!$U$5:$U$104,0)),""))</f>
        <v>管理服務</v>
      </c>
      <c r="L10" s="55" t="str">
        <f aca="false">IF($A10="","",IFERROR(INDEX(15_商機字典_OppLibrary!$P$5:$P$104,MATCH($A10,15_商機字典_OppLibrary!$U$5:$U$104,0)),""))</f>
        <v>500K-2M USD</v>
      </c>
      <c r="M10" s="215" t="s">
        <v>332</v>
      </c>
      <c r="N10" s="216" t="s">
        <v>333</v>
      </c>
      <c r="O10" s="217" t="s">
        <v>229</v>
      </c>
      <c r="P10" s="217" t="s">
        <v>1286</v>
      </c>
      <c r="Q10" s="217" t="s">
        <v>658</v>
      </c>
      <c r="R10" s="215" t="s">
        <v>1290</v>
      </c>
      <c r="S10" s="215" t="s">
        <v>1291</v>
      </c>
    </row>
    <row r="11" customFormat="false" ht="33.75" hidden="false" customHeight="true" outlineLevel="0" collapsed="false">
      <c r="A11" s="212" t="s">
        <v>1292</v>
      </c>
      <c r="B11" s="213" t="str">
        <f aca="false">IF($A11="","",IFERROR(INDEX(15_商機字典_OppLibrary!$B$5:$B$104,MATCH($A11,15_商機字典_OppLibrary!$U$5:$U$104,0)),""))</f>
        <v>健檢連鎖與行動篩檢營運</v>
      </c>
      <c r="C11" s="54" t="str">
        <f aca="false">IF($A11="","",IFERROR(INDEX(15_商機字典_OppLibrary!$D$5:$D$104,MATCH($A11,15_商機字典_OppLibrary!$U$5:$U$104,0)),""))</f>
        <v>I 照護服務新業態</v>
      </c>
      <c r="D11" s="214" t="str">
        <f aca="false">IF($A11="","",IFERROR(INDEX(15_商機字典_OppLibrary!$F$5:$F$104,MATCH($A11,15_商機字典_OppLibrary!$U$5:$U$104,0)),""))</f>
        <v>② 起步中：剛開始有人做</v>
      </c>
      <c r="E11" s="54" t="str">
        <f aca="false">IF($A11="","",IFERROR(INDEX(15_商機字典_OppLibrary!$G$5:$G$104,MATCH($A11,15_商機字典_OppLibrary!$U$5:$U$104,0)),""))</f>
        <v>D02</v>
      </c>
      <c r="F11" s="55" t="n">
        <f aca="false">IF($A11="","",IFERROR(INDEX(15_商機字典_OppLibrary!$H$5:$H$104,MATCH($A11,15_商機字典_OppLibrary!$U$5:$U$104,0)),""))</f>
        <v>2</v>
      </c>
      <c r="G11" s="56" t="n">
        <f aca="false">IF($A11="","",IFERROR(INDEX(15_商機字典_OppLibrary!$I$5:$I$104,MATCH($A11,15_商機字典_OppLibrary!$U$5:$U$104,0)),""))</f>
        <v>4.9</v>
      </c>
      <c r="H11" s="56" t="n">
        <f aca="false">IF($A11="","",IFERROR(INDEX(15_商機字典_OppLibrary!$J$5:$J$104,MATCH($A11,15_商機字典_OppLibrary!$U$5:$U$104,0)),""))</f>
        <v>2.7</v>
      </c>
      <c r="I11" s="57" t="n">
        <f aca="false">IF($A11="","",IFERROR(INDEX(15_商機字典_OppLibrary!$K$5:$K$104,MATCH($A11,15_商機字典_OppLibrary!$U$5:$U$104,0)),""))</f>
        <v>0</v>
      </c>
      <c r="J11" s="54" t="str">
        <f aca="false">IF($A11="","",IFERROR(INDEX(15_商機字典_OppLibrary!$N$5:$N$104,MATCH($A11,15_商機字典_OppLibrary!$U$5:$U$104,0)),""))</f>
        <v>省級衛生局預算</v>
      </c>
      <c r="K11" s="55" t="str">
        <f aca="false">IF($A11="","",IFERROR(INDEX(15_商機字典_OppLibrary!$O$5:$O$104,MATCH($A11,15_商機字典_OppLibrary!$U$5:$U$104,0)),""))</f>
        <v>分潤／服務分成</v>
      </c>
      <c r="L11" s="55" t="str">
        <f aca="false">IF($A11="","",IFERROR(INDEX(15_商機字典_OppLibrary!$P$5:$P$104,MATCH($A11,15_商機字典_OppLibrary!$U$5:$U$104,0)),""))</f>
        <v>2M-10M USD</v>
      </c>
      <c r="M11" s="215" t="s">
        <v>281</v>
      </c>
      <c r="N11" s="216" t="s">
        <v>345</v>
      </c>
      <c r="O11" s="217" t="s">
        <v>271</v>
      </c>
      <c r="P11" s="217" t="s">
        <v>1286</v>
      </c>
      <c r="Q11" s="217" t="s">
        <v>785</v>
      </c>
      <c r="R11" s="215" t="s">
        <v>1293</v>
      </c>
      <c r="S11" s="215" t="s">
        <v>1294</v>
      </c>
    </row>
    <row r="12" customFormat="false" ht="33.75" hidden="false" customHeight="true" outlineLevel="0" collapsed="false">
      <c r="A12" s="212" t="s">
        <v>1295</v>
      </c>
      <c r="B12" s="213" t="str">
        <f aca="false">IF($A12="","",IFERROR(INDEX(15_商機字典_OppLibrary!$B$5:$B$104,MATCH($A12,15_商機字典_OppLibrary!$U$5:$U$104,0)),""))</f>
        <v>越南語AI病歷書寫助理</v>
      </c>
      <c r="C12" s="54" t="str">
        <f aca="false">IF($A12="","",IFERROR(INDEX(15_商機字典_OppLibrary!$D$5:$D$104,MATCH($A12,15_商機字典_OppLibrary!$U$5:$U$104,0)),""))</f>
        <v>F AI與智慧醫療</v>
      </c>
      <c r="D12" s="214" t="str">
        <f aca="false">IF($A12="","",IFERROR(INDEX(15_商機字典_OppLibrary!$F$5:$F$104,MATCH($A12,15_商機字典_OppLibrary!$U$5:$U$104,0)),""))</f>
        <v>③ 尚未出現：幾乎空白</v>
      </c>
      <c r="E12" s="54" t="str">
        <f aca="false">IF($A12="","",IFERROR(INDEX(15_商機字典_OppLibrary!$G$5:$G$104,MATCH($A12,15_商機字典_OppLibrary!$U$5:$U$104,0)),""))</f>
        <v>（尚無對應能力）</v>
      </c>
      <c r="F12" s="55" t="n">
        <f aca="false">IF($A12="","",IFERROR(INDEX(15_商機字典_OppLibrary!$H$5:$H$104,MATCH($A12,15_商機字典_OppLibrary!$U$5:$U$104,0)),""))</f>
        <v>0</v>
      </c>
      <c r="G12" s="56" t="str">
        <f aca="false">IF($A12="","",IFERROR(INDEX(15_商機字典_OppLibrary!$I$5:$I$104,MATCH($A12,15_商機字典_OppLibrary!$U$5:$U$104,0)),""))</f>
        <v/>
      </c>
      <c r="H12" s="56" t="str">
        <f aca="false">IF($A12="","",IFERROR(INDEX(15_商機字典_OppLibrary!$J$5:$J$104,MATCH($A12,15_商機字典_OppLibrary!$U$5:$U$104,0)),""))</f>
        <v/>
      </c>
      <c r="I12" s="57" t="n">
        <f aca="false">IF($A12="","",IFERROR(INDEX(15_商機字典_OppLibrary!$K$5:$K$104,MATCH($A12,15_商機字典_OppLibrary!$U$5:$U$104,0)),""))</f>
        <v>0</v>
      </c>
      <c r="J12" s="54" t="str">
        <f aca="false">IF($A12="","",IFERROR(INDEX(15_商機字典_OppLibrary!$N$5:$N$104,MATCH($A12,15_商機字典_OppLibrary!$U$5:$U$104,0)),""))</f>
        <v>醫院營運預算(OPEX)</v>
      </c>
      <c r="K12" s="55" t="str">
        <f aca="false">IF($A12="","",IFERROR(INDEX(15_商機字典_OppLibrary!$O$5:$O$104,MATCH($A12,15_商機字典_OppLibrary!$U$5:$U$104,0)),""))</f>
        <v>軟體授權／訂閱</v>
      </c>
      <c r="L12" s="55" t="str">
        <f aca="false">IF($A12="","",IFERROR(INDEX(15_商機字典_OppLibrary!$P$5:$P$104,MATCH($A12,15_商機字典_OppLibrary!$U$5:$U$104,0)),""))</f>
        <v>100K-500K USD</v>
      </c>
      <c r="M12" s="215" t="s">
        <v>332</v>
      </c>
      <c r="N12" s="216" t="s">
        <v>450</v>
      </c>
      <c r="O12" s="217" t="s">
        <v>245</v>
      </c>
      <c r="P12" s="217" t="s">
        <v>1286</v>
      </c>
      <c r="Q12" s="217" t="s">
        <v>487</v>
      </c>
      <c r="R12" s="215" t="s">
        <v>1296</v>
      </c>
      <c r="S12" s="215" t="s">
        <v>1297</v>
      </c>
    </row>
    <row r="13" customFormat="false" ht="33.75" hidden="false" customHeight="true" outlineLevel="0" collapsed="false">
      <c r="A13" s="52"/>
      <c r="B13" s="213" t="str">
        <f aca="false">IF($A13="","",IFERROR(INDEX(15_商機字典_OppLibrary!$B$5:$B$104,MATCH($A13,15_商機字典_OppLibrary!$U$5:$U$104,0)),""))</f>
        <v/>
      </c>
      <c r="C13" s="54" t="str">
        <f aca="false">IF($A13="","",IFERROR(INDEX(15_商機字典_OppLibrary!$D$5:$D$104,MATCH($A13,15_商機字典_OppLibrary!$U$5:$U$104,0)),""))</f>
        <v/>
      </c>
      <c r="D13" s="214" t="str">
        <f aca="false">IF($A13="","",IFERROR(INDEX(15_商機字典_OppLibrary!$F$5:$F$104,MATCH($A13,15_商機字典_OppLibrary!$U$5:$U$104,0)),""))</f>
        <v/>
      </c>
      <c r="E13" s="54" t="str">
        <f aca="false">IF($A13="","",IFERROR(INDEX(15_商機字典_OppLibrary!$G$5:$G$104,MATCH($A13,15_商機字典_OppLibrary!$U$5:$U$104,0)),""))</f>
        <v/>
      </c>
      <c r="F13" s="55" t="str">
        <f aca="false">IF($A13="","",IFERROR(INDEX(15_商機字典_OppLibrary!$H$5:$H$104,MATCH($A13,15_商機字典_OppLibrary!$U$5:$U$104,0)),""))</f>
        <v/>
      </c>
      <c r="G13" s="56" t="str">
        <f aca="false">IF($A13="","",IFERROR(INDEX(15_商機字典_OppLibrary!$I$5:$I$104,MATCH($A13,15_商機字典_OppLibrary!$U$5:$U$104,0)),""))</f>
        <v/>
      </c>
      <c r="H13" s="56" t="str">
        <f aca="false">IF($A13="","",IFERROR(INDEX(15_商機字典_OppLibrary!$J$5:$J$104,MATCH($A13,15_商機字典_OppLibrary!$U$5:$U$104,0)),""))</f>
        <v/>
      </c>
      <c r="I13" s="57" t="str">
        <f aca="false">IF($A13="","",IFERROR(INDEX(15_商機字典_OppLibrary!$K$5:$K$104,MATCH($A13,15_商機字典_OppLibrary!$U$5:$U$104,0)),""))</f>
        <v/>
      </c>
      <c r="J13" s="54" t="str">
        <f aca="false">IF($A13="","",IFERROR(INDEX(15_商機字典_OppLibrary!$N$5:$N$104,MATCH($A13,15_商機字典_OppLibrary!$U$5:$U$104,0)),""))</f>
        <v/>
      </c>
      <c r="K13" s="55" t="str">
        <f aca="false">IF($A13="","",IFERROR(INDEX(15_商機字典_OppLibrary!$O$5:$O$104,MATCH($A13,15_商機字典_OppLibrary!$U$5:$U$104,0)),""))</f>
        <v/>
      </c>
      <c r="L13" s="55" t="str">
        <f aca="false">IF($A13="","",IFERROR(INDEX(15_商機字典_OppLibrary!$P$5:$P$104,MATCH($A13,15_商機字典_OppLibrary!$U$5:$U$104,0)),""))</f>
        <v/>
      </c>
      <c r="M13" s="52"/>
      <c r="N13" s="59"/>
      <c r="O13" s="59"/>
      <c r="P13" s="59"/>
      <c r="Q13" s="59"/>
      <c r="R13" s="52"/>
      <c r="S13" s="52"/>
    </row>
    <row r="14" customFormat="false" ht="33.75" hidden="false" customHeight="true" outlineLevel="0" collapsed="false">
      <c r="A14" s="52"/>
      <c r="B14" s="213" t="str">
        <f aca="false">IF($A14="","",IFERROR(INDEX(15_商機字典_OppLibrary!$B$5:$B$104,MATCH($A14,15_商機字典_OppLibrary!$U$5:$U$104,0)),""))</f>
        <v/>
      </c>
      <c r="C14" s="54" t="str">
        <f aca="false">IF($A14="","",IFERROR(INDEX(15_商機字典_OppLibrary!$D$5:$D$104,MATCH($A14,15_商機字典_OppLibrary!$U$5:$U$104,0)),""))</f>
        <v/>
      </c>
      <c r="D14" s="214" t="str">
        <f aca="false">IF($A14="","",IFERROR(INDEX(15_商機字典_OppLibrary!$F$5:$F$104,MATCH($A14,15_商機字典_OppLibrary!$U$5:$U$104,0)),""))</f>
        <v/>
      </c>
      <c r="E14" s="54" t="str">
        <f aca="false">IF($A14="","",IFERROR(INDEX(15_商機字典_OppLibrary!$G$5:$G$104,MATCH($A14,15_商機字典_OppLibrary!$U$5:$U$104,0)),""))</f>
        <v/>
      </c>
      <c r="F14" s="55" t="str">
        <f aca="false">IF($A14="","",IFERROR(INDEX(15_商機字典_OppLibrary!$H$5:$H$104,MATCH($A14,15_商機字典_OppLibrary!$U$5:$U$104,0)),""))</f>
        <v/>
      </c>
      <c r="G14" s="56" t="str">
        <f aca="false">IF($A14="","",IFERROR(INDEX(15_商機字典_OppLibrary!$I$5:$I$104,MATCH($A14,15_商機字典_OppLibrary!$U$5:$U$104,0)),""))</f>
        <v/>
      </c>
      <c r="H14" s="56" t="str">
        <f aca="false">IF($A14="","",IFERROR(INDEX(15_商機字典_OppLibrary!$J$5:$J$104,MATCH($A14,15_商機字典_OppLibrary!$U$5:$U$104,0)),""))</f>
        <v/>
      </c>
      <c r="I14" s="57" t="str">
        <f aca="false">IF($A14="","",IFERROR(INDEX(15_商機字典_OppLibrary!$K$5:$K$104,MATCH($A14,15_商機字典_OppLibrary!$U$5:$U$104,0)),""))</f>
        <v/>
      </c>
      <c r="J14" s="54" t="str">
        <f aca="false">IF($A14="","",IFERROR(INDEX(15_商機字典_OppLibrary!$N$5:$N$104,MATCH($A14,15_商機字典_OppLibrary!$U$5:$U$104,0)),""))</f>
        <v/>
      </c>
      <c r="K14" s="55" t="str">
        <f aca="false">IF($A14="","",IFERROR(INDEX(15_商機字典_OppLibrary!$O$5:$O$104,MATCH($A14,15_商機字典_OppLibrary!$U$5:$U$104,0)),""))</f>
        <v/>
      </c>
      <c r="L14" s="55" t="str">
        <f aca="false">IF($A14="","",IFERROR(INDEX(15_商機字典_OppLibrary!$P$5:$P$104,MATCH($A14,15_商機字典_OppLibrary!$U$5:$U$104,0)),""))</f>
        <v/>
      </c>
      <c r="M14" s="52"/>
      <c r="N14" s="59"/>
      <c r="O14" s="59"/>
      <c r="P14" s="59"/>
      <c r="Q14" s="59"/>
      <c r="R14" s="52"/>
      <c r="S14" s="52"/>
    </row>
    <row r="15" customFormat="false" ht="33.75" hidden="false" customHeight="true" outlineLevel="0" collapsed="false">
      <c r="A15" s="52"/>
      <c r="B15" s="213" t="str">
        <f aca="false">IF($A15="","",IFERROR(INDEX(15_商機字典_OppLibrary!$B$5:$B$104,MATCH($A15,15_商機字典_OppLibrary!$U$5:$U$104,0)),""))</f>
        <v/>
      </c>
      <c r="C15" s="54" t="str">
        <f aca="false">IF($A15="","",IFERROR(INDEX(15_商機字典_OppLibrary!$D$5:$D$104,MATCH($A15,15_商機字典_OppLibrary!$U$5:$U$104,0)),""))</f>
        <v/>
      </c>
      <c r="D15" s="214" t="str">
        <f aca="false">IF($A15="","",IFERROR(INDEX(15_商機字典_OppLibrary!$F$5:$F$104,MATCH($A15,15_商機字典_OppLibrary!$U$5:$U$104,0)),""))</f>
        <v/>
      </c>
      <c r="E15" s="54" t="str">
        <f aca="false">IF($A15="","",IFERROR(INDEX(15_商機字典_OppLibrary!$G$5:$G$104,MATCH($A15,15_商機字典_OppLibrary!$U$5:$U$104,0)),""))</f>
        <v/>
      </c>
      <c r="F15" s="55" t="str">
        <f aca="false">IF($A15="","",IFERROR(INDEX(15_商機字典_OppLibrary!$H$5:$H$104,MATCH($A15,15_商機字典_OppLibrary!$U$5:$U$104,0)),""))</f>
        <v/>
      </c>
      <c r="G15" s="56" t="str">
        <f aca="false">IF($A15="","",IFERROR(INDEX(15_商機字典_OppLibrary!$I$5:$I$104,MATCH($A15,15_商機字典_OppLibrary!$U$5:$U$104,0)),""))</f>
        <v/>
      </c>
      <c r="H15" s="56" t="str">
        <f aca="false">IF($A15="","",IFERROR(INDEX(15_商機字典_OppLibrary!$J$5:$J$104,MATCH($A15,15_商機字典_OppLibrary!$U$5:$U$104,0)),""))</f>
        <v/>
      </c>
      <c r="I15" s="57" t="str">
        <f aca="false">IF($A15="","",IFERROR(INDEX(15_商機字典_OppLibrary!$K$5:$K$104,MATCH($A15,15_商機字典_OppLibrary!$U$5:$U$104,0)),""))</f>
        <v/>
      </c>
      <c r="J15" s="54" t="str">
        <f aca="false">IF($A15="","",IFERROR(INDEX(15_商機字典_OppLibrary!$N$5:$N$104,MATCH($A15,15_商機字典_OppLibrary!$U$5:$U$104,0)),""))</f>
        <v/>
      </c>
      <c r="K15" s="55" t="str">
        <f aca="false">IF($A15="","",IFERROR(INDEX(15_商機字典_OppLibrary!$O$5:$O$104,MATCH($A15,15_商機字典_OppLibrary!$U$5:$U$104,0)),""))</f>
        <v/>
      </c>
      <c r="L15" s="55" t="str">
        <f aca="false">IF($A15="","",IFERROR(INDEX(15_商機字典_OppLibrary!$P$5:$P$104,MATCH($A15,15_商機字典_OppLibrary!$U$5:$U$104,0)),""))</f>
        <v/>
      </c>
      <c r="M15" s="52"/>
      <c r="N15" s="59"/>
      <c r="O15" s="59"/>
      <c r="P15" s="59"/>
      <c r="Q15" s="59"/>
      <c r="R15" s="52"/>
      <c r="S15" s="52"/>
    </row>
    <row r="16" customFormat="false" ht="33.75" hidden="false" customHeight="true" outlineLevel="0" collapsed="false">
      <c r="A16" s="52"/>
      <c r="B16" s="213" t="str">
        <f aca="false">IF($A16="","",IFERROR(INDEX(15_商機字典_OppLibrary!$B$5:$B$104,MATCH($A16,15_商機字典_OppLibrary!$U$5:$U$104,0)),""))</f>
        <v/>
      </c>
      <c r="C16" s="54" t="str">
        <f aca="false">IF($A16="","",IFERROR(INDEX(15_商機字典_OppLibrary!$D$5:$D$104,MATCH($A16,15_商機字典_OppLibrary!$U$5:$U$104,0)),""))</f>
        <v/>
      </c>
      <c r="D16" s="214" t="str">
        <f aca="false">IF($A16="","",IFERROR(INDEX(15_商機字典_OppLibrary!$F$5:$F$104,MATCH($A16,15_商機字典_OppLibrary!$U$5:$U$104,0)),""))</f>
        <v/>
      </c>
      <c r="E16" s="54" t="str">
        <f aca="false">IF($A16="","",IFERROR(INDEX(15_商機字典_OppLibrary!$G$5:$G$104,MATCH($A16,15_商機字典_OppLibrary!$U$5:$U$104,0)),""))</f>
        <v/>
      </c>
      <c r="F16" s="55" t="str">
        <f aca="false">IF($A16="","",IFERROR(INDEX(15_商機字典_OppLibrary!$H$5:$H$104,MATCH($A16,15_商機字典_OppLibrary!$U$5:$U$104,0)),""))</f>
        <v/>
      </c>
      <c r="G16" s="56" t="str">
        <f aca="false">IF($A16="","",IFERROR(INDEX(15_商機字典_OppLibrary!$I$5:$I$104,MATCH($A16,15_商機字典_OppLibrary!$U$5:$U$104,0)),""))</f>
        <v/>
      </c>
      <c r="H16" s="56" t="str">
        <f aca="false">IF($A16="","",IFERROR(INDEX(15_商機字典_OppLibrary!$J$5:$J$104,MATCH($A16,15_商機字典_OppLibrary!$U$5:$U$104,0)),""))</f>
        <v/>
      </c>
      <c r="I16" s="57" t="str">
        <f aca="false">IF($A16="","",IFERROR(INDEX(15_商機字典_OppLibrary!$K$5:$K$104,MATCH($A16,15_商機字典_OppLibrary!$U$5:$U$104,0)),""))</f>
        <v/>
      </c>
      <c r="J16" s="54" t="str">
        <f aca="false">IF($A16="","",IFERROR(INDEX(15_商機字典_OppLibrary!$N$5:$N$104,MATCH($A16,15_商機字典_OppLibrary!$U$5:$U$104,0)),""))</f>
        <v/>
      </c>
      <c r="K16" s="55" t="str">
        <f aca="false">IF($A16="","",IFERROR(INDEX(15_商機字典_OppLibrary!$O$5:$O$104,MATCH($A16,15_商機字典_OppLibrary!$U$5:$U$104,0)),""))</f>
        <v/>
      </c>
      <c r="L16" s="55" t="str">
        <f aca="false">IF($A16="","",IFERROR(INDEX(15_商機字典_OppLibrary!$P$5:$P$104,MATCH($A16,15_商機字典_OppLibrary!$U$5:$U$104,0)),""))</f>
        <v/>
      </c>
      <c r="M16" s="52"/>
      <c r="N16" s="59"/>
      <c r="O16" s="59"/>
      <c r="P16" s="59"/>
      <c r="Q16" s="59"/>
      <c r="R16" s="52"/>
      <c r="S16" s="52"/>
    </row>
    <row r="17" customFormat="false" ht="33.75" hidden="false" customHeight="true" outlineLevel="0" collapsed="false">
      <c r="A17" s="52"/>
      <c r="B17" s="213" t="str">
        <f aca="false">IF($A17="","",IFERROR(INDEX(15_商機字典_OppLibrary!$B$5:$B$104,MATCH($A17,15_商機字典_OppLibrary!$U$5:$U$104,0)),""))</f>
        <v/>
      </c>
      <c r="C17" s="54" t="str">
        <f aca="false">IF($A17="","",IFERROR(INDEX(15_商機字典_OppLibrary!$D$5:$D$104,MATCH($A17,15_商機字典_OppLibrary!$U$5:$U$104,0)),""))</f>
        <v/>
      </c>
      <c r="D17" s="214" t="str">
        <f aca="false">IF($A17="","",IFERROR(INDEX(15_商機字典_OppLibrary!$F$5:$F$104,MATCH($A17,15_商機字典_OppLibrary!$U$5:$U$104,0)),""))</f>
        <v/>
      </c>
      <c r="E17" s="54" t="str">
        <f aca="false">IF($A17="","",IFERROR(INDEX(15_商機字典_OppLibrary!$G$5:$G$104,MATCH($A17,15_商機字典_OppLibrary!$U$5:$U$104,0)),""))</f>
        <v/>
      </c>
      <c r="F17" s="55" t="str">
        <f aca="false">IF($A17="","",IFERROR(INDEX(15_商機字典_OppLibrary!$H$5:$H$104,MATCH($A17,15_商機字典_OppLibrary!$U$5:$U$104,0)),""))</f>
        <v/>
      </c>
      <c r="G17" s="56" t="str">
        <f aca="false">IF($A17="","",IFERROR(INDEX(15_商機字典_OppLibrary!$I$5:$I$104,MATCH($A17,15_商機字典_OppLibrary!$U$5:$U$104,0)),""))</f>
        <v/>
      </c>
      <c r="H17" s="56" t="str">
        <f aca="false">IF($A17="","",IFERROR(INDEX(15_商機字典_OppLibrary!$J$5:$J$104,MATCH($A17,15_商機字典_OppLibrary!$U$5:$U$104,0)),""))</f>
        <v/>
      </c>
      <c r="I17" s="57" t="str">
        <f aca="false">IF($A17="","",IFERROR(INDEX(15_商機字典_OppLibrary!$K$5:$K$104,MATCH($A17,15_商機字典_OppLibrary!$U$5:$U$104,0)),""))</f>
        <v/>
      </c>
      <c r="J17" s="54" t="str">
        <f aca="false">IF($A17="","",IFERROR(INDEX(15_商機字典_OppLibrary!$N$5:$N$104,MATCH($A17,15_商機字典_OppLibrary!$U$5:$U$104,0)),""))</f>
        <v/>
      </c>
      <c r="K17" s="55" t="str">
        <f aca="false">IF($A17="","",IFERROR(INDEX(15_商機字典_OppLibrary!$O$5:$O$104,MATCH($A17,15_商機字典_OppLibrary!$U$5:$U$104,0)),""))</f>
        <v/>
      </c>
      <c r="L17" s="55" t="str">
        <f aca="false">IF($A17="","",IFERROR(INDEX(15_商機字典_OppLibrary!$P$5:$P$104,MATCH($A17,15_商機字典_OppLibrary!$U$5:$U$104,0)),""))</f>
        <v/>
      </c>
      <c r="M17" s="52"/>
      <c r="N17" s="59"/>
      <c r="O17" s="59"/>
      <c r="P17" s="59"/>
      <c r="Q17" s="59"/>
      <c r="R17" s="52"/>
      <c r="S17" s="52"/>
    </row>
    <row r="18" customFormat="false" ht="33.75" hidden="false" customHeight="true" outlineLevel="0" collapsed="false">
      <c r="A18" s="52"/>
      <c r="B18" s="213" t="str">
        <f aca="false">IF($A18="","",IFERROR(INDEX(15_商機字典_OppLibrary!$B$5:$B$104,MATCH($A18,15_商機字典_OppLibrary!$U$5:$U$104,0)),""))</f>
        <v/>
      </c>
      <c r="C18" s="54" t="str">
        <f aca="false">IF($A18="","",IFERROR(INDEX(15_商機字典_OppLibrary!$D$5:$D$104,MATCH($A18,15_商機字典_OppLibrary!$U$5:$U$104,0)),""))</f>
        <v/>
      </c>
      <c r="D18" s="214" t="str">
        <f aca="false">IF($A18="","",IFERROR(INDEX(15_商機字典_OppLibrary!$F$5:$F$104,MATCH($A18,15_商機字典_OppLibrary!$U$5:$U$104,0)),""))</f>
        <v/>
      </c>
      <c r="E18" s="54" t="str">
        <f aca="false">IF($A18="","",IFERROR(INDEX(15_商機字典_OppLibrary!$G$5:$G$104,MATCH($A18,15_商機字典_OppLibrary!$U$5:$U$104,0)),""))</f>
        <v/>
      </c>
      <c r="F18" s="55" t="str">
        <f aca="false">IF($A18="","",IFERROR(INDEX(15_商機字典_OppLibrary!$H$5:$H$104,MATCH($A18,15_商機字典_OppLibrary!$U$5:$U$104,0)),""))</f>
        <v/>
      </c>
      <c r="G18" s="56" t="str">
        <f aca="false">IF($A18="","",IFERROR(INDEX(15_商機字典_OppLibrary!$I$5:$I$104,MATCH($A18,15_商機字典_OppLibrary!$U$5:$U$104,0)),""))</f>
        <v/>
      </c>
      <c r="H18" s="56" t="str">
        <f aca="false">IF($A18="","",IFERROR(INDEX(15_商機字典_OppLibrary!$J$5:$J$104,MATCH($A18,15_商機字典_OppLibrary!$U$5:$U$104,0)),""))</f>
        <v/>
      </c>
      <c r="I18" s="57" t="str">
        <f aca="false">IF($A18="","",IFERROR(INDEX(15_商機字典_OppLibrary!$K$5:$K$104,MATCH($A18,15_商機字典_OppLibrary!$U$5:$U$104,0)),""))</f>
        <v/>
      </c>
      <c r="J18" s="54" t="str">
        <f aca="false">IF($A18="","",IFERROR(INDEX(15_商機字典_OppLibrary!$N$5:$N$104,MATCH($A18,15_商機字典_OppLibrary!$U$5:$U$104,0)),""))</f>
        <v/>
      </c>
      <c r="K18" s="55" t="str">
        <f aca="false">IF($A18="","",IFERROR(INDEX(15_商機字典_OppLibrary!$O$5:$O$104,MATCH($A18,15_商機字典_OppLibrary!$U$5:$U$104,0)),""))</f>
        <v/>
      </c>
      <c r="L18" s="55" t="str">
        <f aca="false">IF($A18="","",IFERROR(INDEX(15_商機字典_OppLibrary!$P$5:$P$104,MATCH($A18,15_商機字典_OppLibrary!$U$5:$U$104,0)),""))</f>
        <v/>
      </c>
      <c r="M18" s="52"/>
      <c r="N18" s="59"/>
      <c r="O18" s="59"/>
      <c r="P18" s="59"/>
      <c r="Q18" s="59"/>
      <c r="R18" s="52"/>
      <c r="S18" s="52"/>
    </row>
    <row r="19" customFormat="false" ht="33.75" hidden="false" customHeight="true" outlineLevel="0" collapsed="false">
      <c r="A19" s="52"/>
      <c r="B19" s="213" t="str">
        <f aca="false">IF($A19="","",IFERROR(INDEX(15_商機字典_OppLibrary!$B$5:$B$104,MATCH($A19,15_商機字典_OppLibrary!$U$5:$U$104,0)),""))</f>
        <v/>
      </c>
      <c r="C19" s="54" t="str">
        <f aca="false">IF($A19="","",IFERROR(INDEX(15_商機字典_OppLibrary!$D$5:$D$104,MATCH($A19,15_商機字典_OppLibrary!$U$5:$U$104,0)),""))</f>
        <v/>
      </c>
      <c r="D19" s="214" t="str">
        <f aca="false">IF($A19="","",IFERROR(INDEX(15_商機字典_OppLibrary!$F$5:$F$104,MATCH($A19,15_商機字典_OppLibrary!$U$5:$U$104,0)),""))</f>
        <v/>
      </c>
      <c r="E19" s="54" t="str">
        <f aca="false">IF($A19="","",IFERROR(INDEX(15_商機字典_OppLibrary!$G$5:$G$104,MATCH($A19,15_商機字典_OppLibrary!$U$5:$U$104,0)),""))</f>
        <v/>
      </c>
      <c r="F19" s="55" t="str">
        <f aca="false">IF($A19="","",IFERROR(INDEX(15_商機字典_OppLibrary!$H$5:$H$104,MATCH($A19,15_商機字典_OppLibrary!$U$5:$U$104,0)),""))</f>
        <v/>
      </c>
      <c r="G19" s="56" t="str">
        <f aca="false">IF($A19="","",IFERROR(INDEX(15_商機字典_OppLibrary!$I$5:$I$104,MATCH($A19,15_商機字典_OppLibrary!$U$5:$U$104,0)),""))</f>
        <v/>
      </c>
      <c r="H19" s="56" t="str">
        <f aca="false">IF($A19="","",IFERROR(INDEX(15_商機字典_OppLibrary!$J$5:$J$104,MATCH($A19,15_商機字典_OppLibrary!$U$5:$U$104,0)),""))</f>
        <v/>
      </c>
      <c r="I19" s="57" t="str">
        <f aca="false">IF($A19="","",IFERROR(INDEX(15_商機字典_OppLibrary!$K$5:$K$104,MATCH($A19,15_商機字典_OppLibrary!$U$5:$U$104,0)),""))</f>
        <v/>
      </c>
      <c r="J19" s="54" t="str">
        <f aca="false">IF($A19="","",IFERROR(INDEX(15_商機字典_OppLibrary!$N$5:$N$104,MATCH($A19,15_商機字典_OppLibrary!$U$5:$U$104,0)),""))</f>
        <v/>
      </c>
      <c r="K19" s="55" t="str">
        <f aca="false">IF($A19="","",IFERROR(INDEX(15_商機字典_OppLibrary!$O$5:$O$104,MATCH($A19,15_商機字典_OppLibrary!$U$5:$U$104,0)),""))</f>
        <v/>
      </c>
      <c r="L19" s="55" t="str">
        <f aca="false">IF($A19="","",IFERROR(INDEX(15_商機字典_OppLibrary!$P$5:$P$104,MATCH($A19,15_商機字典_OppLibrary!$U$5:$U$104,0)),""))</f>
        <v/>
      </c>
      <c r="M19" s="52"/>
      <c r="N19" s="59"/>
      <c r="O19" s="59"/>
      <c r="P19" s="59"/>
      <c r="Q19" s="59"/>
      <c r="R19" s="52"/>
      <c r="S19" s="52"/>
    </row>
    <row r="20" customFormat="false" ht="33.75" hidden="false" customHeight="true" outlineLevel="0" collapsed="false">
      <c r="A20" s="52"/>
      <c r="B20" s="213" t="str">
        <f aca="false">IF($A20="","",IFERROR(INDEX(15_商機字典_OppLibrary!$B$5:$B$104,MATCH($A20,15_商機字典_OppLibrary!$U$5:$U$104,0)),""))</f>
        <v/>
      </c>
      <c r="C20" s="54" t="str">
        <f aca="false">IF($A20="","",IFERROR(INDEX(15_商機字典_OppLibrary!$D$5:$D$104,MATCH($A20,15_商機字典_OppLibrary!$U$5:$U$104,0)),""))</f>
        <v/>
      </c>
      <c r="D20" s="214" t="str">
        <f aca="false">IF($A20="","",IFERROR(INDEX(15_商機字典_OppLibrary!$F$5:$F$104,MATCH($A20,15_商機字典_OppLibrary!$U$5:$U$104,0)),""))</f>
        <v/>
      </c>
      <c r="E20" s="54" t="str">
        <f aca="false">IF($A20="","",IFERROR(INDEX(15_商機字典_OppLibrary!$G$5:$G$104,MATCH($A20,15_商機字典_OppLibrary!$U$5:$U$104,0)),""))</f>
        <v/>
      </c>
      <c r="F20" s="55" t="str">
        <f aca="false">IF($A20="","",IFERROR(INDEX(15_商機字典_OppLibrary!$H$5:$H$104,MATCH($A20,15_商機字典_OppLibrary!$U$5:$U$104,0)),""))</f>
        <v/>
      </c>
      <c r="G20" s="56" t="str">
        <f aca="false">IF($A20="","",IFERROR(INDEX(15_商機字典_OppLibrary!$I$5:$I$104,MATCH($A20,15_商機字典_OppLibrary!$U$5:$U$104,0)),""))</f>
        <v/>
      </c>
      <c r="H20" s="56" t="str">
        <f aca="false">IF($A20="","",IFERROR(INDEX(15_商機字典_OppLibrary!$J$5:$J$104,MATCH($A20,15_商機字典_OppLibrary!$U$5:$U$104,0)),""))</f>
        <v/>
      </c>
      <c r="I20" s="57" t="str">
        <f aca="false">IF($A20="","",IFERROR(INDEX(15_商機字典_OppLibrary!$K$5:$K$104,MATCH($A20,15_商機字典_OppLibrary!$U$5:$U$104,0)),""))</f>
        <v/>
      </c>
      <c r="J20" s="54" t="str">
        <f aca="false">IF($A20="","",IFERROR(INDEX(15_商機字典_OppLibrary!$N$5:$N$104,MATCH($A20,15_商機字典_OppLibrary!$U$5:$U$104,0)),""))</f>
        <v/>
      </c>
      <c r="K20" s="55" t="str">
        <f aca="false">IF($A20="","",IFERROR(INDEX(15_商機字典_OppLibrary!$O$5:$O$104,MATCH($A20,15_商機字典_OppLibrary!$U$5:$U$104,0)),""))</f>
        <v/>
      </c>
      <c r="L20" s="55" t="str">
        <f aca="false">IF($A20="","",IFERROR(INDEX(15_商機字典_OppLibrary!$P$5:$P$104,MATCH($A20,15_商機字典_OppLibrary!$U$5:$U$104,0)),""))</f>
        <v/>
      </c>
      <c r="M20" s="52"/>
      <c r="N20" s="59"/>
      <c r="O20" s="59"/>
      <c r="P20" s="59"/>
      <c r="Q20" s="59"/>
      <c r="R20" s="52"/>
      <c r="S20" s="52"/>
    </row>
    <row r="21" customFormat="false" ht="33.75" hidden="false" customHeight="true" outlineLevel="0" collapsed="false">
      <c r="A21" s="52"/>
      <c r="B21" s="213" t="str">
        <f aca="false">IF($A21="","",IFERROR(INDEX(15_商機字典_OppLibrary!$B$5:$B$104,MATCH($A21,15_商機字典_OppLibrary!$U$5:$U$104,0)),""))</f>
        <v/>
      </c>
      <c r="C21" s="54" t="str">
        <f aca="false">IF($A21="","",IFERROR(INDEX(15_商機字典_OppLibrary!$D$5:$D$104,MATCH($A21,15_商機字典_OppLibrary!$U$5:$U$104,0)),""))</f>
        <v/>
      </c>
      <c r="D21" s="214" t="str">
        <f aca="false">IF($A21="","",IFERROR(INDEX(15_商機字典_OppLibrary!$F$5:$F$104,MATCH($A21,15_商機字典_OppLibrary!$U$5:$U$104,0)),""))</f>
        <v/>
      </c>
      <c r="E21" s="54" t="str">
        <f aca="false">IF($A21="","",IFERROR(INDEX(15_商機字典_OppLibrary!$G$5:$G$104,MATCH($A21,15_商機字典_OppLibrary!$U$5:$U$104,0)),""))</f>
        <v/>
      </c>
      <c r="F21" s="55" t="str">
        <f aca="false">IF($A21="","",IFERROR(INDEX(15_商機字典_OppLibrary!$H$5:$H$104,MATCH($A21,15_商機字典_OppLibrary!$U$5:$U$104,0)),""))</f>
        <v/>
      </c>
      <c r="G21" s="56" t="str">
        <f aca="false">IF($A21="","",IFERROR(INDEX(15_商機字典_OppLibrary!$I$5:$I$104,MATCH($A21,15_商機字典_OppLibrary!$U$5:$U$104,0)),""))</f>
        <v/>
      </c>
      <c r="H21" s="56" t="str">
        <f aca="false">IF($A21="","",IFERROR(INDEX(15_商機字典_OppLibrary!$J$5:$J$104,MATCH($A21,15_商機字典_OppLibrary!$U$5:$U$104,0)),""))</f>
        <v/>
      </c>
      <c r="I21" s="57" t="str">
        <f aca="false">IF($A21="","",IFERROR(INDEX(15_商機字典_OppLibrary!$K$5:$K$104,MATCH($A21,15_商機字典_OppLibrary!$U$5:$U$104,0)),""))</f>
        <v/>
      </c>
      <c r="J21" s="54" t="str">
        <f aca="false">IF($A21="","",IFERROR(INDEX(15_商機字典_OppLibrary!$N$5:$N$104,MATCH($A21,15_商機字典_OppLibrary!$U$5:$U$104,0)),""))</f>
        <v/>
      </c>
      <c r="K21" s="55" t="str">
        <f aca="false">IF($A21="","",IFERROR(INDEX(15_商機字典_OppLibrary!$O$5:$O$104,MATCH($A21,15_商機字典_OppLibrary!$U$5:$U$104,0)),""))</f>
        <v/>
      </c>
      <c r="L21" s="55" t="str">
        <f aca="false">IF($A21="","",IFERROR(INDEX(15_商機字典_OppLibrary!$P$5:$P$104,MATCH($A21,15_商機字典_OppLibrary!$U$5:$U$104,0)),""))</f>
        <v/>
      </c>
      <c r="M21" s="52"/>
      <c r="N21" s="59"/>
      <c r="O21" s="59"/>
      <c r="P21" s="59"/>
      <c r="Q21" s="59"/>
      <c r="R21" s="52"/>
      <c r="S21" s="52"/>
    </row>
    <row r="22" customFormat="false" ht="33.75" hidden="false" customHeight="true" outlineLevel="0" collapsed="false">
      <c r="A22" s="52"/>
      <c r="B22" s="213" t="str">
        <f aca="false">IF($A22="","",IFERROR(INDEX(15_商機字典_OppLibrary!$B$5:$B$104,MATCH($A22,15_商機字典_OppLibrary!$U$5:$U$104,0)),""))</f>
        <v/>
      </c>
      <c r="C22" s="54" t="str">
        <f aca="false">IF($A22="","",IFERROR(INDEX(15_商機字典_OppLibrary!$D$5:$D$104,MATCH($A22,15_商機字典_OppLibrary!$U$5:$U$104,0)),""))</f>
        <v/>
      </c>
      <c r="D22" s="214" t="str">
        <f aca="false">IF($A22="","",IFERROR(INDEX(15_商機字典_OppLibrary!$F$5:$F$104,MATCH($A22,15_商機字典_OppLibrary!$U$5:$U$104,0)),""))</f>
        <v/>
      </c>
      <c r="E22" s="54" t="str">
        <f aca="false">IF($A22="","",IFERROR(INDEX(15_商機字典_OppLibrary!$G$5:$G$104,MATCH($A22,15_商機字典_OppLibrary!$U$5:$U$104,0)),""))</f>
        <v/>
      </c>
      <c r="F22" s="55" t="str">
        <f aca="false">IF($A22="","",IFERROR(INDEX(15_商機字典_OppLibrary!$H$5:$H$104,MATCH($A22,15_商機字典_OppLibrary!$U$5:$U$104,0)),""))</f>
        <v/>
      </c>
      <c r="G22" s="56" t="str">
        <f aca="false">IF($A22="","",IFERROR(INDEX(15_商機字典_OppLibrary!$I$5:$I$104,MATCH($A22,15_商機字典_OppLibrary!$U$5:$U$104,0)),""))</f>
        <v/>
      </c>
      <c r="H22" s="56" t="str">
        <f aca="false">IF($A22="","",IFERROR(INDEX(15_商機字典_OppLibrary!$J$5:$J$104,MATCH($A22,15_商機字典_OppLibrary!$U$5:$U$104,0)),""))</f>
        <v/>
      </c>
      <c r="I22" s="57" t="str">
        <f aca="false">IF($A22="","",IFERROR(INDEX(15_商機字典_OppLibrary!$K$5:$K$104,MATCH($A22,15_商機字典_OppLibrary!$U$5:$U$104,0)),""))</f>
        <v/>
      </c>
      <c r="J22" s="54" t="str">
        <f aca="false">IF($A22="","",IFERROR(INDEX(15_商機字典_OppLibrary!$N$5:$N$104,MATCH($A22,15_商機字典_OppLibrary!$U$5:$U$104,0)),""))</f>
        <v/>
      </c>
      <c r="K22" s="55" t="str">
        <f aca="false">IF($A22="","",IFERROR(INDEX(15_商機字典_OppLibrary!$O$5:$O$104,MATCH($A22,15_商機字典_OppLibrary!$U$5:$U$104,0)),""))</f>
        <v/>
      </c>
      <c r="L22" s="55" t="str">
        <f aca="false">IF($A22="","",IFERROR(INDEX(15_商機字典_OppLibrary!$P$5:$P$104,MATCH($A22,15_商機字典_OppLibrary!$U$5:$U$104,0)),""))</f>
        <v/>
      </c>
      <c r="M22" s="52"/>
      <c r="N22" s="59"/>
      <c r="O22" s="59"/>
      <c r="P22" s="59"/>
      <c r="Q22" s="59"/>
      <c r="R22" s="52"/>
      <c r="S22" s="52"/>
    </row>
    <row r="23" customFormat="false" ht="33.75" hidden="false" customHeight="true" outlineLevel="0" collapsed="false">
      <c r="A23" s="52"/>
      <c r="B23" s="213" t="str">
        <f aca="false">IF($A23="","",IFERROR(INDEX(15_商機字典_OppLibrary!$B$5:$B$104,MATCH($A23,15_商機字典_OppLibrary!$U$5:$U$104,0)),""))</f>
        <v/>
      </c>
      <c r="C23" s="54" t="str">
        <f aca="false">IF($A23="","",IFERROR(INDEX(15_商機字典_OppLibrary!$D$5:$D$104,MATCH($A23,15_商機字典_OppLibrary!$U$5:$U$104,0)),""))</f>
        <v/>
      </c>
      <c r="D23" s="214" t="str">
        <f aca="false">IF($A23="","",IFERROR(INDEX(15_商機字典_OppLibrary!$F$5:$F$104,MATCH($A23,15_商機字典_OppLibrary!$U$5:$U$104,0)),""))</f>
        <v/>
      </c>
      <c r="E23" s="54" t="str">
        <f aca="false">IF($A23="","",IFERROR(INDEX(15_商機字典_OppLibrary!$G$5:$G$104,MATCH($A23,15_商機字典_OppLibrary!$U$5:$U$104,0)),""))</f>
        <v/>
      </c>
      <c r="F23" s="55" t="str">
        <f aca="false">IF($A23="","",IFERROR(INDEX(15_商機字典_OppLibrary!$H$5:$H$104,MATCH($A23,15_商機字典_OppLibrary!$U$5:$U$104,0)),""))</f>
        <v/>
      </c>
      <c r="G23" s="56" t="str">
        <f aca="false">IF($A23="","",IFERROR(INDEX(15_商機字典_OppLibrary!$I$5:$I$104,MATCH($A23,15_商機字典_OppLibrary!$U$5:$U$104,0)),""))</f>
        <v/>
      </c>
      <c r="H23" s="56" t="str">
        <f aca="false">IF($A23="","",IFERROR(INDEX(15_商機字典_OppLibrary!$J$5:$J$104,MATCH($A23,15_商機字典_OppLibrary!$U$5:$U$104,0)),""))</f>
        <v/>
      </c>
      <c r="I23" s="57" t="str">
        <f aca="false">IF($A23="","",IFERROR(INDEX(15_商機字典_OppLibrary!$K$5:$K$104,MATCH($A23,15_商機字典_OppLibrary!$U$5:$U$104,0)),""))</f>
        <v/>
      </c>
      <c r="J23" s="54" t="str">
        <f aca="false">IF($A23="","",IFERROR(INDEX(15_商機字典_OppLibrary!$N$5:$N$104,MATCH($A23,15_商機字典_OppLibrary!$U$5:$U$104,0)),""))</f>
        <v/>
      </c>
      <c r="K23" s="55" t="str">
        <f aca="false">IF($A23="","",IFERROR(INDEX(15_商機字典_OppLibrary!$O$5:$O$104,MATCH($A23,15_商機字典_OppLibrary!$U$5:$U$104,0)),""))</f>
        <v/>
      </c>
      <c r="L23" s="55" t="str">
        <f aca="false">IF($A23="","",IFERROR(INDEX(15_商機字典_OppLibrary!$P$5:$P$104,MATCH($A23,15_商機字典_OppLibrary!$U$5:$U$104,0)),""))</f>
        <v/>
      </c>
      <c r="M23" s="52"/>
      <c r="N23" s="59"/>
      <c r="O23" s="59"/>
      <c r="P23" s="59"/>
      <c r="Q23" s="59"/>
      <c r="R23" s="52"/>
      <c r="S23" s="52"/>
    </row>
    <row r="24" customFormat="false" ht="33.75" hidden="false" customHeight="true" outlineLevel="0" collapsed="false">
      <c r="A24" s="52"/>
      <c r="B24" s="213" t="str">
        <f aca="false">IF($A24="","",IFERROR(INDEX(15_商機字典_OppLibrary!$B$5:$B$104,MATCH($A24,15_商機字典_OppLibrary!$U$5:$U$104,0)),""))</f>
        <v/>
      </c>
      <c r="C24" s="54" t="str">
        <f aca="false">IF($A24="","",IFERROR(INDEX(15_商機字典_OppLibrary!$D$5:$D$104,MATCH($A24,15_商機字典_OppLibrary!$U$5:$U$104,0)),""))</f>
        <v/>
      </c>
      <c r="D24" s="214" t="str">
        <f aca="false">IF($A24="","",IFERROR(INDEX(15_商機字典_OppLibrary!$F$5:$F$104,MATCH($A24,15_商機字典_OppLibrary!$U$5:$U$104,0)),""))</f>
        <v/>
      </c>
      <c r="E24" s="54" t="str">
        <f aca="false">IF($A24="","",IFERROR(INDEX(15_商機字典_OppLibrary!$G$5:$G$104,MATCH($A24,15_商機字典_OppLibrary!$U$5:$U$104,0)),""))</f>
        <v/>
      </c>
      <c r="F24" s="55" t="str">
        <f aca="false">IF($A24="","",IFERROR(INDEX(15_商機字典_OppLibrary!$H$5:$H$104,MATCH($A24,15_商機字典_OppLibrary!$U$5:$U$104,0)),""))</f>
        <v/>
      </c>
      <c r="G24" s="56" t="str">
        <f aca="false">IF($A24="","",IFERROR(INDEX(15_商機字典_OppLibrary!$I$5:$I$104,MATCH($A24,15_商機字典_OppLibrary!$U$5:$U$104,0)),""))</f>
        <v/>
      </c>
      <c r="H24" s="56" t="str">
        <f aca="false">IF($A24="","",IFERROR(INDEX(15_商機字典_OppLibrary!$J$5:$J$104,MATCH($A24,15_商機字典_OppLibrary!$U$5:$U$104,0)),""))</f>
        <v/>
      </c>
      <c r="I24" s="57" t="str">
        <f aca="false">IF($A24="","",IFERROR(INDEX(15_商機字典_OppLibrary!$K$5:$K$104,MATCH($A24,15_商機字典_OppLibrary!$U$5:$U$104,0)),""))</f>
        <v/>
      </c>
      <c r="J24" s="54" t="str">
        <f aca="false">IF($A24="","",IFERROR(INDEX(15_商機字典_OppLibrary!$N$5:$N$104,MATCH($A24,15_商機字典_OppLibrary!$U$5:$U$104,0)),""))</f>
        <v/>
      </c>
      <c r="K24" s="55" t="str">
        <f aca="false">IF($A24="","",IFERROR(INDEX(15_商機字典_OppLibrary!$O$5:$O$104,MATCH($A24,15_商機字典_OppLibrary!$U$5:$U$104,0)),""))</f>
        <v/>
      </c>
      <c r="L24" s="55" t="str">
        <f aca="false">IF($A24="","",IFERROR(INDEX(15_商機字典_OppLibrary!$P$5:$P$104,MATCH($A24,15_商機字典_OppLibrary!$U$5:$U$104,0)),""))</f>
        <v/>
      </c>
      <c r="M24" s="52"/>
      <c r="N24" s="59"/>
      <c r="O24" s="59"/>
      <c r="P24" s="59"/>
      <c r="Q24" s="59"/>
      <c r="R24" s="52"/>
      <c r="S24" s="52"/>
    </row>
    <row r="26" customFormat="false" ht="15" hidden="false" customHeight="true" outlineLevel="0" collapsed="false">
      <c r="A26" s="218" t="s">
        <v>1298</v>
      </c>
      <c r="B26" s="218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</row>
    <row r="27" customFormat="false" ht="15" hidden="false" customHeight="false" outlineLevel="0" collapsed="false">
      <c r="A27" s="218"/>
      <c r="B27" s="218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</row>
    <row r="28" customFormat="false" ht="15" hidden="false" customHeight="false" outlineLevel="0" collapsed="false">
      <c r="A28" s="218"/>
      <c r="B28" s="218"/>
      <c r="C28" s="218"/>
      <c r="D28" s="218"/>
      <c r="E28" s="218"/>
      <c r="F28" s="218"/>
      <c r="G28" s="218"/>
      <c r="H28" s="218"/>
      <c r="I28" s="218"/>
      <c r="J28" s="218"/>
      <c r="K28" s="218"/>
      <c r="L28" s="218"/>
      <c r="M28" s="218"/>
      <c r="N28" s="218"/>
      <c r="O28" s="218"/>
      <c r="P28" s="218"/>
      <c r="Q28" s="218"/>
      <c r="R28" s="218"/>
      <c r="S28" s="218"/>
    </row>
  </sheetData>
  <sheetProtection sheet="true" formatColumns="false" formatRows="false" autoFilter="false"/>
  <autoFilter ref="A4:S24"/>
  <mergeCells count="3">
    <mergeCell ref="A1:S1"/>
    <mergeCell ref="A2:S2"/>
    <mergeCell ref="A26:S28"/>
  </mergeCells>
  <conditionalFormatting sqref="P5:P24">
    <cfRule type="expression" priority="2" aboveAverage="0" equalAverage="0" bottom="0" percent="0" rank="0" text="" dxfId="35">
      <formula>ISNUMBER(SEARCH("Won",P5))</formula>
    </cfRule>
    <cfRule type="expression" priority="3" aboveAverage="0" equalAverage="0" bottom="0" percent="0" rank="0" text="" dxfId="34">
      <formula>ISNUMBER(SEARCH("Lost",P5))</formula>
    </cfRule>
    <cfRule type="expression" priority="4" aboveAverage="0" equalAverage="0" bottom="0" percent="0" rank="0" text="" dxfId="33">
      <formula>ISNUMBER(SEARCH("Negotiation",P5))</formula>
    </cfRule>
    <cfRule type="expression" priority="5" aboveAverage="0" equalAverage="0" bottom="0" percent="0" rank="0" text="" dxfId="46">
      <formula>ISNUMBER(SEARCH("Qualified",P5))</formula>
    </cfRule>
    <cfRule type="expression" priority="6" aboveAverage="0" equalAverage="0" bottom="0" percent="0" rank="0" text="" dxfId="34">
      <formula>ISNUMBER(SEARCH("Lead",P5))</formula>
    </cfRule>
  </conditionalFormatting>
  <conditionalFormatting sqref="D5:D24">
    <cfRule type="expression" priority="7" aboveAverage="0" equalAverage="0" bottom="0" percent="0" rank="0" text="" dxfId="32">
      <formula>ISNUMBER(SEARCH("③",D5))</formula>
    </cfRule>
    <cfRule type="expression" priority="8" aboveAverage="0" equalAverage="0" bottom="0" percent="0" rank="0" text="" dxfId="33">
      <formula>ISNUMBER(SEARCH("②",D5))</formula>
    </cfRule>
  </conditionalFormatting>
  <conditionalFormatting sqref="I5:I24">
    <cfRule type="cellIs" priority="9" operator="greaterThan" aboveAverage="0" equalAverage="0" bottom="0" percent="0" rank="0" text="" dxfId="32">
      <formula>0</formula>
    </cfRule>
  </conditionalFormatting>
  <dataValidations count="6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A5:A24" type="list">
      <formula1>L_Opp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M5:M24" type="list">
      <formula1>L_Payer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N5:N24" type="list">
      <formula1>L_PkgTxn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O5:O24" type="list">
      <formula1>L_AmtTier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P5:P24" type="list">
      <formula1>L_DealStage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Q5:Q24" type="list">
      <formula1>L_Lead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R165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24"/>
    <col collapsed="false" customWidth="true" hidden="false" outlineLevel="0" max="93" min="4" style="0" width="3.4"/>
    <col collapsed="false" customWidth="true" hidden="true" outlineLevel="0" max="94" min="94" style="0" width="10"/>
    <col collapsed="false" customWidth="true" hidden="false" outlineLevel="0" max="95" min="95" style="0" width="34"/>
    <col collapsed="false" customWidth="true" hidden="false" outlineLevel="0" max="96" min="96" style="0" width="7"/>
  </cols>
  <sheetData>
    <row r="1" customFormat="false" ht="30" hidden="false" customHeight="true" outlineLevel="0" collapsed="false">
      <c r="A1" s="1" t="s">
        <v>1299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5.5" hidden="false" customHeight="true" outlineLevel="0" collapsed="false">
      <c r="A2" s="4" t="s">
        <v>1300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89.75" hidden="false" customHeight="true" outlineLevel="0" collapsed="false">
      <c r="A3" s="5" t="s">
        <v>946</v>
      </c>
      <c r="D3" s="219" t="str">
        <f aca="false">IF(15_商機字典_OppLibrary!$B$5="","",15_商機字典_OppLibrary!$B$5)</f>
        <v>醫院投資規劃與PPP交易架構顧問</v>
      </c>
      <c r="E3" s="219" t="str">
        <f aca="false">IF(15_商機字典_OppLibrary!$B$6="","",15_商機字典_OppLibrary!$B$6)</f>
        <v>臨床服務定位與營運模式規劃</v>
      </c>
      <c r="F3" s="219" t="str">
        <f aca="false">IF(15_商機字典_OppLibrary!$B$7="","",15_商機字典_OppLibrary!$B$7)</f>
        <v>外資醫院綠地投資與經營</v>
      </c>
      <c r="G3" s="219" t="str">
        <f aca="false">IF(15_商機字典_OppLibrary!$B$8="","",15_商機字典_OppLibrary!$B$8)</f>
        <v>公立醫院合作經營高端診區</v>
      </c>
      <c r="H3" s="219" t="str">
        <f aca="false">IF(15_商機字典_OppLibrary!$B$9="","",15_商機字典_OppLibrary!$B$9)</f>
        <v>省級醫院升級改造整案</v>
      </c>
      <c r="I3" s="219" t="str">
        <f aca="false">IF(15_商機字典_OppLibrary!$B$10="","",15_商機字典_OppLibrary!$B$10)</f>
        <v>醫院建築與院區總體規劃設計</v>
      </c>
      <c r="J3" s="219" t="str">
        <f aca="false">IF(15_商機字典_OppLibrary!$B$11="","",15_商機字典_OppLibrary!$B$11)</f>
        <v>千床級醫院統包工程(EPC)</v>
      </c>
      <c r="K3" s="219" t="str">
        <f aca="false">IF(15_商機字典_OppLibrary!$B$12="","",15_商機字典_OppLibrary!$B$12)</f>
        <v>手術室與加護病房潔淨空調（模組化OR）</v>
      </c>
      <c r="L3" s="219" t="str">
        <f aca="false">IF(15_商機字典_OppLibrary!$B$13="","",15_商機字典_OppLibrary!$B$13)</f>
        <v>醫用氣體與真空系統（含竣工確效）</v>
      </c>
      <c r="M3" s="219" t="str">
        <f aca="false">IF(15_商機字典_OppLibrary!$B$14="","",15_商機字典_OppLibrary!$B$14)</f>
        <v>醫院供電韌性與隔離電源系統</v>
      </c>
      <c r="N3" s="219" t="str">
        <f aca="false">IF(15_商機字典_OppLibrary!$B$15="","",15_商機字典_OppLibrary!$B$15)</f>
        <v>醫療廢水與廢棄物處理廠</v>
      </c>
      <c r="O3" s="219" t="str">
        <f aca="false">IF(15_商機字典_OppLibrary!$B$16="","",15_商機字典_OppLibrary!$B$16)</f>
        <v>綠色醫院能源績效合約與屋頂光電</v>
      </c>
      <c r="P3" s="219" t="str">
        <f aca="false">IF(15_商機字典_OppLibrary!$B$17="","",15_商機字典_OppLibrary!$B$17)</f>
        <v>消毒供應中心(CSSD)設備整廠</v>
      </c>
      <c r="Q3" s="219" t="str">
        <f aca="false">IF(15_商機字典_OppLibrary!$B$18="","",15_商機字典_OppLibrary!$B$18)</f>
        <v>影像設備整批交鑰匙（CT/MRI/DSA＋機房）</v>
      </c>
      <c r="R3" s="219" t="str">
        <f aca="false">IF(15_商機字典_OppLibrary!$B$19="","",15_商機字典_OppLibrary!$B$19)</f>
        <v>放射腫瘤與核醫中心整廠</v>
      </c>
      <c r="S3" s="219" t="str">
        <f aca="false">IF(15_商機字典_OppLibrary!$B$20="","",15_商機字典_OppLibrary!$B$20)</f>
        <v>心導管室與複合式手術室</v>
      </c>
      <c r="T3" s="219" t="str">
        <f aca="false">IF(15_商機字典_OppLibrary!$B$21="","",15_商機字典_OppLibrary!$B$21)</f>
        <v>洗腎設備與水處理系統</v>
      </c>
      <c r="U3" s="219" t="str">
        <f aca="false">IF(15_商機字典_OppLibrary!$B$22="","",15_商機字典_OppLibrary!$B$22)</f>
        <v>內視鏡與自動清洗消毒追溯</v>
      </c>
      <c r="V3" s="219" t="str">
        <f aca="false">IF(15_商機字典_OppLibrary!$B$23="","",15_商機字典_OppLibrary!$B$23)</f>
        <v>加護病房與整合手術室設備包</v>
      </c>
      <c r="W3" s="219" t="str">
        <f aca="false">IF(15_商機字典_OppLibrary!$B$24="","",15_商機字典_OppLibrary!$B$24)</f>
        <v>生殖醫學(IVF)實驗室整廠</v>
      </c>
      <c r="X3" s="219" t="str">
        <f aca="false">IF(15_商機字典_OppLibrary!$B$25="","",15_商機字典_OppLibrary!$B$25)</f>
        <v>檢驗中心自動化與LIS</v>
      </c>
      <c r="Y3" s="219" t="str">
        <f aca="false">IF(15_商機字典_OppLibrary!$B$26="","",15_商機字典_OppLibrary!$B$26)</f>
        <v>醫材登記與市場准入代理</v>
      </c>
      <c r="Z3" s="219" t="str">
        <f aca="false">IF(15_商機字典_OppLibrary!$B$27="","",15_商機字典_OppLibrary!$B$27)</f>
        <v>行動篩檢車與定點篩檢設備</v>
      </c>
      <c r="AA3" s="219" t="str">
        <f aca="false">IF(15_商機字典_OppLibrary!$B$28="","",15_商機字典_OppLibrary!$B$28)</f>
        <v>醫院IDC機房與院區網路建置</v>
      </c>
      <c r="AB3" s="219" t="str">
        <f aca="false">IF(15_商機字典_OppLibrary!$B$29="","",15_商機字典_OppLibrary!$B$29)</f>
        <v>醫療主權雲與境內代管</v>
      </c>
      <c r="AC3" s="219" t="str">
        <f aca="false">IF(15_商機字典_OppLibrary!$B$30="","",15_商機字典_OppLibrary!$B$30)</f>
        <v>智慧院區AIoT（BMS／RTLS／智慧病房）</v>
      </c>
      <c r="AD3" s="219" t="str">
        <f aca="false">IF(15_商機字典_OppLibrary!$B$31="","",15_商機字典_OppLibrary!$B$31)</f>
        <v>醫院資安與等級保護認證</v>
      </c>
      <c r="AE3" s="219" t="str">
        <f aca="false">IF(15_商機字典_OppLibrary!$B$32="","",15_商機字典_OppLibrary!$B$32)</f>
        <v>個資合規與跨境傳輸顧問(PDPL)</v>
      </c>
      <c r="AF3" s="219" t="str">
        <f aca="false">IF(15_商機字典_OppLibrary!$B$33="","",15_商機字典_OppLibrary!$B$33)</f>
        <v>災難復原與營運持續(DR/BCM)</v>
      </c>
      <c r="AG3" s="219" t="str">
        <f aca="false">IF(15_商機字典_OppLibrary!$B$34="","",15_商機字典_OppLibrary!$B$34)</f>
        <v>醫療數位簽章與PKI憑證</v>
      </c>
      <c r="AH3" s="219" t="str">
        <f aca="false">IF(15_商機字典_OppLibrary!$B$35="","",15_商機字典_OppLibrary!$B$35)</f>
        <v>HIS／EMR核心平台導入</v>
      </c>
      <c r="AI3" s="219" t="str">
        <f aca="false">IF(15_商機字典_OppLibrary!$B$36="","",15_商機字典_OppLibrary!$B$36)</f>
        <v>PACS／RIS影像資訊系統</v>
      </c>
      <c r="AJ3" s="219" t="str">
        <f aca="false">IF(15_商機字典_OppLibrary!$B$37="","",15_商機字典_OppLibrary!$B$37)</f>
        <v>FHIR互通平台與資料交換</v>
      </c>
      <c r="AK3" s="219" t="str">
        <f aca="false">IF(15_商機字典_OppLibrary!$B$38="","",15_商機字典_OppLibrary!$B$38)</f>
        <v>主病人索引(MPI)與資料清理</v>
      </c>
      <c r="AL3" s="219" t="str">
        <f aca="false">IF(15_商機字典_OppLibrary!$B$39="","",15_商機字典_OppLibrary!$B$39)</f>
        <v>臨床術語與編碼服務</v>
      </c>
      <c r="AM3" s="219" t="str">
        <f aca="false">IF(15_商機字典_OppLibrary!$B$40="","",15_商機字典_OppLibrary!$B$40)</f>
        <v>省級健康資料中台</v>
      </c>
      <c r="AN3" s="219" t="str">
        <f aca="false">IF(15_商機字典_OppLibrary!$B$41="","",15_商機字典_OppLibrary!$B$41)</f>
        <v>醫院BI與營運指揮中心</v>
      </c>
      <c r="AO3" s="219" t="str">
        <f aca="false">IF(15_商機字典_OppLibrary!$B$42="","",15_商機字典_OppLibrary!$B$42)</f>
        <v>醫材資料介接與床邊自動擷取</v>
      </c>
      <c r="AP3" s="219" t="str">
        <f aca="false">IF(15_商機字典_OppLibrary!$B$43="","",15_商機字典_OppLibrary!$B$43)</f>
        <v>影像長期歸檔(VNA)與異地備援</v>
      </c>
      <c r="AQ3" s="219" t="str">
        <f aca="false">IF(15_商機字典_OppLibrary!$B$44="","",15_商機字典_OppLibrary!$B$44)</f>
        <v>醫療IT代管與以租代購</v>
      </c>
      <c r="AR3" s="219" t="str">
        <f aca="false">IF(15_商機字典_OppLibrary!$B$45="","",15_商機字典_OppLibrary!$B$45)</f>
        <v>電子處方與國家藥品資料庫介接</v>
      </c>
      <c r="AS3" s="219" t="str">
        <f aca="false">IF(15_商機字典_OppLibrary!$B$46="","",15_商機字典_OppLibrary!$B$46)</f>
        <v>閉環給藥與條碼用藥安全</v>
      </c>
      <c r="AT3" s="219" t="str">
        <f aca="false">IF(15_商機字典_OppLibrary!$B$47="","",15_商機字典_OppLibrary!$B$47)</f>
        <v>結核胸片AI篩檢(CAD)</v>
      </c>
      <c r="AU3" s="219" t="str">
        <f aca="false">IF(15_商機字典_OppLibrary!$B$48="","",15_商機字典_OppLibrary!$B$48)</f>
        <v>放射影像分診AI（中風／出血／結節／骨折）</v>
      </c>
      <c r="AV3" s="219" t="str">
        <f aca="false">IF(15_商機字典_OppLibrary!$B$49="","",15_商機字典_OppLibrary!$B$49)</f>
        <v>肺癌CT早篩AI</v>
      </c>
      <c r="AW3" s="219" t="str">
        <f aca="false">IF(15_商機字典_OppLibrary!$B$50="","",15_商機字典_OppLibrary!$B$50)</f>
        <v>內視鏡AI息肉偵測</v>
      </c>
      <c r="AX3" s="219" t="str">
        <f aca="false">IF(15_商機字典_OppLibrary!$B$51="","",15_商機字典_OppLibrary!$B$51)</f>
        <v>糖尿病視網膜病變AI篩檢</v>
      </c>
      <c r="AY3" s="219" t="str">
        <f aca="false">IF(15_商機字典_OppLibrary!$B$52="","",15_商機字典_OppLibrary!$B$52)</f>
        <v>病理數位化與AI判讀</v>
      </c>
      <c r="AZ3" s="219" t="str">
        <f aca="false">IF(15_商機字典_OppLibrary!$B$53="","",15_商機字典_OppLibrary!$B$53)</f>
        <v>越南語AI病歷書寫助理</v>
      </c>
      <c r="BA3" s="219" t="str">
        <f aca="false">IF(15_商機字典_OppLibrary!$B$54="","",15_商機字典_OppLibrary!$B$54)</f>
        <v>臨床大模型助理與知識庫</v>
      </c>
      <c r="BB3" s="219" t="str">
        <f aca="false">IF(15_商機字典_OppLibrary!$B$55="","",15_商機字典_OppLibrary!$B$55)</f>
        <v>健保申報AI審核與拒付管理</v>
      </c>
      <c r="BC3" s="219" t="str">
        <f aca="false">IF(15_商機字典_OppLibrary!$B$56="","",15_商機字典_OppLibrary!$B$56)</f>
        <v>病床病人流AI與手術室排程優化</v>
      </c>
      <c r="BD3" s="219" t="str">
        <f aca="false">IF(15_商機字典_OppLibrary!$B$57="","",15_商機字典_OppLibrary!$B$57)</f>
        <v>藥品耗材需求預測AI</v>
      </c>
      <c r="BE3" s="219" t="str">
        <f aca="false">IF(15_商機字典_OppLibrary!$B$58="","",15_商機字典_OppLibrary!$B$58)</f>
        <v>設備預測維護與能耗優化AI</v>
      </c>
      <c r="BF3" s="219" t="str">
        <f aca="false">IF(15_商機字典_OppLibrary!$B$59="","",15_商機字典_OppLibrary!$B$59)</f>
        <v>敗血症與病情惡化預警AI</v>
      </c>
      <c r="BG3" s="219" t="str">
        <f aca="false">IF(15_商機字典_OppLibrary!$B$60="","",15_商機字典_OppLibrary!$B$60)</f>
        <v>越南語分診聊天機器人與病人助理</v>
      </c>
      <c r="BH3" s="219" t="str">
        <f aca="false">IF(15_商機字典_OppLibrary!$B$61="","",15_商機字典_OppLibrary!$B$61)</f>
        <v>院內GPU與邊緣推論基礎設施</v>
      </c>
      <c r="BI3" s="219" t="str">
        <f aca="false">IF(15_商機字典_OppLibrary!$B$62="","",15_商機字典_OppLibrary!$B$62)</f>
        <v>醫院資料湖、去識別化與AI訓練資料層</v>
      </c>
      <c r="BJ3" s="219" t="str">
        <f aca="false">IF(15_商機字典_OppLibrary!$B$63="","",15_商機字典_OppLibrary!$B$63)</f>
        <v>醫療AI法規登記、在地驗證與模型治理</v>
      </c>
      <c r="BK3" s="219" t="str">
        <f aca="false">IF(15_商機字典_OppLibrary!$B$64="","",15_商機字典_OppLibrary!$B$64)</f>
        <v>JCI品質認證與病安體系導入</v>
      </c>
      <c r="BL3" s="219" t="str">
        <f aca="false">IF(15_商機字典_OppLibrary!$B$65="","",15_商機字典_OppLibrary!$B$65)</f>
        <v>ISO 15189檢驗室認證輔導</v>
      </c>
      <c r="BM3" s="219" t="str">
        <f aca="false">IF(15_商機字典_OppLibrary!$B$66="","",15_商機字典_OppLibrary!$B$66)</f>
        <v>臨床人才培訓、模擬中心與技術移轉</v>
      </c>
      <c r="BN3" s="219" t="str">
        <f aca="false">IF(15_商機字典_OppLibrary!$B$67="","",15_商機字典_OppLibrary!$B$67)</f>
        <v>開院前臨床安全驗證與試營運</v>
      </c>
      <c r="BO3" s="219" t="str">
        <f aca="false">IF(15_商機字典_OppLibrary!$B$68="","",15_商機字典_OppLibrary!$B$68)</f>
        <v>院內物流SPD委外</v>
      </c>
      <c r="BP3" s="219" t="str">
        <f aca="false">IF(15_商機字典_OppLibrary!$B$69="","",15_商機字典_OppLibrary!$B$69)</f>
        <v>消毒供應外包（區域CSSD服務化）</v>
      </c>
      <c r="BQ3" s="219" t="str">
        <f aca="false">IF(15_商機字典_OppLibrary!$B$70="","",15_商機字典_OppLibrary!$B$70)</f>
        <v>醫材維運與託管服務(MES)</v>
      </c>
      <c r="BR3" s="219" t="str">
        <f aca="false">IF(15_商機字典_OppLibrary!$B$71="","",15_商機字典_OppLibrary!$B$71)</f>
        <v>醫院設施管理委外（醫療級FM）</v>
      </c>
      <c r="BS3" s="219" t="str">
        <f aca="false">IF(15_商機字典_OppLibrary!$B$72="","",15_商機字典_OppLibrary!$B$72)</f>
        <v>冷鏈與特殊物料物流</v>
      </c>
      <c r="BT3" s="219" t="str">
        <f aca="false">IF(15_商機字典_OppLibrary!$B$73="","",15_商機字典_OppLibrary!$B$73)</f>
        <v>醫療廢棄物收運處理服務</v>
      </c>
      <c r="BU3" s="219" t="str">
        <f aca="false">IF(15_商機字典_OppLibrary!$B$74="","",15_商機字典_OppLibrary!$B$74)</f>
        <v>在地備品、維修與汰換服務網</v>
      </c>
      <c r="BV3" s="219" t="str">
        <f aca="false">IF(15_商機字典_OppLibrary!$B$75="","",15_商機字典_OppLibrary!$B$75)</f>
        <v>洗腎連鎖（衛星洗腎中心）</v>
      </c>
      <c r="BW3" s="219" t="str">
        <f aca="false">IF(15_商機字典_OppLibrary!$B$76="","",15_商機字典_OppLibrary!$B$76)</f>
        <v>日間手術中心(ASC)</v>
      </c>
      <c r="BX3" s="219" t="str">
        <f aca="false">IF(15_商機字典_OppLibrary!$B$77="","",15_商機字典_OppLibrary!$B$77)</f>
        <v>癌症中心合資經營</v>
      </c>
      <c r="BY3" s="219" t="str">
        <f aca="false">IF(15_商機字典_OppLibrary!$B$78="","",15_商機字典_OppLibrary!$B$78)</f>
        <v>生殖醫學(IVF)連鎖</v>
      </c>
      <c r="BZ3" s="219" t="str">
        <f aca="false">IF(15_商機字典_OppLibrary!$B$79="","",15_商機字典_OppLibrary!$B$79)</f>
        <v>健檢連鎖與行動篩檢營運</v>
      </c>
      <c r="CA3" s="219" t="str">
        <f aca="false">IF(15_商機字典_OppLibrary!$B$80="","",15_商機字典_OppLibrary!$B$80)</f>
        <v>委外檢驗與區域中心實驗室</v>
      </c>
      <c r="CB3" s="219" t="str">
        <f aca="false">IF(15_商機字典_OppLibrary!$B$81="","",15_商機字典_OppLibrary!$B$81)</f>
        <v>長照機構與失智照護</v>
      </c>
      <c r="CC3" s="219" t="str">
        <f aca="false">IF(15_商機字典_OppLibrary!$B$82="","",15_商機字典_OppLibrary!$B$82)</f>
        <v>居家醫療、居家護理與安寧</v>
      </c>
      <c r="CD3" s="219" t="str">
        <f aca="false">IF(15_商機字典_OppLibrary!$B$83="","",15_商機字典_OppLibrary!$B$83)</f>
        <v>復健與亞急性照護中心</v>
      </c>
      <c r="CE3" s="219" t="str">
        <f aca="false">IF(15_商機字典_OppLibrary!$B$84="","",15_商機字典_OppLibrary!$B$84)</f>
        <v>遠距醫療與居家遠端監測</v>
      </c>
      <c r="CF3" s="219" t="str">
        <f aca="false">IF(15_商機字典_OppLibrary!$B$85="","",15_商機字典_OppLibrary!$B$85)</f>
        <v>病人App、無現金支付與報到機</v>
      </c>
      <c r="CG3" s="219" t="str">
        <f aca="false">IF(15_商機字典_OppLibrary!$B$86="","",15_商機字典_OppLibrary!$B$86)</f>
        <v>健保申報介接與收入循環管理</v>
      </c>
      <c r="CH3" s="219" t="str">
        <f aca="false">IF(15_商機字典_OppLibrary!$B$87="","",15_商機字典_OppLibrary!$B$87)</f>
        <v>國際醫療與病患回流方案</v>
      </c>
      <c r="CI3" s="219" t="str">
        <f aca="false">IF(15_商機字典_OppLibrary!$B$88="","",15_商機字典_OppLibrary!$B$88)</f>
        <v>商業健康保險合作與給付方案設計</v>
      </c>
      <c r="CJ3" s="219" t="str">
        <f aca="false">IF(15_商機字典_OppLibrary!$B$89="","",15_商機字典_OppLibrary!$B$89)</f>
        <v>效益實現與第二院區複製藍圖</v>
      </c>
      <c r="CK3" s="219" t="str">
        <f aca="false">IF(15_商機字典_OppLibrary!$B$90="","",15_商機字典_OppLibrary!$B$90)</f>
        <v/>
      </c>
      <c r="CL3" s="219" t="str">
        <f aca="false">IF(15_商機字典_OppLibrary!$B$91="","",15_商機字典_OppLibrary!$B$91)</f>
        <v/>
      </c>
      <c r="CM3" s="219" t="str">
        <f aca="false">IF(15_商機字典_OppLibrary!$B$92="","",15_商機字典_OppLibrary!$B$92)</f>
        <v/>
      </c>
      <c r="CN3" s="219" t="str">
        <f aca="false">IF(15_商機字典_OppLibrary!$B$93="","",15_商機字典_OppLibrary!$B$93)</f>
        <v/>
      </c>
      <c r="CO3" s="219" t="str">
        <f aca="false">IF(15_商機字典_OppLibrary!$B$94="","",15_商機字典_OppLibrary!$B$94)</f>
        <v/>
      </c>
    </row>
    <row r="4" customFormat="false" ht="30" hidden="false" customHeight="true" outlineLevel="0" collapsed="false">
      <c r="A4" s="220" t="s">
        <v>903</v>
      </c>
      <c r="B4" s="36" t="s">
        <v>1301</v>
      </c>
      <c r="C4" s="36" t="s">
        <v>1302</v>
      </c>
      <c r="D4" s="221" t="str">
        <f aca="false">IF(15_商機字典_OppLibrary!$A$5="","",15_商機字典_OppLibrary!$A$5)</f>
        <v>OPP-01</v>
      </c>
      <c r="E4" s="221" t="str">
        <f aca="false">IF(15_商機字典_OppLibrary!$A$6="","",15_商機字典_OppLibrary!$A$6)</f>
        <v>OPP-02</v>
      </c>
      <c r="F4" s="221" t="str">
        <f aca="false">IF(15_商機字典_OppLibrary!$A$7="","",15_商機字典_OppLibrary!$A$7)</f>
        <v>OPP-03</v>
      </c>
      <c r="G4" s="221" t="str">
        <f aca="false">IF(15_商機字典_OppLibrary!$A$8="","",15_商機字典_OppLibrary!$A$8)</f>
        <v>OPP-04</v>
      </c>
      <c r="H4" s="221" t="str">
        <f aca="false">IF(15_商機字典_OppLibrary!$A$9="","",15_商機字典_OppLibrary!$A$9)</f>
        <v>OPP-05</v>
      </c>
      <c r="I4" s="222" t="str">
        <f aca="false">IF(15_商機字典_OppLibrary!$A$10="","",15_商機字典_OppLibrary!$A$10)</f>
        <v>OPP-06</v>
      </c>
      <c r="J4" s="222" t="str">
        <f aca="false">IF(15_商機字典_OppLibrary!$A$11="","",15_商機字典_OppLibrary!$A$11)</f>
        <v>OPP-07</v>
      </c>
      <c r="K4" s="222" t="str">
        <f aca="false">IF(15_商機字典_OppLibrary!$A$12="","",15_商機字典_OppLibrary!$A$12)</f>
        <v>OPP-08</v>
      </c>
      <c r="L4" s="222" t="str">
        <f aca="false">IF(15_商機字典_OppLibrary!$A$13="","",15_商機字典_OppLibrary!$A$13)</f>
        <v>OPP-09</v>
      </c>
      <c r="M4" s="222" t="str">
        <f aca="false">IF(15_商機字典_OppLibrary!$A$14="","",15_商機字典_OppLibrary!$A$14)</f>
        <v>OPP-10</v>
      </c>
      <c r="N4" s="222" t="str">
        <f aca="false">IF(15_商機字典_OppLibrary!$A$15="","",15_商機字典_OppLibrary!$A$15)</f>
        <v>OPP-11</v>
      </c>
      <c r="O4" s="222" t="str">
        <f aca="false">IF(15_商機字典_OppLibrary!$A$16="","",15_商機字典_OppLibrary!$A$16)</f>
        <v>OPP-12</v>
      </c>
      <c r="P4" s="222" t="str">
        <f aca="false">IF(15_商機字典_OppLibrary!$A$17="","",15_商機字典_OppLibrary!$A$17)</f>
        <v>OPP-13</v>
      </c>
      <c r="Q4" s="223" t="str">
        <f aca="false">IF(15_商機字典_OppLibrary!$A$18="","",15_商機字典_OppLibrary!$A$18)</f>
        <v>OPP-14</v>
      </c>
      <c r="R4" s="223" t="str">
        <f aca="false">IF(15_商機字典_OppLibrary!$A$19="","",15_商機字典_OppLibrary!$A$19)</f>
        <v>OPP-15</v>
      </c>
      <c r="S4" s="223" t="str">
        <f aca="false">IF(15_商機字典_OppLibrary!$A$20="","",15_商機字典_OppLibrary!$A$20)</f>
        <v>OPP-16</v>
      </c>
      <c r="T4" s="223" t="str">
        <f aca="false">IF(15_商機字典_OppLibrary!$A$21="","",15_商機字典_OppLibrary!$A$21)</f>
        <v>OPP-17</v>
      </c>
      <c r="U4" s="223" t="str">
        <f aca="false">IF(15_商機字典_OppLibrary!$A$22="","",15_商機字典_OppLibrary!$A$22)</f>
        <v>OPP-18</v>
      </c>
      <c r="V4" s="223" t="str">
        <f aca="false">IF(15_商機字典_OppLibrary!$A$23="","",15_商機字典_OppLibrary!$A$23)</f>
        <v>OPP-19</v>
      </c>
      <c r="W4" s="223" t="str">
        <f aca="false">IF(15_商機字典_OppLibrary!$A$24="","",15_商機字典_OppLibrary!$A$24)</f>
        <v>OPP-20</v>
      </c>
      <c r="X4" s="223" t="str">
        <f aca="false">IF(15_商機字典_OppLibrary!$A$25="","",15_商機字典_OppLibrary!$A$25)</f>
        <v>OPP-21</v>
      </c>
      <c r="Y4" s="223" t="str">
        <f aca="false">IF(15_商機字典_OppLibrary!$A$26="","",15_商機字典_OppLibrary!$A$26)</f>
        <v>OPP-22</v>
      </c>
      <c r="Z4" s="223" t="str">
        <f aca="false">IF(15_商機字典_OppLibrary!$A$27="","",15_商機字典_OppLibrary!$A$27)</f>
        <v>OPP-23</v>
      </c>
      <c r="AA4" s="224" t="str">
        <f aca="false">IF(15_商機字典_OppLibrary!$A$28="","",15_商機字典_OppLibrary!$A$28)</f>
        <v>OPP-24</v>
      </c>
      <c r="AB4" s="224" t="str">
        <f aca="false">IF(15_商機字典_OppLibrary!$A$29="","",15_商機字典_OppLibrary!$A$29)</f>
        <v>OPP-25</v>
      </c>
      <c r="AC4" s="224" t="str">
        <f aca="false">IF(15_商機字典_OppLibrary!$A$30="","",15_商機字典_OppLibrary!$A$30)</f>
        <v>OPP-26</v>
      </c>
      <c r="AD4" s="224" t="str">
        <f aca="false">IF(15_商機字典_OppLibrary!$A$31="","",15_商機字典_OppLibrary!$A$31)</f>
        <v>OPP-27</v>
      </c>
      <c r="AE4" s="224" t="str">
        <f aca="false">IF(15_商機字典_OppLibrary!$A$32="","",15_商機字典_OppLibrary!$A$32)</f>
        <v>OPP-28</v>
      </c>
      <c r="AF4" s="224" t="str">
        <f aca="false">IF(15_商機字典_OppLibrary!$A$33="","",15_商機字典_OppLibrary!$A$33)</f>
        <v>OPP-29</v>
      </c>
      <c r="AG4" s="224" t="str">
        <f aca="false">IF(15_商機字典_OppLibrary!$A$34="","",15_商機字典_OppLibrary!$A$34)</f>
        <v>OPP-30</v>
      </c>
      <c r="AH4" s="225" t="str">
        <f aca="false">IF(15_商機字典_OppLibrary!$A$35="","",15_商機字典_OppLibrary!$A$35)</f>
        <v>OPP-31</v>
      </c>
      <c r="AI4" s="225" t="str">
        <f aca="false">IF(15_商機字典_OppLibrary!$A$36="","",15_商機字典_OppLibrary!$A$36)</f>
        <v>OPP-32</v>
      </c>
      <c r="AJ4" s="225" t="str">
        <f aca="false">IF(15_商機字典_OppLibrary!$A$37="","",15_商機字典_OppLibrary!$A$37)</f>
        <v>OPP-33</v>
      </c>
      <c r="AK4" s="225" t="str">
        <f aca="false">IF(15_商機字典_OppLibrary!$A$38="","",15_商機字典_OppLibrary!$A$38)</f>
        <v>OPP-34</v>
      </c>
      <c r="AL4" s="225" t="str">
        <f aca="false">IF(15_商機字典_OppLibrary!$A$39="","",15_商機字典_OppLibrary!$A$39)</f>
        <v>OPP-35</v>
      </c>
      <c r="AM4" s="225" t="str">
        <f aca="false">IF(15_商機字典_OppLibrary!$A$40="","",15_商機字典_OppLibrary!$A$40)</f>
        <v>OPP-36</v>
      </c>
      <c r="AN4" s="225" t="str">
        <f aca="false">IF(15_商機字典_OppLibrary!$A$41="","",15_商機字典_OppLibrary!$A$41)</f>
        <v>OPP-37</v>
      </c>
      <c r="AO4" s="225" t="str">
        <f aca="false">IF(15_商機字典_OppLibrary!$A$42="","",15_商機字典_OppLibrary!$A$42)</f>
        <v>OPP-38</v>
      </c>
      <c r="AP4" s="225" t="str">
        <f aca="false">IF(15_商機字典_OppLibrary!$A$43="","",15_商機字典_OppLibrary!$A$43)</f>
        <v>OPP-39</v>
      </c>
      <c r="AQ4" s="225" t="str">
        <f aca="false">IF(15_商機字典_OppLibrary!$A$44="","",15_商機字典_OppLibrary!$A$44)</f>
        <v>OPP-40</v>
      </c>
      <c r="AR4" s="225" t="str">
        <f aca="false">IF(15_商機字典_OppLibrary!$A$45="","",15_商機字典_OppLibrary!$A$45)</f>
        <v>OPP-41</v>
      </c>
      <c r="AS4" s="225" t="str">
        <f aca="false">IF(15_商機字典_OppLibrary!$A$46="","",15_商機字典_OppLibrary!$A$46)</f>
        <v>OPP-42</v>
      </c>
      <c r="AT4" s="226" t="str">
        <f aca="false">IF(15_商機字典_OppLibrary!$A$47="","",15_商機字典_OppLibrary!$A$47)</f>
        <v>OPP-43</v>
      </c>
      <c r="AU4" s="226" t="str">
        <f aca="false">IF(15_商機字典_OppLibrary!$A$48="","",15_商機字典_OppLibrary!$A$48)</f>
        <v>OPP-44</v>
      </c>
      <c r="AV4" s="226" t="str">
        <f aca="false">IF(15_商機字典_OppLibrary!$A$49="","",15_商機字典_OppLibrary!$A$49)</f>
        <v>OPP-45</v>
      </c>
      <c r="AW4" s="226" t="str">
        <f aca="false">IF(15_商機字典_OppLibrary!$A$50="","",15_商機字典_OppLibrary!$A$50)</f>
        <v>OPP-46</v>
      </c>
      <c r="AX4" s="226" t="str">
        <f aca="false">IF(15_商機字典_OppLibrary!$A$51="","",15_商機字典_OppLibrary!$A$51)</f>
        <v>OPP-47</v>
      </c>
      <c r="AY4" s="226" t="str">
        <f aca="false">IF(15_商機字典_OppLibrary!$A$52="","",15_商機字典_OppLibrary!$A$52)</f>
        <v>OPP-48</v>
      </c>
      <c r="AZ4" s="226" t="str">
        <f aca="false">IF(15_商機字典_OppLibrary!$A$53="","",15_商機字典_OppLibrary!$A$53)</f>
        <v>OPP-49</v>
      </c>
      <c r="BA4" s="226" t="str">
        <f aca="false">IF(15_商機字典_OppLibrary!$A$54="","",15_商機字典_OppLibrary!$A$54)</f>
        <v>OPP-50</v>
      </c>
      <c r="BB4" s="226" t="str">
        <f aca="false">IF(15_商機字典_OppLibrary!$A$55="","",15_商機字典_OppLibrary!$A$55)</f>
        <v>OPP-51</v>
      </c>
      <c r="BC4" s="226" t="str">
        <f aca="false">IF(15_商機字典_OppLibrary!$A$56="","",15_商機字典_OppLibrary!$A$56)</f>
        <v>OPP-52</v>
      </c>
      <c r="BD4" s="226" t="str">
        <f aca="false">IF(15_商機字典_OppLibrary!$A$57="","",15_商機字典_OppLibrary!$A$57)</f>
        <v>OPP-53</v>
      </c>
      <c r="BE4" s="226" t="str">
        <f aca="false">IF(15_商機字典_OppLibrary!$A$58="","",15_商機字典_OppLibrary!$A$58)</f>
        <v>OPP-54</v>
      </c>
      <c r="BF4" s="226" t="str">
        <f aca="false">IF(15_商機字典_OppLibrary!$A$59="","",15_商機字典_OppLibrary!$A$59)</f>
        <v>OPP-55</v>
      </c>
      <c r="BG4" s="226" t="str">
        <f aca="false">IF(15_商機字典_OppLibrary!$A$60="","",15_商機字典_OppLibrary!$A$60)</f>
        <v>OPP-56</v>
      </c>
      <c r="BH4" s="226" t="str">
        <f aca="false">IF(15_商機字典_OppLibrary!$A$61="","",15_商機字典_OppLibrary!$A$61)</f>
        <v>OPP-57</v>
      </c>
      <c r="BI4" s="226" t="str">
        <f aca="false">IF(15_商機字典_OppLibrary!$A$62="","",15_商機字典_OppLibrary!$A$62)</f>
        <v>OPP-58</v>
      </c>
      <c r="BJ4" s="226" t="str">
        <f aca="false">IF(15_商機字典_OppLibrary!$A$63="","",15_商機字典_OppLibrary!$A$63)</f>
        <v>OPP-59</v>
      </c>
      <c r="BK4" s="227" t="str">
        <f aca="false">IF(15_商機字典_OppLibrary!$A$64="","",15_商機字典_OppLibrary!$A$64)</f>
        <v>OPP-60</v>
      </c>
      <c r="BL4" s="227" t="str">
        <f aca="false">IF(15_商機字典_OppLibrary!$A$65="","",15_商機字典_OppLibrary!$A$65)</f>
        <v>OPP-61</v>
      </c>
      <c r="BM4" s="227" t="str">
        <f aca="false">IF(15_商機字典_OppLibrary!$A$66="","",15_商機字典_OppLibrary!$A$66)</f>
        <v>OPP-62</v>
      </c>
      <c r="BN4" s="227" t="str">
        <f aca="false">IF(15_商機字典_OppLibrary!$A$67="","",15_商機字典_OppLibrary!$A$67)</f>
        <v>OPP-63</v>
      </c>
      <c r="BO4" s="228" t="str">
        <f aca="false">IF(15_商機字典_OppLibrary!$A$68="","",15_商機字典_OppLibrary!$A$68)</f>
        <v>OPP-64</v>
      </c>
      <c r="BP4" s="228" t="str">
        <f aca="false">IF(15_商機字典_OppLibrary!$A$69="","",15_商機字典_OppLibrary!$A$69)</f>
        <v>OPP-65</v>
      </c>
      <c r="BQ4" s="228" t="str">
        <f aca="false">IF(15_商機字典_OppLibrary!$A$70="","",15_商機字典_OppLibrary!$A$70)</f>
        <v>OPP-66</v>
      </c>
      <c r="BR4" s="228" t="str">
        <f aca="false">IF(15_商機字典_OppLibrary!$A$71="","",15_商機字典_OppLibrary!$A$71)</f>
        <v>OPP-67</v>
      </c>
      <c r="BS4" s="228" t="str">
        <f aca="false">IF(15_商機字典_OppLibrary!$A$72="","",15_商機字典_OppLibrary!$A$72)</f>
        <v>OPP-68</v>
      </c>
      <c r="BT4" s="228" t="str">
        <f aca="false">IF(15_商機字典_OppLibrary!$A$73="","",15_商機字典_OppLibrary!$A$73)</f>
        <v>OPP-69</v>
      </c>
      <c r="BU4" s="228" t="str">
        <f aca="false">IF(15_商機字典_OppLibrary!$A$74="","",15_商機字典_OppLibrary!$A$74)</f>
        <v>OPP-70</v>
      </c>
      <c r="BV4" s="223" t="str">
        <f aca="false">IF(15_商機字典_OppLibrary!$A$75="","",15_商機字典_OppLibrary!$A$75)</f>
        <v>OPP-71</v>
      </c>
      <c r="BW4" s="223" t="str">
        <f aca="false">IF(15_商機字典_OppLibrary!$A$76="","",15_商機字典_OppLibrary!$A$76)</f>
        <v>OPP-72</v>
      </c>
      <c r="BX4" s="223" t="str">
        <f aca="false">IF(15_商機字典_OppLibrary!$A$77="","",15_商機字典_OppLibrary!$A$77)</f>
        <v>OPP-73</v>
      </c>
      <c r="BY4" s="223" t="str">
        <f aca="false">IF(15_商機字典_OppLibrary!$A$78="","",15_商機字典_OppLibrary!$A$78)</f>
        <v>OPP-74</v>
      </c>
      <c r="BZ4" s="223" t="str">
        <f aca="false">IF(15_商機字典_OppLibrary!$A$79="","",15_商機字典_OppLibrary!$A$79)</f>
        <v>OPP-75</v>
      </c>
      <c r="CA4" s="223" t="str">
        <f aca="false">IF(15_商機字典_OppLibrary!$A$80="","",15_商機字典_OppLibrary!$A$80)</f>
        <v>OPP-76</v>
      </c>
      <c r="CB4" s="223" t="str">
        <f aca="false">IF(15_商機字典_OppLibrary!$A$81="","",15_商機字典_OppLibrary!$A$81)</f>
        <v>OPP-77</v>
      </c>
      <c r="CC4" s="223" t="str">
        <f aca="false">IF(15_商機字典_OppLibrary!$A$82="","",15_商機字典_OppLibrary!$A$82)</f>
        <v>OPP-78</v>
      </c>
      <c r="CD4" s="223" t="str">
        <f aca="false">IF(15_商機字典_OppLibrary!$A$83="","",15_商機字典_OppLibrary!$A$83)</f>
        <v>OPP-79</v>
      </c>
      <c r="CE4" s="223" t="str">
        <f aca="false">IF(15_商機字典_OppLibrary!$A$84="","",15_商機字典_OppLibrary!$A$84)</f>
        <v>OPP-80</v>
      </c>
      <c r="CF4" s="229" t="str">
        <f aca="false">IF(15_商機字典_OppLibrary!$A$85="","",15_商機字典_OppLibrary!$A$85)</f>
        <v>OPP-81</v>
      </c>
      <c r="CG4" s="229" t="str">
        <f aca="false">IF(15_商機字典_OppLibrary!$A$86="","",15_商機字典_OppLibrary!$A$86)</f>
        <v>OPP-82</v>
      </c>
      <c r="CH4" s="229" t="str">
        <f aca="false">IF(15_商機字典_OppLibrary!$A$87="","",15_商機字典_OppLibrary!$A$87)</f>
        <v>OPP-83</v>
      </c>
      <c r="CI4" s="229" t="str">
        <f aca="false">IF(15_商機字典_OppLibrary!$A$88="","",15_商機字典_OppLibrary!$A$88)</f>
        <v>OPP-84</v>
      </c>
      <c r="CJ4" s="229" t="str">
        <f aca="false">IF(15_商機字典_OppLibrary!$A$89="","",15_商機字典_OppLibrary!$A$89)</f>
        <v>OPP-85</v>
      </c>
      <c r="CK4" s="230" t="str">
        <f aca="false">IF(15_商機字典_OppLibrary!$A$90="","",15_商機字典_OppLibrary!$A$90)</f>
        <v/>
      </c>
      <c r="CL4" s="230" t="str">
        <f aca="false">IF(15_商機字典_OppLibrary!$A$91="","",15_商機字典_OppLibrary!$A$91)</f>
        <v/>
      </c>
      <c r="CM4" s="230" t="str">
        <f aca="false">IF(15_商機字典_OppLibrary!$A$92="","",15_商機字典_OppLibrary!$A$92)</f>
        <v/>
      </c>
      <c r="CN4" s="230" t="str">
        <f aca="false">IF(15_商機字典_OppLibrary!$A$93="","",15_商機字典_OppLibrary!$A$93)</f>
        <v/>
      </c>
      <c r="CO4" s="230" t="str">
        <f aca="false">IF(15_商機字典_OppLibrary!$A$94="","",15_商機字典_OppLibrary!$A$94)</f>
        <v/>
      </c>
      <c r="CP4" s="46" t="s">
        <v>1303</v>
      </c>
      <c r="CQ4" s="46" t="s">
        <v>1304</v>
      </c>
      <c r="CR4" s="46" t="s">
        <v>934</v>
      </c>
    </row>
    <row r="5" customFormat="false" ht="21.75" hidden="false" customHeight="true" outlineLevel="0" collapsed="false">
      <c r="A5" s="231" t="str">
        <f aca="false">IF(03_能力總表_Master!$A5="","",03_能力總表_Master!$A5)</f>
        <v>CAP-001</v>
      </c>
      <c r="B5" s="166" t="str">
        <f aca="false">IF(03_能力總表_Master!$A5="","",03_能力總表_Master!$B5)</f>
        <v>D01 治理與投資</v>
      </c>
      <c r="C5" s="95" t="str">
        <f aca="false">IF(03_能力總表_Master!$A5="","",03_能力總表_Master!$E5)</f>
        <v>政府授權與計畫章程</v>
      </c>
      <c r="D5" s="232" t="s">
        <v>1305</v>
      </c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2"/>
      <c r="AW5" s="232"/>
      <c r="AX5" s="232"/>
      <c r="AY5" s="232"/>
      <c r="AZ5" s="232"/>
      <c r="BA5" s="232"/>
      <c r="BB5" s="232"/>
      <c r="BC5" s="232"/>
      <c r="BD5" s="232"/>
      <c r="BE5" s="232"/>
      <c r="BF5" s="232"/>
      <c r="BG5" s="232"/>
      <c r="BH5" s="232"/>
      <c r="BI5" s="232"/>
      <c r="BJ5" s="232"/>
      <c r="BK5" s="232"/>
      <c r="BL5" s="232"/>
      <c r="BM5" s="232"/>
      <c r="BN5" s="232"/>
      <c r="BO5" s="232"/>
      <c r="BP5" s="232"/>
      <c r="BQ5" s="232"/>
      <c r="BR5" s="232"/>
      <c r="BS5" s="232"/>
      <c r="BT5" s="232"/>
      <c r="BU5" s="232"/>
      <c r="BV5" s="232"/>
      <c r="BW5" s="232"/>
      <c r="BX5" s="232"/>
      <c r="BY5" s="232"/>
      <c r="BZ5" s="232"/>
      <c r="CA5" s="232"/>
      <c r="CB5" s="232"/>
      <c r="CC5" s="232"/>
      <c r="CD5" s="232"/>
      <c r="CE5" s="232"/>
      <c r="CF5" s="232"/>
      <c r="CG5" s="232"/>
      <c r="CH5" s="232"/>
      <c r="CI5" s="232"/>
      <c r="CJ5" s="232"/>
      <c r="CK5" s="232"/>
      <c r="CL5" s="232"/>
      <c r="CM5" s="232"/>
      <c r="CN5" s="232"/>
      <c r="CO5" s="232"/>
      <c r="CP5" s="233" t="str">
        <f aca="false">IF(AND(D5="✓",D$4&lt;&gt;""),D$4&amp;"; ","")&amp;IF(AND(E5="✓",E$4&lt;&gt;""),E$4&amp;"; ","")&amp;IF(AND(F5="✓",F$4&lt;&gt;""),F$4&amp;"; ","")&amp;IF(AND(G5="✓",G$4&lt;&gt;""),G$4&amp;"; ","")&amp;IF(AND(H5="✓",H$4&lt;&gt;""),H$4&amp;"; ","")&amp;IF(AND(I5="✓",I$4&lt;&gt;""),I$4&amp;"; ","")&amp;IF(AND(J5="✓",J$4&lt;&gt;""),J$4&amp;"; ","")&amp;IF(AND(K5="✓",K$4&lt;&gt;""),K$4&amp;"; ","")&amp;IF(AND(L5="✓",L$4&lt;&gt;""),L$4&amp;"; ","")&amp;IF(AND(M5="✓",M$4&lt;&gt;""),M$4&amp;"; ","")&amp;IF(AND(N5="✓",N$4&lt;&gt;""),N$4&amp;"; ","")&amp;IF(AND(O5="✓",O$4&lt;&gt;""),O$4&amp;"; ","")&amp;IF(AND(P5="✓",P$4&lt;&gt;""),P$4&amp;"; ","")&amp;IF(AND(Q5="✓",Q$4&lt;&gt;""),Q$4&amp;"; ","")&amp;IF(AND(R5="✓",R$4&lt;&gt;""),R$4&amp;"; ","")&amp;IF(AND(S5="✓",S$4&lt;&gt;""),S$4&amp;"; ","")&amp;IF(AND(T5="✓",T$4&lt;&gt;""),T$4&amp;"; ","")&amp;IF(AND(U5="✓",U$4&lt;&gt;""),U$4&amp;"; ","")&amp;IF(AND(V5="✓",V$4&lt;&gt;""),V$4&amp;"; ","")&amp;IF(AND(W5="✓",W$4&lt;&gt;""),W$4&amp;"; ","")&amp;IF(AND(X5="✓",X$4&lt;&gt;""),X$4&amp;"; ","")&amp;IF(AND(Y5="✓",Y$4&lt;&gt;""),Y$4&amp;"; ","")&amp;IF(AND(Z5="✓",Z$4&lt;&gt;""),Z$4&amp;"; ","")&amp;IF(AND(AA5="✓",AA$4&lt;&gt;""),AA$4&amp;"; ","")&amp;IF(AND(AB5="✓",AB$4&lt;&gt;""),AB$4&amp;"; ","")&amp;IF(AND(AC5="✓",AC$4&lt;&gt;""),AC$4&amp;"; ","")&amp;IF(AND(AD5="✓",AD$4&lt;&gt;""),AD$4&amp;"; ","")&amp;IF(AND(AE5="✓",AE$4&lt;&gt;""),AE$4&amp;"; ","")&amp;IF(AND(AF5="✓",AF$4&lt;&gt;""),AF$4&amp;"; ","")&amp;IF(AND(AG5="✓",AG$4&lt;&gt;""),AG$4&amp;"; ","")&amp;IF(AND(AH5="✓",AH$4&lt;&gt;""),AH$4&amp;"; ","")&amp;IF(AND(AI5="✓",AI$4&lt;&gt;""),AI$4&amp;"; ","")&amp;IF(AND(AJ5="✓",AJ$4&lt;&gt;""),AJ$4&amp;"; ","")&amp;IF(AND(AK5="✓",AK$4&lt;&gt;""),AK$4&amp;"; ","")&amp;IF(AND(AL5="✓",AL$4&lt;&gt;""),AL$4&amp;"; ","")&amp;IF(AND(AM5="✓",AM$4&lt;&gt;""),AM$4&amp;"; ","")&amp;IF(AND(AN5="✓",AN$4&lt;&gt;""),AN$4&amp;"; ","")&amp;IF(AND(AO5="✓",AO$4&lt;&gt;""),AO$4&amp;"; ","")&amp;IF(AND(AP5="✓",AP$4&lt;&gt;""),AP$4&amp;"; ","")&amp;IF(AND(AQ5="✓",AQ$4&lt;&gt;""),AQ$4&amp;"; ","")&amp;IF(AND(AR5="✓",AR$4&lt;&gt;""),AR$4&amp;"; ","")&amp;IF(AND(AS5="✓",AS$4&lt;&gt;""),AS$4&amp;"; ","")&amp;IF(AND(AT5="✓",AT$4&lt;&gt;""),AT$4&amp;"; ","")&amp;IF(AND(AU5="✓",AU$4&lt;&gt;""),AU$4&amp;"; ","")&amp;IF(AND(AV5="✓",AV$4&lt;&gt;""),AV$4&amp;"; ","")&amp;IF(AND(AW5="✓",AW$4&lt;&gt;""),AW$4&amp;"; ","")&amp;IF(AND(AX5="✓",AX$4&lt;&gt;""),AX$4&amp;"; ","")&amp;IF(AND(AY5="✓",AY$4&lt;&gt;""),AY$4&amp;"; ","")&amp;IF(AND(AZ5="✓",AZ$4&lt;&gt;""),AZ$4&amp;"; ","")&amp;IF(AND(BA5="✓",BA$4&lt;&gt;""),BA$4&amp;"; ","")&amp;IF(AND(BB5="✓",BB$4&lt;&gt;""),BB$4&amp;"; ","")&amp;IF(AND(BC5="✓",BC$4&lt;&gt;""),BC$4&amp;"; ","")&amp;IF(AND(BD5="✓",BD$4&lt;&gt;""),BD$4&amp;"; ","")&amp;IF(AND(BE5="✓",BE$4&lt;&gt;""),BE$4&amp;"; ","")&amp;IF(AND(BF5="✓",BF$4&lt;&gt;""),BF$4&amp;"; ","")&amp;IF(AND(BG5="✓",BG$4&lt;&gt;""),BG$4&amp;"; ","")&amp;IF(AND(BH5="✓",BH$4&lt;&gt;""),BH$4&amp;"; ","")&amp;IF(AND(BI5="✓",BI$4&lt;&gt;""),BI$4&amp;"; ","")&amp;IF(AND(BJ5="✓",BJ$4&lt;&gt;""),BJ$4&amp;"; ","")&amp;IF(AND(BK5="✓",BK$4&lt;&gt;""),BK$4&amp;"; ","")&amp;IF(AND(BL5="✓",BL$4&lt;&gt;""),BL$4&amp;"; ","")&amp;IF(AND(BM5="✓",BM$4&lt;&gt;""),BM$4&amp;"; ","")&amp;IF(AND(BN5="✓",BN$4&lt;&gt;""),BN$4&amp;"; ","")&amp;IF(AND(BO5="✓",BO$4&lt;&gt;""),BO$4&amp;"; ","")&amp;IF(AND(BP5="✓",BP$4&lt;&gt;""),BP$4&amp;"; ","")&amp;IF(AND(BQ5="✓",BQ$4&lt;&gt;""),BQ$4&amp;"; ","")&amp;IF(AND(BR5="✓",BR$4&lt;&gt;""),BR$4&amp;"; ","")&amp;IF(AND(BS5="✓",BS$4&lt;&gt;""),BS$4&amp;"; ","")&amp;IF(AND(BT5="✓",BT$4&lt;&gt;""),BT$4&amp;"; ","")&amp;IF(AND(BU5="✓",BU$4&lt;&gt;""),BU$4&amp;"; ","")&amp;IF(AND(BV5="✓",BV$4&lt;&gt;""),BV$4&amp;"; ","")&amp;IF(AND(BW5="✓",BW$4&lt;&gt;""),BW$4&amp;"; ","")&amp;IF(AND(BX5="✓",BX$4&lt;&gt;""),BX$4&amp;"; ","")&amp;IF(AND(BY5="✓",BY$4&lt;&gt;""),BY$4&amp;"; ","")&amp;IF(AND(BZ5="✓",BZ$4&lt;&gt;""),BZ$4&amp;"; ","")&amp;IF(AND(CA5="✓",CA$4&lt;&gt;""),CA$4&amp;"; ","")&amp;IF(AND(CB5="✓",CB$4&lt;&gt;""),CB$4&amp;"; ","")&amp;IF(AND(CC5="✓",CC$4&lt;&gt;""),CC$4&amp;"; ","")&amp;IF(AND(CD5="✓",CD$4&lt;&gt;""),CD$4&amp;"; ","")&amp;IF(AND(CE5="✓",CE$4&lt;&gt;""),CE$4&amp;"; ","")&amp;IF(AND(CF5="✓",CF$4&lt;&gt;""),CF$4&amp;"; ","")&amp;IF(AND(CG5="✓",CG$4&lt;&gt;""),CG$4&amp;"; ","")&amp;IF(AND(CH5="✓",CH$4&lt;&gt;""),CH$4&amp;"; ","")&amp;IF(AND(CI5="✓",CI$4&lt;&gt;""),CI$4&amp;"; ","")&amp;IF(AND(CJ5="✓",CJ$4&lt;&gt;""),CJ$4&amp;"; ","")&amp;IF(AND(CK5="✓",CK$4&lt;&gt;""),CK$4&amp;"; ","")&amp;IF(AND(CL5="✓",CL$4&lt;&gt;""),CL$4&amp;"; ","")&amp;IF(AND(CM5="✓",CM$4&lt;&gt;""),CM$4&amp;"; ","")&amp;IF(AND(CN5="✓",CN$4&lt;&gt;""),CN$4&amp;"; ","")&amp;IF(AND(CO5="✓",CO$4&lt;&gt;""),CO$4&amp;"; ","")</f>
        <v>OPP-01; </v>
      </c>
      <c r="CQ5" s="104" t="str">
        <f aca="false">IF($CP5="","",LEFT($CP5,LEN($CP5)-2))</f>
        <v>OPP-01</v>
      </c>
      <c r="CR5" s="234" t="n">
        <f aca="false">IF($A5="","",COUNTIF($D5:$CO5,"✓"))</f>
        <v>1</v>
      </c>
    </row>
    <row r="6" customFormat="false" ht="21.75" hidden="false" customHeight="true" outlineLevel="0" collapsed="false">
      <c r="A6" s="231" t="str">
        <f aca="false">IF(03_能力總表_Master!$A6="","",03_能力總表_Master!$A6)</f>
        <v>CAP-002</v>
      </c>
      <c r="B6" s="166" t="str">
        <f aca="false">IF(03_能力總表_Master!$A6="","",03_能力總表_Master!$B6)</f>
        <v>D01 治理與投資</v>
      </c>
      <c r="C6" s="95" t="str">
        <f aca="false">IF(03_能力總表_Master!$A6="","",03_能力總表_Master!$E6)</f>
        <v>利害關係人與權力地圖</v>
      </c>
      <c r="D6" s="232" t="s">
        <v>1305</v>
      </c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2"/>
      <c r="AE6" s="232"/>
      <c r="AF6" s="232"/>
      <c r="AG6" s="232"/>
      <c r="AH6" s="232"/>
      <c r="AI6" s="232"/>
      <c r="AJ6" s="232"/>
      <c r="AK6" s="232"/>
      <c r="AL6" s="232"/>
      <c r="AM6" s="232"/>
      <c r="AN6" s="232"/>
      <c r="AO6" s="232"/>
      <c r="AP6" s="232"/>
      <c r="AQ6" s="232"/>
      <c r="AR6" s="232"/>
      <c r="AS6" s="232"/>
      <c r="AT6" s="232"/>
      <c r="AU6" s="232"/>
      <c r="AV6" s="232"/>
      <c r="AW6" s="232"/>
      <c r="AX6" s="232"/>
      <c r="AY6" s="232"/>
      <c r="AZ6" s="232"/>
      <c r="BA6" s="232"/>
      <c r="BB6" s="232"/>
      <c r="BC6" s="232"/>
      <c r="BD6" s="232"/>
      <c r="BE6" s="232"/>
      <c r="BF6" s="232"/>
      <c r="BG6" s="232"/>
      <c r="BH6" s="232"/>
      <c r="BI6" s="232"/>
      <c r="BJ6" s="232"/>
      <c r="BK6" s="232"/>
      <c r="BL6" s="232"/>
      <c r="BM6" s="232"/>
      <c r="BN6" s="232"/>
      <c r="BO6" s="232"/>
      <c r="BP6" s="232"/>
      <c r="BQ6" s="232"/>
      <c r="BR6" s="232"/>
      <c r="BS6" s="232"/>
      <c r="BT6" s="232"/>
      <c r="BU6" s="232"/>
      <c r="BV6" s="232"/>
      <c r="BW6" s="232"/>
      <c r="BX6" s="232"/>
      <c r="BY6" s="232"/>
      <c r="BZ6" s="232"/>
      <c r="CA6" s="232"/>
      <c r="CB6" s="232"/>
      <c r="CC6" s="232"/>
      <c r="CD6" s="232"/>
      <c r="CE6" s="232"/>
      <c r="CF6" s="232"/>
      <c r="CG6" s="232"/>
      <c r="CH6" s="232"/>
      <c r="CI6" s="232"/>
      <c r="CJ6" s="232"/>
      <c r="CK6" s="232"/>
      <c r="CL6" s="232"/>
      <c r="CM6" s="232"/>
      <c r="CN6" s="232"/>
      <c r="CO6" s="232"/>
      <c r="CP6" s="233" t="str">
        <f aca="false">IF(AND(D6="✓",D$4&lt;&gt;""),D$4&amp;"; ","")&amp;IF(AND(E6="✓",E$4&lt;&gt;""),E$4&amp;"; ","")&amp;IF(AND(F6="✓",F$4&lt;&gt;""),F$4&amp;"; ","")&amp;IF(AND(G6="✓",G$4&lt;&gt;""),G$4&amp;"; ","")&amp;IF(AND(H6="✓",H$4&lt;&gt;""),H$4&amp;"; ","")&amp;IF(AND(I6="✓",I$4&lt;&gt;""),I$4&amp;"; ","")&amp;IF(AND(J6="✓",J$4&lt;&gt;""),J$4&amp;"; ","")&amp;IF(AND(K6="✓",K$4&lt;&gt;""),K$4&amp;"; ","")&amp;IF(AND(L6="✓",L$4&lt;&gt;""),L$4&amp;"; ","")&amp;IF(AND(M6="✓",M$4&lt;&gt;""),M$4&amp;"; ","")&amp;IF(AND(N6="✓",N$4&lt;&gt;""),N$4&amp;"; ","")&amp;IF(AND(O6="✓",O$4&lt;&gt;""),O$4&amp;"; ","")&amp;IF(AND(P6="✓",P$4&lt;&gt;""),P$4&amp;"; ","")&amp;IF(AND(Q6="✓",Q$4&lt;&gt;""),Q$4&amp;"; ","")&amp;IF(AND(R6="✓",R$4&lt;&gt;""),R$4&amp;"; ","")&amp;IF(AND(S6="✓",S$4&lt;&gt;""),S$4&amp;"; ","")&amp;IF(AND(T6="✓",T$4&lt;&gt;""),T$4&amp;"; ","")&amp;IF(AND(U6="✓",U$4&lt;&gt;""),U$4&amp;"; ","")&amp;IF(AND(V6="✓",V$4&lt;&gt;""),V$4&amp;"; ","")&amp;IF(AND(W6="✓",W$4&lt;&gt;""),W$4&amp;"; ","")&amp;IF(AND(X6="✓",X$4&lt;&gt;""),X$4&amp;"; ","")&amp;IF(AND(Y6="✓",Y$4&lt;&gt;""),Y$4&amp;"; ","")&amp;IF(AND(Z6="✓",Z$4&lt;&gt;""),Z$4&amp;"; ","")&amp;IF(AND(AA6="✓",AA$4&lt;&gt;""),AA$4&amp;"; ","")&amp;IF(AND(AB6="✓",AB$4&lt;&gt;""),AB$4&amp;"; ","")&amp;IF(AND(AC6="✓",AC$4&lt;&gt;""),AC$4&amp;"; ","")&amp;IF(AND(AD6="✓",AD$4&lt;&gt;""),AD$4&amp;"; ","")&amp;IF(AND(AE6="✓",AE$4&lt;&gt;""),AE$4&amp;"; ","")&amp;IF(AND(AF6="✓",AF$4&lt;&gt;""),AF$4&amp;"; ","")&amp;IF(AND(AG6="✓",AG$4&lt;&gt;""),AG$4&amp;"; ","")&amp;IF(AND(AH6="✓",AH$4&lt;&gt;""),AH$4&amp;"; ","")&amp;IF(AND(AI6="✓",AI$4&lt;&gt;""),AI$4&amp;"; ","")&amp;IF(AND(AJ6="✓",AJ$4&lt;&gt;""),AJ$4&amp;"; ","")&amp;IF(AND(AK6="✓",AK$4&lt;&gt;""),AK$4&amp;"; ","")&amp;IF(AND(AL6="✓",AL$4&lt;&gt;""),AL$4&amp;"; ","")&amp;IF(AND(AM6="✓",AM$4&lt;&gt;""),AM$4&amp;"; ","")&amp;IF(AND(AN6="✓",AN$4&lt;&gt;""),AN$4&amp;"; ","")&amp;IF(AND(AO6="✓",AO$4&lt;&gt;""),AO$4&amp;"; ","")&amp;IF(AND(AP6="✓",AP$4&lt;&gt;""),AP$4&amp;"; ","")&amp;IF(AND(AQ6="✓",AQ$4&lt;&gt;""),AQ$4&amp;"; ","")&amp;IF(AND(AR6="✓",AR$4&lt;&gt;""),AR$4&amp;"; ","")&amp;IF(AND(AS6="✓",AS$4&lt;&gt;""),AS$4&amp;"; ","")&amp;IF(AND(AT6="✓",AT$4&lt;&gt;""),AT$4&amp;"; ","")&amp;IF(AND(AU6="✓",AU$4&lt;&gt;""),AU$4&amp;"; ","")&amp;IF(AND(AV6="✓",AV$4&lt;&gt;""),AV$4&amp;"; ","")&amp;IF(AND(AW6="✓",AW$4&lt;&gt;""),AW$4&amp;"; ","")&amp;IF(AND(AX6="✓",AX$4&lt;&gt;""),AX$4&amp;"; ","")&amp;IF(AND(AY6="✓",AY$4&lt;&gt;""),AY$4&amp;"; ","")&amp;IF(AND(AZ6="✓",AZ$4&lt;&gt;""),AZ$4&amp;"; ","")&amp;IF(AND(BA6="✓",BA$4&lt;&gt;""),BA$4&amp;"; ","")&amp;IF(AND(BB6="✓",BB$4&lt;&gt;""),BB$4&amp;"; ","")&amp;IF(AND(BC6="✓",BC$4&lt;&gt;""),BC$4&amp;"; ","")&amp;IF(AND(BD6="✓",BD$4&lt;&gt;""),BD$4&amp;"; ","")&amp;IF(AND(BE6="✓",BE$4&lt;&gt;""),BE$4&amp;"; ","")&amp;IF(AND(BF6="✓",BF$4&lt;&gt;""),BF$4&amp;"; ","")&amp;IF(AND(BG6="✓",BG$4&lt;&gt;""),BG$4&amp;"; ","")&amp;IF(AND(BH6="✓",BH$4&lt;&gt;""),BH$4&amp;"; ","")&amp;IF(AND(BI6="✓",BI$4&lt;&gt;""),BI$4&amp;"; ","")&amp;IF(AND(BJ6="✓",BJ$4&lt;&gt;""),BJ$4&amp;"; ","")&amp;IF(AND(BK6="✓",BK$4&lt;&gt;""),BK$4&amp;"; ","")&amp;IF(AND(BL6="✓",BL$4&lt;&gt;""),BL$4&amp;"; ","")&amp;IF(AND(BM6="✓",BM$4&lt;&gt;""),BM$4&amp;"; ","")&amp;IF(AND(BN6="✓",BN$4&lt;&gt;""),BN$4&amp;"; ","")&amp;IF(AND(BO6="✓",BO$4&lt;&gt;""),BO$4&amp;"; ","")&amp;IF(AND(BP6="✓",BP$4&lt;&gt;""),BP$4&amp;"; ","")&amp;IF(AND(BQ6="✓",BQ$4&lt;&gt;""),BQ$4&amp;"; ","")&amp;IF(AND(BR6="✓",BR$4&lt;&gt;""),BR$4&amp;"; ","")&amp;IF(AND(BS6="✓",BS$4&lt;&gt;""),BS$4&amp;"; ","")&amp;IF(AND(BT6="✓",BT$4&lt;&gt;""),BT$4&amp;"; ","")&amp;IF(AND(BU6="✓",BU$4&lt;&gt;""),BU$4&amp;"; ","")&amp;IF(AND(BV6="✓",BV$4&lt;&gt;""),BV$4&amp;"; ","")&amp;IF(AND(BW6="✓",BW$4&lt;&gt;""),BW$4&amp;"; ","")&amp;IF(AND(BX6="✓",BX$4&lt;&gt;""),BX$4&amp;"; ","")&amp;IF(AND(BY6="✓",BY$4&lt;&gt;""),BY$4&amp;"; ","")&amp;IF(AND(BZ6="✓",BZ$4&lt;&gt;""),BZ$4&amp;"; ","")&amp;IF(AND(CA6="✓",CA$4&lt;&gt;""),CA$4&amp;"; ","")&amp;IF(AND(CB6="✓",CB$4&lt;&gt;""),CB$4&amp;"; ","")&amp;IF(AND(CC6="✓",CC$4&lt;&gt;""),CC$4&amp;"; ","")&amp;IF(AND(CD6="✓",CD$4&lt;&gt;""),CD$4&amp;"; ","")&amp;IF(AND(CE6="✓",CE$4&lt;&gt;""),CE$4&amp;"; ","")&amp;IF(AND(CF6="✓",CF$4&lt;&gt;""),CF$4&amp;"; ","")&amp;IF(AND(CG6="✓",CG$4&lt;&gt;""),CG$4&amp;"; ","")&amp;IF(AND(CH6="✓",CH$4&lt;&gt;""),CH$4&amp;"; ","")&amp;IF(AND(CI6="✓",CI$4&lt;&gt;""),CI$4&amp;"; ","")&amp;IF(AND(CJ6="✓",CJ$4&lt;&gt;""),CJ$4&amp;"; ","")&amp;IF(AND(CK6="✓",CK$4&lt;&gt;""),CK$4&amp;"; ","")&amp;IF(AND(CL6="✓",CL$4&lt;&gt;""),CL$4&amp;"; ","")&amp;IF(AND(CM6="✓",CM$4&lt;&gt;""),CM$4&amp;"; ","")&amp;IF(AND(CN6="✓",CN$4&lt;&gt;""),CN$4&amp;"; ","")&amp;IF(AND(CO6="✓",CO$4&lt;&gt;""),CO$4&amp;"; ","")</f>
        <v>OPP-01; </v>
      </c>
      <c r="CQ6" s="104" t="str">
        <f aca="false">IF($CP6="","",LEFT($CP6,LEN($CP6)-2))</f>
        <v>OPP-01</v>
      </c>
      <c r="CR6" s="234" t="n">
        <f aca="false">IF($A6="","",COUNTIF($D6:$CO6,"✓"))</f>
        <v>1</v>
      </c>
    </row>
    <row r="7" customFormat="false" ht="21.75" hidden="false" customHeight="true" outlineLevel="0" collapsed="false">
      <c r="A7" s="231" t="str">
        <f aca="false">IF(03_能力總表_Master!$A7="","",03_能力總表_Master!$A7)</f>
        <v>CAP-003</v>
      </c>
      <c r="B7" s="166" t="str">
        <f aca="false">IF(03_能力總表_Master!$A7="","",03_能力總表_Master!$B7)</f>
        <v>D01 治理與投資</v>
      </c>
      <c r="C7" s="95" t="str">
        <f aca="false">IF(03_能力總表_Master!$A7="","",03_能力總表_Master!$E7)</f>
        <v>交易模式選擇</v>
      </c>
      <c r="D7" s="232" t="s">
        <v>1305</v>
      </c>
      <c r="E7" s="232"/>
      <c r="F7" s="232" t="s">
        <v>1305</v>
      </c>
      <c r="G7" s="232" t="s">
        <v>1305</v>
      </c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  <c r="AA7" s="232"/>
      <c r="AB7" s="232"/>
      <c r="AC7" s="232"/>
      <c r="AD7" s="232"/>
      <c r="AE7" s="232"/>
      <c r="AF7" s="232"/>
      <c r="AG7" s="232"/>
      <c r="AH7" s="232"/>
      <c r="AI7" s="232"/>
      <c r="AJ7" s="232"/>
      <c r="AK7" s="232"/>
      <c r="AL7" s="232"/>
      <c r="AM7" s="232"/>
      <c r="AN7" s="232"/>
      <c r="AO7" s="232"/>
      <c r="AP7" s="232"/>
      <c r="AQ7" s="232"/>
      <c r="AR7" s="232"/>
      <c r="AS7" s="232"/>
      <c r="AT7" s="232"/>
      <c r="AU7" s="232"/>
      <c r="AV7" s="232"/>
      <c r="AW7" s="232"/>
      <c r="AX7" s="232"/>
      <c r="AY7" s="232"/>
      <c r="AZ7" s="232"/>
      <c r="BA7" s="232"/>
      <c r="BB7" s="232"/>
      <c r="BC7" s="232"/>
      <c r="BD7" s="232"/>
      <c r="BE7" s="232"/>
      <c r="BF7" s="232"/>
      <c r="BG7" s="232"/>
      <c r="BH7" s="232"/>
      <c r="BI7" s="232"/>
      <c r="BJ7" s="232"/>
      <c r="BK7" s="232"/>
      <c r="BL7" s="232"/>
      <c r="BM7" s="232"/>
      <c r="BN7" s="232"/>
      <c r="BO7" s="232"/>
      <c r="BP7" s="232"/>
      <c r="BQ7" s="232"/>
      <c r="BR7" s="232"/>
      <c r="BS7" s="232"/>
      <c r="BT7" s="232"/>
      <c r="BU7" s="232"/>
      <c r="BV7" s="232"/>
      <c r="BW7" s="232"/>
      <c r="BX7" s="232"/>
      <c r="BY7" s="232"/>
      <c r="BZ7" s="232"/>
      <c r="CA7" s="232"/>
      <c r="CB7" s="232"/>
      <c r="CC7" s="232"/>
      <c r="CD7" s="232"/>
      <c r="CE7" s="232"/>
      <c r="CF7" s="232"/>
      <c r="CG7" s="232"/>
      <c r="CH7" s="232"/>
      <c r="CI7" s="232"/>
      <c r="CJ7" s="232"/>
      <c r="CK7" s="232"/>
      <c r="CL7" s="232"/>
      <c r="CM7" s="232"/>
      <c r="CN7" s="232"/>
      <c r="CO7" s="232"/>
      <c r="CP7" s="233" t="str">
        <f aca="false">IF(AND(D7="✓",D$4&lt;&gt;""),D$4&amp;"; ","")&amp;IF(AND(E7="✓",E$4&lt;&gt;""),E$4&amp;"; ","")&amp;IF(AND(F7="✓",F$4&lt;&gt;""),F$4&amp;"; ","")&amp;IF(AND(G7="✓",G$4&lt;&gt;""),G$4&amp;"; ","")&amp;IF(AND(H7="✓",H$4&lt;&gt;""),H$4&amp;"; ","")&amp;IF(AND(I7="✓",I$4&lt;&gt;""),I$4&amp;"; ","")&amp;IF(AND(J7="✓",J$4&lt;&gt;""),J$4&amp;"; ","")&amp;IF(AND(K7="✓",K$4&lt;&gt;""),K$4&amp;"; ","")&amp;IF(AND(L7="✓",L$4&lt;&gt;""),L$4&amp;"; ","")&amp;IF(AND(M7="✓",M$4&lt;&gt;""),M$4&amp;"; ","")&amp;IF(AND(N7="✓",N$4&lt;&gt;""),N$4&amp;"; ","")&amp;IF(AND(O7="✓",O$4&lt;&gt;""),O$4&amp;"; ","")&amp;IF(AND(P7="✓",P$4&lt;&gt;""),P$4&amp;"; ","")&amp;IF(AND(Q7="✓",Q$4&lt;&gt;""),Q$4&amp;"; ","")&amp;IF(AND(R7="✓",R$4&lt;&gt;""),R$4&amp;"; ","")&amp;IF(AND(S7="✓",S$4&lt;&gt;""),S$4&amp;"; ","")&amp;IF(AND(T7="✓",T$4&lt;&gt;""),T$4&amp;"; ","")&amp;IF(AND(U7="✓",U$4&lt;&gt;""),U$4&amp;"; ","")&amp;IF(AND(V7="✓",V$4&lt;&gt;""),V$4&amp;"; ","")&amp;IF(AND(W7="✓",W$4&lt;&gt;""),W$4&amp;"; ","")&amp;IF(AND(X7="✓",X$4&lt;&gt;""),X$4&amp;"; ","")&amp;IF(AND(Y7="✓",Y$4&lt;&gt;""),Y$4&amp;"; ","")&amp;IF(AND(Z7="✓",Z$4&lt;&gt;""),Z$4&amp;"; ","")&amp;IF(AND(AA7="✓",AA$4&lt;&gt;""),AA$4&amp;"; ","")&amp;IF(AND(AB7="✓",AB$4&lt;&gt;""),AB$4&amp;"; ","")&amp;IF(AND(AC7="✓",AC$4&lt;&gt;""),AC$4&amp;"; ","")&amp;IF(AND(AD7="✓",AD$4&lt;&gt;""),AD$4&amp;"; ","")&amp;IF(AND(AE7="✓",AE$4&lt;&gt;""),AE$4&amp;"; ","")&amp;IF(AND(AF7="✓",AF$4&lt;&gt;""),AF$4&amp;"; ","")&amp;IF(AND(AG7="✓",AG$4&lt;&gt;""),AG$4&amp;"; ","")&amp;IF(AND(AH7="✓",AH$4&lt;&gt;""),AH$4&amp;"; ","")&amp;IF(AND(AI7="✓",AI$4&lt;&gt;""),AI$4&amp;"; ","")&amp;IF(AND(AJ7="✓",AJ$4&lt;&gt;""),AJ$4&amp;"; ","")&amp;IF(AND(AK7="✓",AK$4&lt;&gt;""),AK$4&amp;"; ","")&amp;IF(AND(AL7="✓",AL$4&lt;&gt;""),AL$4&amp;"; ","")&amp;IF(AND(AM7="✓",AM$4&lt;&gt;""),AM$4&amp;"; ","")&amp;IF(AND(AN7="✓",AN$4&lt;&gt;""),AN$4&amp;"; ","")&amp;IF(AND(AO7="✓",AO$4&lt;&gt;""),AO$4&amp;"; ","")&amp;IF(AND(AP7="✓",AP$4&lt;&gt;""),AP$4&amp;"; ","")&amp;IF(AND(AQ7="✓",AQ$4&lt;&gt;""),AQ$4&amp;"; ","")&amp;IF(AND(AR7="✓",AR$4&lt;&gt;""),AR$4&amp;"; ","")&amp;IF(AND(AS7="✓",AS$4&lt;&gt;""),AS$4&amp;"; ","")&amp;IF(AND(AT7="✓",AT$4&lt;&gt;""),AT$4&amp;"; ","")&amp;IF(AND(AU7="✓",AU$4&lt;&gt;""),AU$4&amp;"; ","")&amp;IF(AND(AV7="✓",AV$4&lt;&gt;""),AV$4&amp;"; ","")&amp;IF(AND(AW7="✓",AW$4&lt;&gt;""),AW$4&amp;"; ","")&amp;IF(AND(AX7="✓",AX$4&lt;&gt;""),AX$4&amp;"; ","")&amp;IF(AND(AY7="✓",AY$4&lt;&gt;""),AY$4&amp;"; ","")&amp;IF(AND(AZ7="✓",AZ$4&lt;&gt;""),AZ$4&amp;"; ","")&amp;IF(AND(BA7="✓",BA$4&lt;&gt;""),BA$4&amp;"; ","")&amp;IF(AND(BB7="✓",BB$4&lt;&gt;""),BB$4&amp;"; ","")&amp;IF(AND(BC7="✓",BC$4&lt;&gt;""),BC$4&amp;"; ","")&amp;IF(AND(BD7="✓",BD$4&lt;&gt;""),BD$4&amp;"; ","")&amp;IF(AND(BE7="✓",BE$4&lt;&gt;""),BE$4&amp;"; ","")&amp;IF(AND(BF7="✓",BF$4&lt;&gt;""),BF$4&amp;"; ","")&amp;IF(AND(BG7="✓",BG$4&lt;&gt;""),BG$4&amp;"; ","")&amp;IF(AND(BH7="✓",BH$4&lt;&gt;""),BH$4&amp;"; ","")&amp;IF(AND(BI7="✓",BI$4&lt;&gt;""),BI$4&amp;"; ","")&amp;IF(AND(BJ7="✓",BJ$4&lt;&gt;""),BJ$4&amp;"; ","")&amp;IF(AND(BK7="✓",BK$4&lt;&gt;""),BK$4&amp;"; ","")&amp;IF(AND(BL7="✓",BL$4&lt;&gt;""),BL$4&amp;"; ","")&amp;IF(AND(BM7="✓",BM$4&lt;&gt;""),BM$4&amp;"; ","")&amp;IF(AND(BN7="✓",BN$4&lt;&gt;""),BN$4&amp;"; ","")&amp;IF(AND(BO7="✓",BO$4&lt;&gt;""),BO$4&amp;"; ","")&amp;IF(AND(BP7="✓",BP$4&lt;&gt;""),BP$4&amp;"; ","")&amp;IF(AND(BQ7="✓",BQ$4&lt;&gt;""),BQ$4&amp;"; ","")&amp;IF(AND(BR7="✓",BR$4&lt;&gt;""),BR$4&amp;"; ","")&amp;IF(AND(BS7="✓",BS$4&lt;&gt;""),BS$4&amp;"; ","")&amp;IF(AND(BT7="✓",BT$4&lt;&gt;""),BT$4&amp;"; ","")&amp;IF(AND(BU7="✓",BU$4&lt;&gt;""),BU$4&amp;"; ","")&amp;IF(AND(BV7="✓",BV$4&lt;&gt;""),BV$4&amp;"; ","")&amp;IF(AND(BW7="✓",BW$4&lt;&gt;""),BW$4&amp;"; ","")&amp;IF(AND(BX7="✓",BX$4&lt;&gt;""),BX$4&amp;"; ","")&amp;IF(AND(BY7="✓",BY$4&lt;&gt;""),BY$4&amp;"; ","")&amp;IF(AND(BZ7="✓",BZ$4&lt;&gt;""),BZ$4&amp;"; ","")&amp;IF(AND(CA7="✓",CA$4&lt;&gt;""),CA$4&amp;"; ","")&amp;IF(AND(CB7="✓",CB$4&lt;&gt;""),CB$4&amp;"; ","")&amp;IF(AND(CC7="✓",CC$4&lt;&gt;""),CC$4&amp;"; ","")&amp;IF(AND(CD7="✓",CD$4&lt;&gt;""),CD$4&amp;"; ","")&amp;IF(AND(CE7="✓",CE$4&lt;&gt;""),CE$4&amp;"; ","")&amp;IF(AND(CF7="✓",CF$4&lt;&gt;""),CF$4&amp;"; ","")&amp;IF(AND(CG7="✓",CG$4&lt;&gt;""),CG$4&amp;"; ","")&amp;IF(AND(CH7="✓",CH$4&lt;&gt;""),CH$4&amp;"; ","")&amp;IF(AND(CI7="✓",CI$4&lt;&gt;""),CI$4&amp;"; ","")&amp;IF(AND(CJ7="✓",CJ$4&lt;&gt;""),CJ$4&amp;"; ","")&amp;IF(AND(CK7="✓",CK$4&lt;&gt;""),CK$4&amp;"; ","")&amp;IF(AND(CL7="✓",CL$4&lt;&gt;""),CL$4&amp;"; ","")&amp;IF(AND(CM7="✓",CM$4&lt;&gt;""),CM$4&amp;"; ","")&amp;IF(AND(CN7="✓",CN$4&lt;&gt;""),CN$4&amp;"; ","")&amp;IF(AND(CO7="✓",CO$4&lt;&gt;""),CO$4&amp;"; ","")</f>
        <v>OPP-01; OPP-03; OPP-04; </v>
      </c>
      <c r="CQ7" s="104" t="str">
        <f aca="false">IF($CP7="","",LEFT($CP7,LEN($CP7)-2))</f>
        <v>OPP-01; OPP-03; OPP-04</v>
      </c>
      <c r="CR7" s="234" t="n">
        <f aca="false">IF($A7="","",COUNTIF($D7:$CO7,"✓"))</f>
        <v>3</v>
      </c>
    </row>
    <row r="8" customFormat="false" ht="21.75" hidden="false" customHeight="true" outlineLevel="0" collapsed="false">
      <c r="A8" s="231" t="str">
        <f aca="false">IF(03_能力總表_Master!$A8="","",03_能力總表_Master!$A8)</f>
        <v>CAP-004</v>
      </c>
      <c r="B8" s="166" t="str">
        <f aca="false">IF(03_能力總表_Master!$A8="","",03_能力總表_Master!$B8)</f>
        <v>D01 治理與投資</v>
      </c>
      <c r="C8" s="95" t="str">
        <f aca="false">IF(03_能力總表_Master!$A8="","",03_能力總表_Master!$E8)</f>
        <v>法規與執照路徑</v>
      </c>
      <c r="D8" s="232" t="s">
        <v>1305</v>
      </c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 t="s">
        <v>1305</v>
      </c>
      <c r="Z8" s="232"/>
      <c r="AA8" s="232"/>
      <c r="AB8" s="232"/>
      <c r="AC8" s="232"/>
      <c r="AD8" s="232"/>
      <c r="AE8" s="232" t="s">
        <v>1305</v>
      </c>
      <c r="AF8" s="232"/>
      <c r="AG8" s="232"/>
      <c r="AH8" s="232"/>
      <c r="AI8" s="232"/>
      <c r="AJ8" s="232"/>
      <c r="AK8" s="232"/>
      <c r="AL8" s="232"/>
      <c r="AM8" s="232"/>
      <c r="AN8" s="232"/>
      <c r="AO8" s="232"/>
      <c r="AP8" s="232"/>
      <c r="AQ8" s="232"/>
      <c r="AR8" s="232"/>
      <c r="AS8" s="232"/>
      <c r="AT8" s="232"/>
      <c r="AU8" s="232"/>
      <c r="AV8" s="232"/>
      <c r="AW8" s="232"/>
      <c r="AX8" s="232"/>
      <c r="AY8" s="232"/>
      <c r="AZ8" s="232"/>
      <c r="BA8" s="232"/>
      <c r="BB8" s="232"/>
      <c r="BC8" s="232"/>
      <c r="BD8" s="232"/>
      <c r="BE8" s="232"/>
      <c r="BF8" s="232"/>
      <c r="BG8" s="232"/>
      <c r="BH8" s="232"/>
      <c r="BI8" s="232"/>
      <c r="BJ8" s="232" t="s">
        <v>1305</v>
      </c>
      <c r="BK8" s="232"/>
      <c r="BL8" s="232"/>
      <c r="BM8" s="232"/>
      <c r="BN8" s="232"/>
      <c r="BO8" s="232"/>
      <c r="BP8" s="232"/>
      <c r="BQ8" s="232"/>
      <c r="BR8" s="232"/>
      <c r="BS8" s="232"/>
      <c r="BT8" s="232"/>
      <c r="BU8" s="232"/>
      <c r="BV8" s="232"/>
      <c r="BW8" s="232"/>
      <c r="BX8" s="232"/>
      <c r="BY8" s="232"/>
      <c r="BZ8" s="232"/>
      <c r="CA8" s="232"/>
      <c r="CB8" s="232"/>
      <c r="CC8" s="232"/>
      <c r="CD8" s="232"/>
      <c r="CE8" s="232"/>
      <c r="CF8" s="232"/>
      <c r="CG8" s="232"/>
      <c r="CH8" s="232"/>
      <c r="CI8" s="232"/>
      <c r="CJ8" s="232"/>
      <c r="CK8" s="232"/>
      <c r="CL8" s="232"/>
      <c r="CM8" s="232"/>
      <c r="CN8" s="232"/>
      <c r="CO8" s="232"/>
      <c r="CP8" s="233" t="str">
        <f aca="false">IF(AND(D8="✓",D$4&lt;&gt;""),D$4&amp;"; ","")&amp;IF(AND(E8="✓",E$4&lt;&gt;""),E$4&amp;"; ","")&amp;IF(AND(F8="✓",F$4&lt;&gt;""),F$4&amp;"; ","")&amp;IF(AND(G8="✓",G$4&lt;&gt;""),G$4&amp;"; ","")&amp;IF(AND(H8="✓",H$4&lt;&gt;""),H$4&amp;"; ","")&amp;IF(AND(I8="✓",I$4&lt;&gt;""),I$4&amp;"; ","")&amp;IF(AND(J8="✓",J$4&lt;&gt;""),J$4&amp;"; ","")&amp;IF(AND(K8="✓",K$4&lt;&gt;""),K$4&amp;"; ","")&amp;IF(AND(L8="✓",L$4&lt;&gt;""),L$4&amp;"; ","")&amp;IF(AND(M8="✓",M$4&lt;&gt;""),M$4&amp;"; ","")&amp;IF(AND(N8="✓",N$4&lt;&gt;""),N$4&amp;"; ","")&amp;IF(AND(O8="✓",O$4&lt;&gt;""),O$4&amp;"; ","")&amp;IF(AND(P8="✓",P$4&lt;&gt;""),P$4&amp;"; ","")&amp;IF(AND(Q8="✓",Q$4&lt;&gt;""),Q$4&amp;"; ","")&amp;IF(AND(R8="✓",R$4&lt;&gt;""),R$4&amp;"; ","")&amp;IF(AND(S8="✓",S$4&lt;&gt;""),S$4&amp;"; ","")&amp;IF(AND(T8="✓",T$4&lt;&gt;""),T$4&amp;"; ","")&amp;IF(AND(U8="✓",U$4&lt;&gt;""),U$4&amp;"; ","")&amp;IF(AND(V8="✓",V$4&lt;&gt;""),V$4&amp;"; ","")&amp;IF(AND(W8="✓",W$4&lt;&gt;""),W$4&amp;"; ","")&amp;IF(AND(X8="✓",X$4&lt;&gt;""),X$4&amp;"; ","")&amp;IF(AND(Y8="✓",Y$4&lt;&gt;""),Y$4&amp;"; ","")&amp;IF(AND(Z8="✓",Z$4&lt;&gt;""),Z$4&amp;"; ","")&amp;IF(AND(AA8="✓",AA$4&lt;&gt;""),AA$4&amp;"; ","")&amp;IF(AND(AB8="✓",AB$4&lt;&gt;""),AB$4&amp;"; ","")&amp;IF(AND(AC8="✓",AC$4&lt;&gt;""),AC$4&amp;"; ","")&amp;IF(AND(AD8="✓",AD$4&lt;&gt;""),AD$4&amp;"; ","")&amp;IF(AND(AE8="✓",AE$4&lt;&gt;""),AE$4&amp;"; ","")&amp;IF(AND(AF8="✓",AF$4&lt;&gt;""),AF$4&amp;"; ","")&amp;IF(AND(AG8="✓",AG$4&lt;&gt;""),AG$4&amp;"; ","")&amp;IF(AND(AH8="✓",AH$4&lt;&gt;""),AH$4&amp;"; ","")&amp;IF(AND(AI8="✓",AI$4&lt;&gt;""),AI$4&amp;"; ","")&amp;IF(AND(AJ8="✓",AJ$4&lt;&gt;""),AJ$4&amp;"; ","")&amp;IF(AND(AK8="✓",AK$4&lt;&gt;""),AK$4&amp;"; ","")&amp;IF(AND(AL8="✓",AL$4&lt;&gt;""),AL$4&amp;"; ","")&amp;IF(AND(AM8="✓",AM$4&lt;&gt;""),AM$4&amp;"; ","")&amp;IF(AND(AN8="✓",AN$4&lt;&gt;""),AN$4&amp;"; ","")&amp;IF(AND(AO8="✓",AO$4&lt;&gt;""),AO$4&amp;"; ","")&amp;IF(AND(AP8="✓",AP$4&lt;&gt;""),AP$4&amp;"; ","")&amp;IF(AND(AQ8="✓",AQ$4&lt;&gt;""),AQ$4&amp;"; ","")&amp;IF(AND(AR8="✓",AR$4&lt;&gt;""),AR$4&amp;"; ","")&amp;IF(AND(AS8="✓",AS$4&lt;&gt;""),AS$4&amp;"; ","")&amp;IF(AND(AT8="✓",AT$4&lt;&gt;""),AT$4&amp;"; ","")&amp;IF(AND(AU8="✓",AU$4&lt;&gt;""),AU$4&amp;"; ","")&amp;IF(AND(AV8="✓",AV$4&lt;&gt;""),AV$4&amp;"; ","")&amp;IF(AND(AW8="✓",AW$4&lt;&gt;""),AW$4&amp;"; ","")&amp;IF(AND(AX8="✓",AX$4&lt;&gt;""),AX$4&amp;"; ","")&amp;IF(AND(AY8="✓",AY$4&lt;&gt;""),AY$4&amp;"; ","")&amp;IF(AND(AZ8="✓",AZ$4&lt;&gt;""),AZ$4&amp;"; ","")&amp;IF(AND(BA8="✓",BA$4&lt;&gt;""),BA$4&amp;"; ","")&amp;IF(AND(BB8="✓",BB$4&lt;&gt;""),BB$4&amp;"; ","")&amp;IF(AND(BC8="✓",BC$4&lt;&gt;""),BC$4&amp;"; ","")&amp;IF(AND(BD8="✓",BD$4&lt;&gt;""),BD$4&amp;"; ","")&amp;IF(AND(BE8="✓",BE$4&lt;&gt;""),BE$4&amp;"; ","")&amp;IF(AND(BF8="✓",BF$4&lt;&gt;""),BF$4&amp;"; ","")&amp;IF(AND(BG8="✓",BG$4&lt;&gt;""),BG$4&amp;"; ","")&amp;IF(AND(BH8="✓",BH$4&lt;&gt;""),BH$4&amp;"; ","")&amp;IF(AND(BI8="✓",BI$4&lt;&gt;""),BI$4&amp;"; ","")&amp;IF(AND(BJ8="✓",BJ$4&lt;&gt;""),BJ$4&amp;"; ","")&amp;IF(AND(BK8="✓",BK$4&lt;&gt;""),BK$4&amp;"; ","")&amp;IF(AND(BL8="✓",BL$4&lt;&gt;""),BL$4&amp;"; ","")&amp;IF(AND(BM8="✓",BM$4&lt;&gt;""),BM$4&amp;"; ","")&amp;IF(AND(BN8="✓",BN$4&lt;&gt;""),BN$4&amp;"; ","")&amp;IF(AND(BO8="✓",BO$4&lt;&gt;""),BO$4&amp;"; ","")&amp;IF(AND(BP8="✓",BP$4&lt;&gt;""),BP$4&amp;"; ","")&amp;IF(AND(BQ8="✓",BQ$4&lt;&gt;""),BQ$4&amp;"; ","")&amp;IF(AND(BR8="✓",BR$4&lt;&gt;""),BR$4&amp;"; ","")&amp;IF(AND(BS8="✓",BS$4&lt;&gt;""),BS$4&amp;"; ","")&amp;IF(AND(BT8="✓",BT$4&lt;&gt;""),BT$4&amp;"; ","")&amp;IF(AND(BU8="✓",BU$4&lt;&gt;""),BU$4&amp;"; ","")&amp;IF(AND(BV8="✓",BV$4&lt;&gt;""),BV$4&amp;"; ","")&amp;IF(AND(BW8="✓",BW$4&lt;&gt;""),BW$4&amp;"; ","")&amp;IF(AND(BX8="✓",BX$4&lt;&gt;""),BX$4&amp;"; ","")&amp;IF(AND(BY8="✓",BY$4&lt;&gt;""),BY$4&amp;"; ","")&amp;IF(AND(BZ8="✓",BZ$4&lt;&gt;""),BZ$4&amp;"; ","")&amp;IF(AND(CA8="✓",CA$4&lt;&gt;""),CA$4&amp;"; ","")&amp;IF(AND(CB8="✓",CB$4&lt;&gt;""),CB$4&amp;"; ","")&amp;IF(AND(CC8="✓",CC$4&lt;&gt;""),CC$4&amp;"; ","")&amp;IF(AND(CD8="✓",CD$4&lt;&gt;""),CD$4&amp;"; ","")&amp;IF(AND(CE8="✓",CE$4&lt;&gt;""),CE$4&amp;"; ","")&amp;IF(AND(CF8="✓",CF$4&lt;&gt;""),CF$4&amp;"; ","")&amp;IF(AND(CG8="✓",CG$4&lt;&gt;""),CG$4&amp;"; ","")&amp;IF(AND(CH8="✓",CH$4&lt;&gt;""),CH$4&amp;"; ","")&amp;IF(AND(CI8="✓",CI$4&lt;&gt;""),CI$4&amp;"; ","")&amp;IF(AND(CJ8="✓",CJ$4&lt;&gt;""),CJ$4&amp;"; ","")&amp;IF(AND(CK8="✓",CK$4&lt;&gt;""),CK$4&amp;"; ","")&amp;IF(AND(CL8="✓",CL$4&lt;&gt;""),CL$4&amp;"; ","")&amp;IF(AND(CM8="✓",CM$4&lt;&gt;""),CM$4&amp;"; ","")&amp;IF(AND(CN8="✓",CN$4&lt;&gt;""),CN$4&amp;"; ","")&amp;IF(AND(CO8="✓",CO$4&lt;&gt;""),CO$4&amp;"; ","")</f>
        <v>OPP-01; OPP-22; OPP-28; OPP-59; </v>
      </c>
      <c r="CQ8" s="104" t="str">
        <f aca="false">IF($CP8="","",LEFT($CP8,LEN($CP8)-2))</f>
        <v>OPP-01; OPP-22; OPP-28; OPP-59</v>
      </c>
      <c r="CR8" s="234" t="n">
        <f aca="false">IF($A8="","",COUNTIF($D8:$CO8,"✓"))</f>
        <v>4</v>
      </c>
    </row>
    <row r="9" customFormat="false" ht="21.75" hidden="false" customHeight="true" outlineLevel="0" collapsed="false">
      <c r="A9" s="231" t="str">
        <f aca="false">IF(03_能力總表_Master!$A9="","",03_能力總表_Master!$A9)</f>
        <v>CAP-005</v>
      </c>
      <c r="B9" s="166" t="str">
        <f aca="false">IF(03_能力總表_Master!$A9="","",03_能力總表_Master!$B9)</f>
        <v>D01 治理與投資</v>
      </c>
      <c r="C9" s="95" t="str">
        <f aca="false">IF(03_能力總表_Master!$A9="","",03_能力總表_Master!$E9)</f>
        <v>聯盟治理與利益衝突</v>
      </c>
      <c r="D9" s="232" t="s">
        <v>1305</v>
      </c>
      <c r="E9" s="232"/>
      <c r="F9" s="232"/>
      <c r="G9" s="232"/>
      <c r="H9" s="232"/>
      <c r="I9" s="232"/>
      <c r="J9" s="232"/>
      <c r="K9" s="232"/>
      <c r="L9" s="232"/>
      <c r="M9" s="232"/>
      <c r="N9" s="232"/>
      <c r="O9" s="232"/>
      <c r="P9" s="232"/>
      <c r="Q9" s="232"/>
      <c r="R9" s="232"/>
      <c r="S9" s="232"/>
      <c r="T9" s="232"/>
      <c r="U9" s="232"/>
      <c r="V9" s="232"/>
      <c r="W9" s="232"/>
      <c r="X9" s="232"/>
      <c r="Y9" s="232"/>
      <c r="Z9" s="232"/>
      <c r="AA9" s="232"/>
      <c r="AB9" s="232"/>
      <c r="AC9" s="232"/>
      <c r="AD9" s="232"/>
      <c r="AE9" s="232"/>
      <c r="AF9" s="232"/>
      <c r="AG9" s="232"/>
      <c r="AH9" s="232"/>
      <c r="AI9" s="232"/>
      <c r="AJ9" s="232"/>
      <c r="AK9" s="232"/>
      <c r="AL9" s="232"/>
      <c r="AM9" s="232"/>
      <c r="AN9" s="232"/>
      <c r="AO9" s="232"/>
      <c r="AP9" s="232"/>
      <c r="AQ9" s="232"/>
      <c r="AR9" s="232"/>
      <c r="AS9" s="232"/>
      <c r="AT9" s="232"/>
      <c r="AU9" s="232"/>
      <c r="AV9" s="232"/>
      <c r="AW9" s="232"/>
      <c r="AX9" s="232"/>
      <c r="AY9" s="232"/>
      <c r="AZ9" s="232"/>
      <c r="BA9" s="232"/>
      <c r="BB9" s="232"/>
      <c r="BC9" s="232"/>
      <c r="BD9" s="232"/>
      <c r="BE9" s="232"/>
      <c r="BF9" s="232"/>
      <c r="BG9" s="232"/>
      <c r="BH9" s="232"/>
      <c r="BI9" s="232"/>
      <c r="BJ9" s="232"/>
      <c r="BK9" s="232"/>
      <c r="BL9" s="232"/>
      <c r="BM9" s="232"/>
      <c r="BN9" s="232"/>
      <c r="BO9" s="232"/>
      <c r="BP9" s="232"/>
      <c r="BQ9" s="232"/>
      <c r="BR9" s="232"/>
      <c r="BS9" s="232"/>
      <c r="BT9" s="232"/>
      <c r="BU9" s="232"/>
      <c r="BV9" s="232"/>
      <c r="BW9" s="232"/>
      <c r="BX9" s="232"/>
      <c r="BY9" s="232"/>
      <c r="BZ9" s="232"/>
      <c r="CA9" s="232"/>
      <c r="CB9" s="232"/>
      <c r="CC9" s="232"/>
      <c r="CD9" s="232"/>
      <c r="CE9" s="232"/>
      <c r="CF9" s="232"/>
      <c r="CG9" s="232"/>
      <c r="CH9" s="232"/>
      <c r="CI9" s="232"/>
      <c r="CJ9" s="232"/>
      <c r="CK9" s="232"/>
      <c r="CL9" s="232"/>
      <c r="CM9" s="232"/>
      <c r="CN9" s="232"/>
      <c r="CO9" s="232"/>
      <c r="CP9" s="233" t="str">
        <f aca="false">IF(AND(D9="✓",D$4&lt;&gt;""),D$4&amp;"; ","")&amp;IF(AND(E9="✓",E$4&lt;&gt;""),E$4&amp;"; ","")&amp;IF(AND(F9="✓",F$4&lt;&gt;""),F$4&amp;"; ","")&amp;IF(AND(G9="✓",G$4&lt;&gt;""),G$4&amp;"; ","")&amp;IF(AND(H9="✓",H$4&lt;&gt;""),H$4&amp;"; ","")&amp;IF(AND(I9="✓",I$4&lt;&gt;""),I$4&amp;"; ","")&amp;IF(AND(J9="✓",J$4&lt;&gt;""),J$4&amp;"; ","")&amp;IF(AND(K9="✓",K$4&lt;&gt;""),K$4&amp;"; ","")&amp;IF(AND(L9="✓",L$4&lt;&gt;""),L$4&amp;"; ","")&amp;IF(AND(M9="✓",M$4&lt;&gt;""),M$4&amp;"; ","")&amp;IF(AND(N9="✓",N$4&lt;&gt;""),N$4&amp;"; ","")&amp;IF(AND(O9="✓",O$4&lt;&gt;""),O$4&amp;"; ","")&amp;IF(AND(P9="✓",P$4&lt;&gt;""),P$4&amp;"; ","")&amp;IF(AND(Q9="✓",Q$4&lt;&gt;""),Q$4&amp;"; ","")&amp;IF(AND(R9="✓",R$4&lt;&gt;""),R$4&amp;"; ","")&amp;IF(AND(S9="✓",S$4&lt;&gt;""),S$4&amp;"; ","")&amp;IF(AND(T9="✓",T$4&lt;&gt;""),T$4&amp;"; ","")&amp;IF(AND(U9="✓",U$4&lt;&gt;""),U$4&amp;"; ","")&amp;IF(AND(V9="✓",V$4&lt;&gt;""),V$4&amp;"; ","")&amp;IF(AND(W9="✓",W$4&lt;&gt;""),W$4&amp;"; ","")&amp;IF(AND(X9="✓",X$4&lt;&gt;""),X$4&amp;"; ","")&amp;IF(AND(Y9="✓",Y$4&lt;&gt;""),Y$4&amp;"; ","")&amp;IF(AND(Z9="✓",Z$4&lt;&gt;""),Z$4&amp;"; ","")&amp;IF(AND(AA9="✓",AA$4&lt;&gt;""),AA$4&amp;"; ","")&amp;IF(AND(AB9="✓",AB$4&lt;&gt;""),AB$4&amp;"; ","")&amp;IF(AND(AC9="✓",AC$4&lt;&gt;""),AC$4&amp;"; ","")&amp;IF(AND(AD9="✓",AD$4&lt;&gt;""),AD$4&amp;"; ","")&amp;IF(AND(AE9="✓",AE$4&lt;&gt;""),AE$4&amp;"; ","")&amp;IF(AND(AF9="✓",AF$4&lt;&gt;""),AF$4&amp;"; ","")&amp;IF(AND(AG9="✓",AG$4&lt;&gt;""),AG$4&amp;"; ","")&amp;IF(AND(AH9="✓",AH$4&lt;&gt;""),AH$4&amp;"; ","")&amp;IF(AND(AI9="✓",AI$4&lt;&gt;""),AI$4&amp;"; ","")&amp;IF(AND(AJ9="✓",AJ$4&lt;&gt;""),AJ$4&amp;"; ","")&amp;IF(AND(AK9="✓",AK$4&lt;&gt;""),AK$4&amp;"; ","")&amp;IF(AND(AL9="✓",AL$4&lt;&gt;""),AL$4&amp;"; ","")&amp;IF(AND(AM9="✓",AM$4&lt;&gt;""),AM$4&amp;"; ","")&amp;IF(AND(AN9="✓",AN$4&lt;&gt;""),AN$4&amp;"; ","")&amp;IF(AND(AO9="✓",AO$4&lt;&gt;""),AO$4&amp;"; ","")&amp;IF(AND(AP9="✓",AP$4&lt;&gt;""),AP$4&amp;"; ","")&amp;IF(AND(AQ9="✓",AQ$4&lt;&gt;""),AQ$4&amp;"; ","")&amp;IF(AND(AR9="✓",AR$4&lt;&gt;""),AR$4&amp;"; ","")&amp;IF(AND(AS9="✓",AS$4&lt;&gt;""),AS$4&amp;"; ","")&amp;IF(AND(AT9="✓",AT$4&lt;&gt;""),AT$4&amp;"; ","")&amp;IF(AND(AU9="✓",AU$4&lt;&gt;""),AU$4&amp;"; ","")&amp;IF(AND(AV9="✓",AV$4&lt;&gt;""),AV$4&amp;"; ","")&amp;IF(AND(AW9="✓",AW$4&lt;&gt;""),AW$4&amp;"; ","")&amp;IF(AND(AX9="✓",AX$4&lt;&gt;""),AX$4&amp;"; ","")&amp;IF(AND(AY9="✓",AY$4&lt;&gt;""),AY$4&amp;"; ","")&amp;IF(AND(AZ9="✓",AZ$4&lt;&gt;""),AZ$4&amp;"; ","")&amp;IF(AND(BA9="✓",BA$4&lt;&gt;""),BA$4&amp;"; ","")&amp;IF(AND(BB9="✓",BB$4&lt;&gt;""),BB$4&amp;"; ","")&amp;IF(AND(BC9="✓",BC$4&lt;&gt;""),BC$4&amp;"; ","")&amp;IF(AND(BD9="✓",BD$4&lt;&gt;""),BD$4&amp;"; ","")&amp;IF(AND(BE9="✓",BE$4&lt;&gt;""),BE$4&amp;"; ","")&amp;IF(AND(BF9="✓",BF$4&lt;&gt;""),BF$4&amp;"; ","")&amp;IF(AND(BG9="✓",BG$4&lt;&gt;""),BG$4&amp;"; ","")&amp;IF(AND(BH9="✓",BH$4&lt;&gt;""),BH$4&amp;"; ","")&amp;IF(AND(BI9="✓",BI$4&lt;&gt;""),BI$4&amp;"; ","")&amp;IF(AND(BJ9="✓",BJ$4&lt;&gt;""),BJ$4&amp;"; ","")&amp;IF(AND(BK9="✓",BK$4&lt;&gt;""),BK$4&amp;"; ","")&amp;IF(AND(BL9="✓",BL$4&lt;&gt;""),BL$4&amp;"; ","")&amp;IF(AND(BM9="✓",BM$4&lt;&gt;""),BM$4&amp;"; ","")&amp;IF(AND(BN9="✓",BN$4&lt;&gt;""),BN$4&amp;"; ","")&amp;IF(AND(BO9="✓",BO$4&lt;&gt;""),BO$4&amp;"; ","")&amp;IF(AND(BP9="✓",BP$4&lt;&gt;""),BP$4&amp;"; ","")&amp;IF(AND(BQ9="✓",BQ$4&lt;&gt;""),BQ$4&amp;"; ","")&amp;IF(AND(BR9="✓",BR$4&lt;&gt;""),BR$4&amp;"; ","")&amp;IF(AND(BS9="✓",BS$4&lt;&gt;""),BS$4&amp;"; ","")&amp;IF(AND(BT9="✓",BT$4&lt;&gt;""),BT$4&amp;"; ","")&amp;IF(AND(BU9="✓",BU$4&lt;&gt;""),BU$4&amp;"; ","")&amp;IF(AND(BV9="✓",BV$4&lt;&gt;""),BV$4&amp;"; ","")&amp;IF(AND(BW9="✓",BW$4&lt;&gt;""),BW$4&amp;"; ","")&amp;IF(AND(BX9="✓",BX$4&lt;&gt;""),BX$4&amp;"; ","")&amp;IF(AND(BY9="✓",BY$4&lt;&gt;""),BY$4&amp;"; ","")&amp;IF(AND(BZ9="✓",BZ$4&lt;&gt;""),BZ$4&amp;"; ","")&amp;IF(AND(CA9="✓",CA$4&lt;&gt;""),CA$4&amp;"; ","")&amp;IF(AND(CB9="✓",CB$4&lt;&gt;""),CB$4&amp;"; ","")&amp;IF(AND(CC9="✓",CC$4&lt;&gt;""),CC$4&amp;"; ","")&amp;IF(AND(CD9="✓",CD$4&lt;&gt;""),CD$4&amp;"; ","")&amp;IF(AND(CE9="✓",CE$4&lt;&gt;""),CE$4&amp;"; ","")&amp;IF(AND(CF9="✓",CF$4&lt;&gt;""),CF$4&amp;"; ","")&amp;IF(AND(CG9="✓",CG$4&lt;&gt;""),CG$4&amp;"; ","")&amp;IF(AND(CH9="✓",CH$4&lt;&gt;""),CH$4&amp;"; ","")&amp;IF(AND(CI9="✓",CI$4&lt;&gt;""),CI$4&amp;"; ","")&amp;IF(AND(CJ9="✓",CJ$4&lt;&gt;""),CJ$4&amp;"; ","")&amp;IF(AND(CK9="✓",CK$4&lt;&gt;""),CK$4&amp;"; ","")&amp;IF(AND(CL9="✓",CL$4&lt;&gt;""),CL$4&amp;"; ","")&amp;IF(AND(CM9="✓",CM$4&lt;&gt;""),CM$4&amp;"; ","")&amp;IF(AND(CN9="✓",CN$4&lt;&gt;""),CN$4&amp;"; ","")&amp;IF(AND(CO9="✓",CO$4&lt;&gt;""),CO$4&amp;"; ","")</f>
        <v>OPP-01; </v>
      </c>
      <c r="CQ9" s="104" t="str">
        <f aca="false">IF($CP9="","",LEFT($CP9,LEN($CP9)-2))</f>
        <v>OPP-01</v>
      </c>
      <c r="CR9" s="234" t="n">
        <f aca="false">IF($A9="","",COUNTIF($D9:$CO9,"✓"))</f>
        <v>1</v>
      </c>
    </row>
    <row r="10" customFormat="false" ht="21.75" hidden="false" customHeight="true" outlineLevel="0" collapsed="false">
      <c r="A10" s="231" t="str">
        <f aca="false">IF(03_能力總表_Master!$A10="","",03_能力總表_Master!$A10)</f>
        <v>CAP-006</v>
      </c>
      <c r="B10" s="166" t="str">
        <f aca="false">IF(03_能力總表_Master!$A10="","",03_能力總表_Master!$B10)</f>
        <v>D01 治理與投資</v>
      </c>
      <c r="C10" s="95" t="str">
        <f aca="false">IF(03_能力總表_Master!$A10="","",03_能力總表_Master!$E10)</f>
        <v>績效契約與變更控制</v>
      </c>
      <c r="D10" s="232" t="s">
        <v>1305</v>
      </c>
      <c r="E10" s="232"/>
      <c r="F10" s="232"/>
      <c r="G10" s="232" t="s">
        <v>1305</v>
      </c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2"/>
      <c r="Y10" s="232"/>
      <c r="Z10" s="232"/>
      <c r="AA10" s="232"/>
      <c r="AB10" s="232"/>
      <c r="AC10" s="232"/>
      <c r="AD10" s="232"/>
      <c r="AE10" s="232"/>
      <c r="AF10" s="232"/>
      <c r="AG10" s="232"/>
      <c r="AH10" s="232"/>
      <c r="AI10" s="232"/>
      <c r="AJ10" s="232"/>
      <c r="AK10" s="232"/>
      <c r="AL10" s="232"/>
      <c r="AM10" s="232"/>
      <c r="AN10" s="232"/>
      <c r="AO10" s="232"/>
      <c r="AP10" s="232"/>
      <c r="AQ10" s="232"/>
      <c r="AR10" s="232"/>
      <c r="AS10" s="232"/>
      <c r="AT10" s="232"/>
      <c r="AU10" s="232"/>
      <c r="AV10" s="232"/>
      <c r="AW10" s="232"/>
      <c r="AX10" s="232"/>
      <c r="AY10" s="232"/>
      <c r="AZ10" s="232"/>
      <c r="BA10" s="232"/>
      <c r="BB10" s="232"/>
      <c r="BC10" s="232"/>
      <c r="BD10" s="232"/>
      <c r="BE10" s="232"/>
      <c r="BF10" s="232"/>
      <c r="BG10" s="232"/>
      <c r="BH10" s="232"/>
      <c r="BI10" s="232"/>
      <c r="BJ10" s="232"/>
      <c r="BK10" s="232"/>
      <c r="BL10" s="232"/>
      <c r="BM10" s="232"/>
      <c r="BN10" s="232"/>
      <c r="BO10" s="232"/>
      <c r="BP10" s="232"/>
      <c r="BQ10" s="232"/>
      <c r="BR10" s="232"/>
      <c r="BS10" s="232"/>
      <c r="BT10" s="232"/>
      <c r="BU10" s="232"/>
      <c r="BV10" s="232"/>
      <c r="BW10" s="232"/>
      <c r="BX10" s="232"/>
      <c r="BY10" s="232"/>
      <c r="BZ10" s="232"/>
      <c r="CA10" s="232"/>
      <c r="CB10" s="232"/>
      <c r="CC10" s="232"/>
      <c r="CD10" s="232"/>
      <c r="CE10" s="232"/>
      <c r="CF10" s="232"/>
      <c r="CG10" s="232"/>
      <c r="CH10" s="232"/>
      <c r="CI10" s="232"/>
      <c r="CJ10" s="232" t="s">
        <v>1305</v>
      </c>
      <c r="CK10" s="232"/>
      <c r="CL10" s="232"/>
      <c r="CM10" s="232"/>
      <c r="CN10" s="232"/>
      <c r="CO10" s="232"/>
      <c r="CP10" s="233" t="str">
        <f aca="false">IF(AND(D10="✓",D$4&lt;&gt;""),D$4&amp;"; ","")&amp;IF(AND(E10="✓",E$4&lt;&gt;""),E$4&amp;"; ","")&amp;IF(AND(F10="✓",F$4&lt;&gt;""),F$4&amp;"; ","")&amp;IF(AND(G10="✓",G$4&lt;&gt;""),G$4&amp;"; ","")&amp;IF(AND(H10="✓",H$4&lt;&gt;""),H$4&amp;"; ","")&amp;IF(AND(I10="✓",I$4&lt;&gt;""),I$4&amp;"; ","")&amp;IF(AND(J10="✓",J$4&lt;&gt;""),J$4&amp;"; ","")&amp;IF(AND(K10="✓",K$4&lt;&gt;""),K$4&amp;"; ","")&amp;IF(AND(L10="✓",L$4&lt;&gt;""),L$4&amp;"; ","")&amp;IF(AND(M10="✓",M$4&lt;&gt;""),M$4&amp;"; ","")&amp;IF(AND(N10="✓",N$4&lt;&gt;""),N$4&amp;"; ","")&amp;IF(AND(O10="✓",O$4&lt;&gt;""),O$4&amp;"; ","")&amp;IF(AND(P10="✓",P$4&lt;&gt;""),P$4&amp;"; ","")&amp;IF(AND(Q10="✓",Q$4&lt;&gt;""),Q$4&amp;"; ","")&amp;IF(AND(R10="✓",R$4&lt;&gt;""),R$4&amp;"; ","")&amp;IF(AND(S10="✓",S$4&lt;&gt;""),S$4&amp;"; ","")&amp;IF(AND(T10="✓",T$4&lt;&gt;""),T$4&amp;"; ","")&amp;IF(AND(U10="✓",U$4&lt;&gt;""),U$4&amp;"; ","")&amp;IF(AND(V10="✓",V$4&lt;&gt;""),V$4&amp;"; ","")&amp;IF(AND(W10="✓",W$4&lt;&gt;""),W$4&amp;"; ","")&amp;IF(AND(X10="✓",X$4&lt;&gt;""),X$4&amp;"; ","")&amp;IF(AND(Y10="✓",Y$4&lt;&gt;""),Y$4&amp;"; ","")&amp;IF(AND(Z10="✓",Z$4&lt;&gt;""),Z$4&amp;"; ","")&amp;IF(AND(AA10="✓",AA$4&lt;&gt;""),AA$4&amp;"; ","")&amp;IF(AND(AB10="✓",AB$4&lt;&gt;""),AB$4&amp;"; ","")&amp;IF(AND(AC10="✓",AC$4&lt;&gt;""),AC$4&amp;"; ","")&amp;IF(AND(AD10="✓",AD$4&lt;&gt;""),AD$4&amp;"; ","")&amp;IF(AND(AE10="✓",AE$4&lt;&gt;""),AE$4&amp;"; ","")&amp;IF(AND(AF10="✓",AF$4&lt;&gt;""),AF$4&amp;"; ","")&amp;IF(AND(AG10="✓",AG$4&lt;&gt;""),AG$4&amp;"; ","")&amp;IF(AND(AH10="✓",AH$4&lt;&gt;""),AH$4&amp;"; ","")&amp;IF(AND(AI10="✓",AI$4&lt;&gt;""),AI$4&amp;"; ","")&amp;IF(AND(AJ10="✓",AJ$4&lt;&gt;""),AJ$4&amp;"; ","")&amp;IF(AND(AK10="✓",AK$4&lt;&gt;""),AK$4&amp;"; ","")&amp;IF(AND(AL10="✓",AL$4&lt;&gt;""),AL$4&amp;"; ","")&amp;IF(AND(AM10="✓",AM$4&lt;&gt;""),AM$4&amp;"; ","")&amp;IF(AND(AN10="✓",AN$4&lt;&gt;""),AN$4&amp;"; ","")&amp;IF(AND(AO10="✓",AO$4&lt;&gt;""),AO$4&amp;"; ","")&amp;IF(AND(AP10="✓",AP$4&lt;&gt;""),AP$4&amp;"; ","")&amp;IF(AND(AQ10="✓",AQ$4&lt;&gt;""),AQ$4&amp;"; ","")&amp;IF(AND(AR10="✓",AR$4&lt;&gt;""),AR$4&amp;"; ","")&amp;IF(AND(AS10="✓",AS$4&lt;&gt;""),AS$4&amp;"; ","")&amp;IF(AND(AT10="✓",AT$4&lt;&gt;""),AT$4&amp;"; ","")&amp;IF(AND(AU10="✓",AU$4&lt;&gt;""),AU$4&amp;"; ","")&amp;IF(AND(AV10="✓",AV$4&lt;&gt;""),AV$4&amp;"; ","")&amp;IF(AND(AW10="✓",AW$4&lt;&gt;""),AW$4&amp;"; ","")&amp;IF(AND(AX10="✓",AX$4&lt;&gt;""),AX$4&amp;"; ","")&amp;IF(AND(AY10="✓",AY$4&lt;&gt;""),AY$4&amp;"; ","")&amp;IF(AND(AZ10="✓",AZ$4&lt;&gt;""),AZ$4&amp;"; ","")&amp;IF(AND(BA10="✓",BA$4&lt;&gt;""),BA$4&amp;"; ","")&amp;IF(AND(BB10="✓",BB$4&lt;&gt;""),BB$4&amp;"; ","")&amp;IF(AND(BC10="✓",BC$4&lt;&gt;""),BC$4&amp;"; ","")&amp;IF(AND(BD10="✓",BD$4&lt;&gt;""),BD$4&amp;"; ","")&amp;IF(AND(BE10="✓",BE$4&lt;&gt;""),BE$4&amp;"; ","")&amp;IF(AND(BF10="✓",BF$4&lt;&gt;""),BF$4&amp;"; ","")&amp;IF(AND(BG10="✓",BG$4&lt;&gt;""),BG$4&amp;"; ","")&amp;IF(AND(BH10="✓",BH$4&lt;&gt;""),BH$4&amp;"; ","")&amp;IF(AND(BI10="✓",BI$4&lt;&gt;""),BI$4&amp;"; ","")&amp;IF(AND(BJ10="✓",BJ$4&lt;&gt;""),BJ$4&amp;"; ","")&amp;IF(AND(BK10="✓",BK$4&lt;&gt;""),BK$4&amp;"; ","")&amp;IF(AND(BL10="✓",BL$4&lt;&gt;""),BL$4&amp;"; ","")&amp;IF(AND(BM10="✓",BM$4&lt;&gt;""),BM$4&amp;"; ","")&amp;IF(AND(BN10="✓",BN$4&lt;&gt;""),BN$4&amp;"; ","")&amp;IF(AND(BO10="✓",BO$4&lt;&gt;""),BO$4&amp;"; ","")&amp;IF(AND(BP10="✓",BP$4&lt;&gt;""),BP$4&amp;"; ","")&amp;IF(AND(BQ10="✓",BQ$4&lt;&gt;""),BQ$4&amp;"; ","")&amp;IF(AND(BR10="✓",BR$4&lt;&gt;""),BR$4&amp;"; ","")&amp;IF(AND(BS10="✓",BS$4&lt;&gt;""),BS$4&amp;"; ","")&amp;IF(AND(BT10="✓",BT$4&lt;&gt;""),BT$4&amp;"; ","")&amp;IF(AND(BU10="✓",BU$4&lt;&gt;""),BU$4&amp;"; ","")&amp;IF(AND(BV10="✓",BV$4&lt;&gt;""),BV$4&amp;"; ","")&amp;IF(AND(BW10="✓",BW$4&lt;&gt;""),BW$4&amp;"; ","")&amp;IF(AND(BX10="✓",BX$4&lt;&gt;""),BX$4&amp;"; ","")&amp;IF(AND(BY10="✓",BY$4&lt;&gt;""),BY$4&amp;"; ","")&amp;IF(AND(BZ10="✓",BZ$4&lt;&gt;""),BZ$4&amp;"; ","")&amp;IF(AND(CA10="✓",CA$4&lt;&gt;""),CA$4&amp;"; ","")&amp;IF(AND(CB10="✓",CB$4&lt;&gt;""),CB$4&amp;"; ","")&amp;IF(AND(CC10="✓",CC$4&lt;&gt;""),CC$4&amp;"; ","")&amp;IF(AND(CD10="✓",CD$4&lt;&gt;""),CD$4&amp;"; ","")&amp;IF(AND(CE10="✓",CE$4&lt;&gt;""),CE$4&amp;"; ","")&amp;IF(AND(CF10="✓",CF$4&lt;&gt;""),CF$4&amp;"; ","")&amp;IF(AND(CG10="✓",CG$4&lt;&gt;""),CG$4&amp;"; ","")&amp;IF(AND(CH10="✓",CH$4&lt;&gt;""),CH$4&amp;"; ","")&amp;IF(AND(CI10="✓",CI$4&lt;&gt;""),CI$4&amp;"; ","")&amp;IF(AND(CJ10="✓",CJ$4&lt;&gt;""),CJ$4&amp;"; ","")&amp;IF(AND(CK10="✓",CK$4&lt;&gt;""),CK$4&amp;"; ","")&amp;IF(AND(CL10="✓",CL$4&lt;&gt;""),CL$4&amp;"; ","")&amp;IF(AND(CM10="✓",CM$4&lt;&gt;""),CM$4&amp;"; ","")&amp;IF(AND(CN10="✓",CN$4&lt;&gt;""),CN$4&amp;"; ","")&amp;IF(AND(CO10="✓",CO$4&lt;&gt;""),CO$4&amp;"; ","")</f>
        <v>OPP-01; OPP-04; OPP-85; </v>
      </c>
      <c r="CQ10" s="104" t="str">
        <f aca="false">IF($CP10="","",LEFT($CP10,LEN($CP10)-2))</f>
        <v>OPP-01; OPP-04; OPP-85</v>
      </c>
      <c r="CR10" s="234" t="n">
        <f aca="false">IF($A10="","",COUNTIF($D10:$CO10,"✓"))</f>
        <v>3</v>
      </c>
    </row>
    <row r="11" customFormat="false" ht="21.75" hidden="false" customHeight="true" outlineLevel="0" collapsed="false">
      <c r="A11" s="231" t="str">
        <f aca="false">IF(03_能力總表_Master!$A11="","",03_能力總表_Master!$A11)</f>
        <v>CAP-007</v>
      </c>
      <c r="B11" s="166" t="str">
        <f aca="false">IF(03_能力總表_Master!$A11="","",03_能力總表_Master!$B11)</f>
        <v>D02 臨床服務模式</v>
      </c>
      <c r="C11" s="95" t="str">
        <f aca="false">IF(03_能力總表_Master!$A11="","",03_能力總表_Master!$E11)</f>
        <v>人口需求與病例量預測</v>
      </c>
      <c r="D11" s="232"/>
      <c r="E11" s="232" t="s">
        <v>1305</v>
      </c>
      <c r="F11" s="232"/>
      <c r="G11" s="232"/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2"/>
      <c r="AA11" s="232"/>
      <c r="AB11" s="232"/>
      <c r="AC11" s="232"/>
      <c r="AD11" s="232"/>
      <c r="AE11" s="232"/>
      <c r="AF11" s="232"/>
      <c r="AG11" s="232"/>
      <c r="AH11" s="232"/>
      <c r="AI11" s="232"/>
      <c r="AJ11" s="232"/>
      <c r="AK11" s="232"/>
      <c r="AL11" s="232"/>
      <c r="AM11" s="232"/>
      <c r="AN11" s="232"/>
      <c r="AO11" s="232"/>
      <c r="AP11" s="232"/>
      <c r="AQ11" s="232"/>
      <c r="AR11" s="232"/>
      <c r="AS11" s="232"/>
      <c r="AT11" s="232"/>
      <c r="AU11" s="232"/>
      <c r="AV11" s="232"/>
      <c r="AW11" s="232"/>
      <c r="AX11" s="232"/>
      <c r="AY11" s="232"/>
      <c r="AZ11" s="232"/>
      <c r="BA11" s="232"/>
      <c r="BB11" s="232"/>
      <c r="BC11" s="232"/>
      <c r="BD11" s="232"/>
      <c r="BE11" s="232"/>
      <c r="BF11" s="232"/>
      <c r="BG11" s="232"/>
      <c r="BH11" s="232"/>
      <c r="BI11" s="232"/>
      <c r="BJ11" s="232"/>
      <c r="BK11" s="232"/>
      <c r="BL11" s="232"/>
      <c r="BM11" s="232"/>
      <c r="BN11" s="232"/>
      <c r="BO11" s="232"/>
      <c r="BP11" s="232"/>
      <c r="BQ11" s="232"/>
      <c r="BR11" s="232"/>
      <c r="BS11" s="232"/>
      <c r="BT11" s="232"/>
      <c r="BU11" s="232"/>
      <c r="BV11" s="232"/>
      <c r="BW11" s="232"/>
      <c r="BX11" s="232"/>
      <c r="BY11" s="232"/>
      <c r="BZ11" s="232" t="s">
        <v>1305</v>
      </c>
      <c r="CA11" s="232"/>
      <c r="CB11" s="232"/>
      <c r="CC11" s="232"/>
      <c r="CD11" s="232"/>
      <c r="CE11" s="232"/>
      <c r="CF11" s="232"/>
      <c r="CG11" s="232"/>
      <c r="CH11" s="232"/>
      <c r="CI11" s="232"/>
      <c r="CJ11" s="232"/>
      <c r="CK11" s="232"/>
      <c r="CL11" s="232"/>
      <c r="CM11" s="232"/>
      <c r="CN11" s="232"/>
      <c r="CO11" s="232"/>
      <c r="CP11" s="233" t="str">
        <f aca="false">IF(AND(D11="✓",D$4&lt;&gt;""),D$4&amp;"; ","")&amp;IF(AND(E11="✓",E$4&lt;&gt;""),E$4&amp;"; ","")&amp;IF(AND(F11="✓",F$4&lt;&gt;""),F$4&amp;"; ","")&amp;IF(AND(G11="✓",G$4&lt;&gt;""),G$4&amp;"; ","")&amp;IF(AND(H11="✓",H$4&lt;&gt;""),H$4&amp;"; ","")&amp;IF(AND(I11="✓",I$4&lt;&gt;""),I$4&amp;"; ","")&amp;IF(AND(J11="✓",J$4&lt;&gt;""),J$4&amp;"; ","")&amp;IF(AND(K11="✓",K$4&lt;&gt;""),K$4&amp;"; ","")&amp;IF(AND(L11="✓",L$4&lt;&gt;""),L$4&amp;"; ","")&amp;IF(AND(M11="✓",M$4&lt;&gt;""),M$4&amp;"; ","")&amp;IF(AND(N11="✓",N$4&lt;&gt;""),N$4&amp;"; ","")&amp;IF(AND(O11="✓",O$4&lt;&gt;""),O$4&amp;"; ","")&amp;IF(AND(P11="✓",P$4&lt;&gt;""),P$4&amp;"; ","")&amp;IF(AND(Q11="✓",Q$4&lt;&gt;""),Q$4&amp;"; ","")&amp;IF(AND(R11="✓",R$4&lt;&gt;""),R$4&amp;"; ","")&amp;IF(AND(S11="✓",S$4&lt;&gt;""),S$4&amp;"; ","")&amp;IF(AND(T11="✓",T$4&lt;&gt;""),T$4&amp;"; ","")&amp;IF(AND(U11="✓",U$4&lt;&gt;""),U$4&amp;"; ","")&amp;IF(AND(V11="✓",V$4&lt;&gt;""),V$4&amp;"; ","")&amp;IF(AND(W11="✓",W$4&lt;&gt;""),W$4&amp;"; ","")&amp;IF(AND(X11="✓",X$4&lt;&gt;""),X$4&amp;"; ","")&amp;IF(AND(Y11="✓",Y$4&lt;&gt;""),Y$4&amp;"; ","")&amp;IF(AND(Z11="✓",Z$4&lt;&gt;""),Z$4&amp;"; ","")&amp;IF(AND(AA11="✓",AA$4&lt;&gt;""),AA$4&amp;"; ","")&amp;IF(AND(AB11="✓",AB$4&lt;&gt;""),AB$4&amp;"; ","")&amp;IF(AND(AC11="✓",AC$4&lt;&gt;""),AC$4&amp;"; ","")&amp;IF(AND(AD11="✓",AD$4&lt;&gt;""),AD$4&amp;"; ","")&amp;IF(AND(AE11="✓",AE$4&lt;&gt;""),AE$4&amp;"; ","")&amp;IF(AND(AF11="✓",AF$4&lt;&gt;""),AF$4&amp;"; ","")&amp;IF(AND(AG11="✓",AG$4&lt;&gt;""),AG$4&amp;"; ","")&amp;IF(AND(AH11="✓",AH$4&lt;&gt;""),AH$4&amp;"; ","")&amp;IF(AND(AI11="✓",AI$4&lt;&gt;""),AI$4&amp;"; ","")&amp;IF(AND(AJ11="✓",AJ$4&lt;&gt;""),AJ$4&amp;"; ","")&amp;IF(AND(AK11="✓",AK$4&lt;&gt;""),AK$4&amp;"; ","")&amp;IF(AND(AL11="✓",AL$4&lt;&gt;""),AL$4&amp;"; ","")&amp;IF(AND(AM11="✓",AM$4&lt;&gt;""),AM$4&amp;"; ","")&amp;IF(AND(AN11="✓",AN$4&lt;&gt;""),AN$4&amp;"; ","")&amp;IF(AND(AO11="✓",AO$4&lt;&gt;""),AO$4&amp;"; ","")&amp;IF(AND(AP11="✓",AP$4&lt;&gt;""),AP$4&amp;"; ","")&amp;IF(AND(AQ11="✓",AQ$4&lt;&gt;""),AQ$4&amp;"; ","")&amp;IF(AND(AR11="✓",AR$4&lt;&gt;""),AR$4&amp;"; ","")&amp;IF(AND(AS11="✓",AS$4&lt;&gt;""),AS$4&amp;"; ","")&amp;IF(AND(AT11="✓",AT$4&lt;&gt;""),AT$4&amp;"; ","")&amp;IF(AND(AU11="✓",AU$4&lt;&gt;""),AU$4&amp;"; ","")&amp;IF(AND(AV11="✓",AV$4&lt;&gt;""),AV$4&amp;"; ","")&amp;IF(AND(AW11="✓",AW$4&lt;&gt;""),AW$4&amp;"; ","")&amp;IF(AND(AX11="✓",AX$4&lt;&gt;""),AX$4&amp;"; ","")&amp;IF(AND(AY11="✓",AY$4&lt;&gt;""),AY$4&amp;"; ","")&amp;IF(AND(AZ11="✓",AZ$4&lt;&gt;""),AZ$4&amp;"; ","")&amp;IF(AND(BA11="✓",BA$4&lt;&gt;""),BA$4&amp;"; ","")&amp;IF(AND(BB11="✓",BB$4&lt;&gt;""),BB$4&amp;"; ","")&amp;IF(AND(BC11="✓",BC$4&lt;&gt;""),BC$4&amp;"; ","")&amp;IF(AND(BD11="✓",BD$4&lt;&gt;""),BD$4&amp;"; ","")&amp;IF(AND(BE11="✓",BE$4&lt;&gt;""),BE$4&amp;"; ","")&amp;IF(AND(BF11="✓",BF$4&lt;&gt;""),BF$4&amp;"; ","")&amp;IF(AND(BG11="✓",BG$4&lt;&gt;""),BG$4&amp;"; ","")&amp;IF(AND(BH11="✓",BH$4&lt;&gt;""),BH$4&amp;"; ","")&amp;IF(AND(BI11="✓",BI$4&lt;&gt;""),BI$4&amp;"; ","")&amp;IF(AND(BJ11="✓",BJ$4&lt;&gt;""),BJ$4&amp;"; ","")&amp;IF(AND(BK11="✓",BK$4&lt;&gt;""),BK$4&amp;"; ","")&amp;IF(AND(BL11="✓",BL$4&lt;&gt;""),BL$4&amp;"; ","")&amp;IF(AND(BM11="✓",BM$4&lt;&gt;""),BM$4&amp;"; ","")&amp;IF(AND(BN11="✓",BN$4&lt;&gt;""),BN$4&amp;"; ","")&amp;IF(AND(BO11="✓",BO$4&lt;&gt;""),BO$4&amp;"; ","")&amp;IF(AND(BP11="✓",BP$4&lt;&gt;""),BP$4&amp;"; ","")&amp;IF(AND(BQ11="✓",BQ$4&lt;&gt;""),BQ$4&amp;"; ","")&amp;IF(AND(BR11="✓",BR$4&lt;&gt;""),BR$4&amp;"; ","")&amp;IF(AND(BS11="✓",BS$4&lt;&gt;""),BS$4&amp;"; ","")&amp;IF(AND(BT11="✓",BT$4&lt;&gt;""),BT$4&amp;"; ","")&amp;IF(AND(BU11="✓",BU$4&lt;&gt;""),BU$4&amp;"; ","")&amp;IF(AND(BV11="✓",BV$4&lt;&gt;""),BV$4&amp;"; ","")&amp;IF(AND(BW11="✓",BW$4&lt;&gt;""),BW$4&amp;"; ","")&amp;IF(AND(BX11="✓",BX$4&lt;&gt;""),BX$4&amp;"; ","")&amp;IF(AND(BY11="✓",BY$4&lt;&gt;""),BY$4&amp;"; ","")&amp;IF(AND(BZ11="✓",BZ$4&lt;&gt;""),BZ$4&amp;"; ","")&amp;IF(AND(CA11="✓",CA$4&lt;&gt;""),CA$4&amp;"; ","")&amp;IF(AND(CB11="✓",CB$4&lt;&gt;""),CB$4&amp;"; ","")&amp;IF(AND(CC11="✓",CC$4&lt;&gt;""),CC$4&amp;"; ","")&amp;IF(AND(CD11="✓",CD$4&lt;&gt;""),CD$4&amp;"; ","")&amp;IF(AND(CE11="✓",CE$4&lt;&gt;""),CE$4&amp;"; ","")&amp;IF(AND(CF11="✓",CF$4&lt;&gt;""),CF$4&amp;"; ","")&amp;IF(AND(CG11="✓",CG$4&lt;&gt;""),CG$4&amp;"; ","")&amp;IF(AND(CH11="✓",CH$4&lt;&gt;""),CH$4&amp;"; ","")&amp;IF(AND(CI11="✓",CI$4&lt;&gt;""),CI$4&amp;"; ","")&amp;IF(AND(CJ11="✓",CJ$4&lt;&gt;""),CJ$4&amp;"; ","")&amp;IF(AND(CK11="✓",CK$4&lt;&gt;""),CK$4&amp;"; ","")&amp;IF(AND(CL11="✓",CL$4&lt;&gt;""),CL$4&amp;"; ","")&amp;IF(AND(CM11="✓",CM$4&lt;&gt;""),CM$4&amp;"; ","")&amp;IF(AND(CN11="✓",CN$4&lt;&gt;""),CN$4&amp;"; ","")&amp;IF(AND(CO11="✓",CO$4&lt;&gt;""),CO$4&amp;"; ","")</f>
        <v>OPP-02; OPP-75; </v>
      </c>
      <c r="CQ11" s="104" t="str">
        <f aca="false">IF($CP11="","",LEFT($CP11,LEN($CP11)-2))</f>
        <v>OPP-02; OPP-75</v>
      </c>
      <c r="CR11" s="234" t="n">
        <f aca="false">IF($A11="","",COUNTIF($D11:$CO11,"✓"))</f>
        <v>2</v>
      </c>
    </row>
    <row r="12" customFormat="false" ht="21.75" hidden="false" customHeight="true" outlineLevel="0" collapsed="false">
      <c r="A12" s="231" t="str">
        <f aca="false">IF(03_能力總表_Master!$A12="","",03_能力總表_Master!$A12)</f>
        <v>CAP-008</v>
      </c>
      <c r="B12" s="166" t="str">
        <f aca="false">IF(03_能力總表_Master!$A12="","",03_能力總表_Master!$B12)</f>
        <v>D02 臨床服務模式</v>
      </c>
      <c r="C12" s="95" t="str">
        <f aca="false">IF(03_能力總表_Master!$A12="","",03_能力總表_Master!$E12)</f>
        <v>醫院定位與服務組合</v>
      </c>
      <c r="D12" s="232"/>
      <c r="E12" s="232" t="s">
        <v>1305</v>
      </c>
      <c r="F12" s="232" t="s">
        <v>1305</v>
      </c>
      <c r="G12" s="232" t="s">
        <v>1305</v>
      </c>
      <c r="H12" s="232"/>
      <c r="I12" s="232"/>
      <c r="J12" s="232"/>
      <c r="K12" s="232"/>
      <c r="L12" s="232"/>
      <c r="M12" s="232"/>
      <c r="N12" s="232"/>
      <c r="O12" s="232"/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/>
      <c r="AP12" s="232"/>
      <c r="AQ12" s="232"/>
      <c r="AR12" s="232"/>
      <c r="AS12" s="232"/>
      <c r="AT12" s="232"/>
      <c r="AU12" s="232"/>
      <c r="AV12" s="232"/>
      <c r="AW12" s="232"/>
      <c r="AX12" s="232"/>
      <c r="AY12" s="232"/>
      <c r="AZ12" s="232"/>
      <c r="BA12" s="232"/>
      <c r="BB12" s="232"/>
      <c r="BC12" s="232"/>
      <c r="BD12" s="232"/>
      <c r="BE12" s="232"/>
      <c r="BF12" s="232"/>
      <c r="BG12" s="232"/>
      <c r="BH12" s="232"/>
      <c r="BI12" s="232"/>
      <c r="BJ12" s="232"/>
      <c r="BK12" s="232"/>
      <c r="BL12" s="232"/>
      <c r="BM12" s="232"/>
      <c r="BN12" s="232"/>
      <c r="BO12" s="232"/>
      <c r="BP12" s="232"/>
      <c r="BQ12" s="232"/>
      <c r="BR12" s="232"/>
      <c r="BS12" s="232"/>
      <c r="BT12" s="232"/>
      <c r="BU12" s="232"/>
      <c r="BV12" s="232"/>
      <c r="BW12" s="232"/>
      <c r="BX12" s="232"/>
      <c r="BY12" s="232" t="s">
        <v>1305</v>
      </c>
      <c r="BZ12" s="232" t="s">
        <v>1305</v>
      </c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33" t="str">
        <f aca="false">IF(AND(D12="✓",D$4&lt;&gt;""),D$4&amp;"; ","")&amp;IF(AND(E12="✓",E$4&lt;&gt;""),E$4&amp;"; ","")&amp;IF(AND(F12="✓",F$4&lt;&gt;""),F$4&amp;"; ","")&amp;IF(AND(G12="✓",G$4&lt;&gt;""),G$4&amp;"; ","")&amp;IF(AND(H12="✓",H$4&lt;&gt;""),H$4&amp;"; ","")&amp;IF(AND(I12="✓",I$4&lt;&gt;""),I$4&amp;"; ","")&amp;IF(AND(J12="✓",J$4&lt;&gt;""),J$4&amp;"; ","")&amp;IF(AND(K12="✓",K$4&lt;&gt;""),K$4&amp;"; ","")&amp;IF(AND(L12="✓",L$4&lt;&gt;""),L$4&amp;"; ","")&amp;IF(AND(M12="✓",M$4&lt;&gt;""),M$4&amp;"; ","")&amp;IF(AND(N12="✓",N$4&lt;&gt;""),N$4&amp;"; ","")&amp;IF(AND(O12="✓",O$4&lt;&gt;""),O$4&amp;"; ","")&amp;IF(AND(P12="✓",P$4&lt;&gt;""),P$4&amp;"; ","")&amp;IF(AND(Q12="✓",Q$4&lt;&gt;""),Q$4&amp;"; ","")&amp;IF(AND(R12="✓",R$4&lt;&gt;""),R$4&amp;"; ","")&amp;IF(AND(S12="✓",S$4&lt;&gt;""),S$4&amp;"; ","")&amp;IF(AND(T12="✓",T$4&lt;&gt;""),T$4&amp;"; ","")&amp;IF(AND(U12="✓",U$4&lt;&gt;""),U$4&amp;"; ","")&amp;IF(AND(V12="✓",V$4&lt;&gt;""),V$4&amp;"; ","")&amp;IF(AND(W12="✓",W$4&lt;&gt;""),W$4&amp;"; ","")&amp;IF(AND(X12="✓",X$4&lt;&gt;""),X$4&amp;"; ","")&amp;IF(AND(Y12="✓",Y$4&lt;&gt;""),Y$4&amp;"; ","")&amp;IF(AND(Z12="✓",Z$4&lt;&gt;""),Z$4&amp;"; ","")&amp;IF(AND(AA12="✓",AA$4&lt;&gt;""),AA$4&amp;"; ","")&amp;IF(AND(AB12="✓",AB$4&lt;&gt;""),AB$4&amp;"; ","")&amp;IF(AND(AC12="✓",AC$4&lt;&gt;""),AC$4&amp;"; ","")&amp;IF(AND(AD12="✓",AD$4&lt;&gt;""),AD$4&amp;"; ","")&amp;IF(AND(AE12="✓",AE$4&lt;&gt;""),AE$4&amp;"; ","")&amp;IF(AND(AF12="✓",AF$4&lt;&gt;""),AF$4&amp;"; ","")&amp;IF(AND(AG12="✓",AG$4&lt;&gt;""),AG$4&amp;"; ","")&amp;IF(AND(AH12="✓",AH$4&lt;&gt;""),AH$4&amp;"; ","")&amp;IF(AND(AI12="✓",AI$4&lt;&gt;""),AI$4&amp;"; ","")&amp;IF(AND(AJ12="✓",AJ$4&lt;&gt;""),AJ$4&amp;"; ","")&amp;IF(AND(AK12="✓",AK$4&lt;&gt;""),AK$4&amp;"; ","")&amp;IF(AND(AL12="✓",AL$4&lt;&gt;""),AL$4&amp;"; ","")&amp;IF(AND(AM12="✓",AM$4&lt;&gt;""),AM$4&amp;"; ","")&amp;IF(AND(AN12="✓",AN$4&lt;&gt;""),AN$4&amp;"; ","")&amp;IF(AND(AO12="✓",AO$4&lt;&gt;""),AO$4&amp;"; ","")&amp;IF(AND(AP12="✓",AP$4&lt;&gt;""),AP$4&amp;"; ","")&amp;IF(AND(AQ12="✓",AQ$4&lt;&gt;""),AQ$4&amp;"; ","")&amp;IF(AND(AR12="✓",AR$4&lt;&gt;""),AR$4&amp;"; ","")&amp;IF(AND(AS12="✓",AS$4&lt;&gt;""),AS$4&amp;"; ","")&amp;IF(AND(AT12="✓",AT$4&lt;&gt;""),AT$4&amp;"; ","")&amp;IF(AND(AU12="✓",AU$4&lt;&gt;""),AU$4&amp;"; ","")&amp;IF(AND(AV12="✓",AV$4&lt;&gt;""),AV$4&amp;"; ","")&amp;IF(AND(AW12="✓",AW$4&lt;&gt;""),AW$4&amp;"; ","")&amp;IF(AND(AX12="✓",AX$4&lt;&gt;""),AX$4&amp;"; ","")&amp;IF(AND(AY12="✓",AY$4&lt;&gt;""),AY$4&amp;"; ","")&amp;IF(AND(AZ12="✓",AZ$4&lt;&gt;""),AZ$4&amp;"; ","")&amp;IF(AND(BA12="✓",BA$4&lt;&gt;""),BA$4&amp;"; ","")&amp;IF(AND(BB12="✓",BB$4&lt;&gt;""),BB$4&amp;"; ","")&amp;IF(AND(BC12="✓",BC$4&lt;&gt;""),BC$4&amp;"; ","")&amp;IF(AND(BD12="✓",BD$4&lt;&gt;""),BD$4&amp;"; ","")&amp;IF(AND(BE12="✓",BE$4&lt;&gt;""),BE$4&amp;"; ","")&amp;IF(AND(BF12="✓",BF$4&lt;&gt;""),BF$4&amp;"; ","")&amp;IF(AND(BG12="✓",BG$4&lt;&gt;""),BG$4&amp;"; ","")&amp;IF(AND(BH12="✓",BH$4&lt;&gt;""),BH$4&amp;"; ","")&amp;IF(AND(BI12="✓",BI$4&lt;&gt;""),BI$4&amp;"; ","")&amp;IF(AND(BJ12="✓",BJ$4&lt;&gt;""),BJ$4&amp;"; ","")&amp;IF(AND(BK12="✓",BK$4&lt;&gt;""),BK$4&amp;"; ","")&amp;IF(AND(BL12="✓",BL$4&lt;&gt;""),BL$4&amp;"; ","")&amp;IF(AND(BM12="✓",BM$4&lt;&gt;""),BM$4&amp;"; ","")&amp;IF(AND(BN12="✓",BN$4&lt;&gt;""),BN$4&amp;"; ","")&amp;IF(AND(BO12="✓",BO$4&lt;&gt;""),BO$4&amp;"; ","")&amp;IF(AND(BP12="✓",BP$4&lt;&gt;""),BP$4&amp;"; ","")&amp;IF(AND(BQ12="✓",BQ$4&lt;&gt;""),BQ$4&amp;"; ","")&amp;IF(AND(BR12="✓",BR$4&lt;&gt;""),BR$4&amp;"; ","")&amp;IF(AND(BS12="✓",BS$4&lt;&gt;""),BS$4&amp;"; ","")&amp;IF(AND(BT12="✓",BT$4&lt;&gt;""),BT$4&amp;"; ","")&amp;IF(AND(BU12="✓",BU$4&lt;&gt;""),BU$4&amp;"; ","")&amp;IF(AND(BV12="✓",BV$4&lt;&gt;""),BV$4&amp;"; ","")&amp;IF(AND(BW12="✓",BW$4&lt;&gt;""),BW$4&amp;"; ","")&amp;IF(AND(BX12="✓",BX$4&lt;&gt;""),BX$4&amp;"; ","")&amp;IF(AND(BY12="✓",BY$4&lt;&gt;""),BY$4&amp;"; ","")&amp;IF(AND(BZ12="✓",BZ$4&lt;&gt;""),BZ$4&amp;"; ","")&amp;IF(AND(CA12="✓",CA$4&lt;&gt;""),CA$4&amp;"; ","")&amp;IF(AND(CB12="✓",CB$4&lt;&gt;""),CB$4&amp;"; ","")&amp;IF(AND(CC12="✓",CC$4&lt;&gt;""),CC$4&amp;"; ","")&amp;IF(AND(CD12="✓",CD$4&lt;&gt;""),CD$4&amp;"; ","")&amp;IF(AND(CE12="✓",CE$4&lt;&gt;""),CE$4&amp;"; ","")&amp;IF(AND(CF12="✓",CF$4&lt;&gt;""),CF$4&amp;"; ","")&amp;IF(AND(CG12="✓",CG$4&lt;&gt;""),CG$4&amp;"; ","")&amp;IF(AND(CH12="✓",CH$4&lt;&gt;""),CH$4&amp;"; ","")&amp;IF(AND(CI12="✓",CI$4&lt;&gt;""),CI$4&amp;"; ","")&amp;IF(AND(CJ12="✓",CJ$4&lt;&gt;""),CJ$4&amp;"; ","")&amp;IF(AND(CK12="✓",CK$4&lt;&gt;""),CK$4&amp;"; ","")&amp;IF(AND(CL12="✓",CL$4&lt;&gt;""),CL$4&amp;"; ","")&amp;IF(AND(CM12="✓",CM$4&lt;&gt;""),CM$4&amp;"; ","")&amp;IF(AND(CN12="✓",CN$4&lt;&gt;""),CN$4&amp;"; ","")&amp;IF(AND(CO12="✓",CO$4&lt;&gt;""),CO$4&amp;"; ","")</f>
        <v>OPP-02; OPP-03; OPP-04; OPP-74; OPP-75; </v>
      </c>
      <c r="CQ12" s="104" t="str">
        <f aca="false">IF($CP12="","",LEFT($CP12,LEN($CP12)-2))</f>
        <v>OPP-02; OPP-03; OPP-04; OPP-74; OPP-75</v>
      </c>
      <c r="CR12" s="234" t="n">
        <f aca="false">IF($A12="","",COUNTIF($D12:$CO12,"✓"))</f>
        <v>5</v>
      </c>
    </row>
    <row r="13" customFormat="false" ht="21.75" hidden="false" customHeight="true" outlineLevel="0" collapsed="false">
      <c r="A13" s="231" t="str">
        <f aca="false">IF(03_能力總表_Master!$A13="","",03_能力總表_Master!$A13)</f>
        <v>CAP-009</v>
      </c>
      <c r="B13" s="166" t="str">
        <f aca="false">IF(03_能力總表_Master!$A13="","",03_能力總表_Master!$B13)</f>
        <v>D02 臨床服務模式</v>
      </c>
      <c r="C13" s="95" t="str">
        <f aca="false">IF(03_能力總表_Master!$A13="","",03_能力總表_Master!$E13)</f>
        <v>重點專科優先化</v>
      </c>
      <c r="D13" s="232"/>
      <c r="E13" s="232" t="s">
        <v>1305</v>
      </c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2"/>
      <c r="AA13" s="232"/>
      <c r="AB13" s="232"/>
      <c r="AC13" s="232"/>
      <c r="AD13" s="232"/>
      <c r="AE13" s="232"/>
      <c r="AF13" s="232"/>
      <c r="AG13" s="232"/>
      <c r="AH13" s="232"/>
      <c r="AI13" s="232"/>
      <c r="AJ13" s="232"/>
      <c r="AK13" s="232"/>
      <c r="AL13" s="232"/>
      <c r="AM13" s="232"/>
      <c r="AN13" s="232"/>
      <c r="AO13" s="232"/>
      <c r="AP13" s="232"/>
      <c r="AQ13" s="232"/>
      <c r="AR13" s="232"/>
      <c r="AS13" s="232"/>
      <c r="AT13" s="232"/>
      <c r="AU13" s="232"/>
      <c r="AV13" s="232"/>
      <c r="AW13" s="232"/>
      <c r="AX13" s="232"/>
      <c r="AY13" s="232"/>
      <c r="AZ13" s="232"/>
      <c r="BA13" s="232"/>
      <c r="BB13" s="232"/>
      <c r="BC13" s="232"/>
      <c r="BD13" s="232"/>
      <c r="BE13" s="232"/>
      <c r="BF13" s="232"/>
      <c r="BG13" s="232"/>
      <c r="BH13" s="232"/>
      <c r="BI13" s="232"/>
      <c r="BJ13" s="232"/>
      <c r="BK13" s="232"/>
      <c r="BL13" s="232"/>
      <c r="BM13" s="232"/>
      <c r="BN13" s="232"/>
      <c r="BO13" s="232"/>
      <c r="BP13" s="232"/>
      <c r="BQ13" s="232"/>
      <c r="BR13" s="232"/>
      <c r="BS13" s="232"/>
      <c r="BT13" s="232"/>
      <c r="BU13" s="232"/>
      <c r="BV13" s="232"/>
      <c r="BW13" s="232"/>
      <c r="BX13" s="232"/>
      <c r="BY13" s="232" t="s">
        <v>1305</v>
      </c>
      <c r="BZ13" s="232"/>
      <c r="CA13" s="232"/>
      <c r="CB13" s="232"/>
      <c r="CC13" s="232"/>
      <c r="CD13" s="232"/>
      <c r="CE13" s="232"/>
      <c r="CF13" s="232"/>
      <c r="CG13" s="232"/>
      <c r="CH13" s="232"/>
      <c r="CI13" s="232"/>
      <c r="CJ13" s="232"/>
      <c r="CK13" s="232"/>
      <c r="CL13" s="232"/>
      <c r="CM13" s="232"/>
      <c r="CN13" s="232"/>
      <c r="CO13" s="232"/>
      <c r="CP13" s="233" t="str">
        <f aca="false">IF(AND(D13="✓",D$4&lt;&gt;""),D$4&amp;"; ","")&amp;IF(AND(E13="✓",E$4&lt;&gt;""),E$4&amp;"; ","")&amp;IF(AND(F13="✓",F$4&lt;&gt;""),F$4&amp;"; ","")&amp;IF(AND(G13="✓",G$4&lt;&gt;""),G$4&amp;"; ","")&amp;IF(AND(H13="✓",H$4&lt;&gt;""),H$4&amp;"; ","")&amp;IF(AND(I13="✓",I$4&lt;&gt;""),I$4&amp;"; ","")&amp;IF(AND(J13="✓",J$4&lt;&gt;""),J$4&amp;"; ","")&amp;IF(AND(K13="✓",K$4&lt;&gt;""),K$4&amp;"; ","")&amp;IF(AND(L13="✓",L$4&lt;&gt;""),L$4&amp;"; ","")&amp;IF(AND(M13="✓",M$4&lt;&gt;""),M$4&amp;"; ","")&amp;IF(AND(N13="✓",N$4&lt;&gt;""),N$4&amp;"; ","")&amp;IF(AND(O13="✓",O$4&lt;&gt;""),O$4&amp;"; ","")&amp;IF(AND(P13="✓",P$4&lt;&gt;""),P$4&amp;"; ","")&amp;IF(AND(Q13="✓",Q$4&lt;&gt;""),Q$4&amp;"; ","")&amp;IF(AND(R13="✓",R$4&lt;&gt;""),R$4&amp;"; ","")&amp;IF(AND(S13="✓",S$4&lt;&gt;""),S$4&amp;"; ","")&amp;IF(AND(T13="✓",T$4&lt;&gt;""),T$4&amp;"; ","")&amp;IF(AND(U13="✓",U$4&lt;&gt;""),U$4&amp;"; ","")&amp;IF(AND(V13="✓",V$4&lt;&gt;""),V$4&amp;"; ","")&amp;IF(AND(W13="✓",W$4&lt;&gt;""),W$4&amp;"; ","")&amp;IF(AND(X13="✓",X$4&lt;&gt;""),X$4&amp;"; ","")&amp;IF(AND(Y13="✓",Y$4&lt;&gt;""),Y$4&amp;"; ","")&amp;IF(AND(Z13="✓",Z$4&lt;&gt;""),Z$4&amp;"; ","")&amp;IF(AND(AA13="✓",AA$4&lt;&gt;""),AA$4&amp;"; ","")&amp;IF(AND(AB13="✓",AB$4&lt;&gt;""),AB$4&amp;"; ","")&amp;IF(AND(AC13="✓",AC$4&lt;&gt;""),AC$4&amp;"; ","")&amp;IF(AND(AD13="✓",AD$4&lt;&gt;""),AD$4&amp;"; ","")&amp;IF(AND(AE13="✓",AE$4&lt;&gt;""),AE$4&amp;"; ","")&amp;IF(AND(AF13="✓",AF$4&lt;&gt;""),AF$4&amp;"; ","")&amp;IF(AND(AG13="✓",AG$4&lt;&gt;""),AG$4&amp;"; ","")&amp;IF(AND(AH13="✓",AH$4&lt;&gt;""),AH$4&amp;"; ","")&amp;IF(AND(AI13="✓",AI$4&lt;&gt;""),AI$4&amp;"; ","")&amp;IF(AND(AJ13="✓",AJ$4&lt;&gt;""),AJ$4&amp;"; ","")&amp;IF(AND(AK13="✓",AK$4&lt;&gt;""),AK$4&amp;"; ","")&amp;IF(AND(AL13="✓",AL$4&lt;&gt;""),AL$4&amp;"; ","")&amp;IF(AND(AM13="✓",AM$4&lt;&gt;""),AM$4&amp;"; ","")&amp;IF(AND(AN13="✓",AN$4&lt;&gt;""),AN$4&amp;"; ","")&amp;IF(AND(AO13="✓",AO$4&lt;&gt;""),AO$4&amp;"; ","")&amp;IF(AND(AP13="✓",AP$4&lt;&gt;""),AP$4&amp;"; ","")&amp;IF(AND(AQ13="✓",AQ$4&lt;&gt;""),AQ$4&amp;"; ","")&amp;IF(AND(AR13="✓",AR$4&lt;&gt;""),AR$4&amp;"; ","")&amp;IF(AND(AS13="✓",AS$4&lt;&gt;""),AS$4&amp;"; ","")&amp;IF(AND(AT13="✓",AT$4&lt;&gt;""),AT$4&amp;"; ","")&amp;IF(AND(AU13="✓",AU$4&lt;&gt;""),AU$4&amp;"; ","")&amp;IF(AND(AV13="✓",AV$4&lt;&gt;""),AV$4&amp;"; ","")&amp;IF(AND(AW13="✓",AW$4&lt;&gt;""),AW$4&amp;"; ","")&amp;IF(AND(AX13="✓",AX$4&lt;&gt;""),AX$4&amp;"; ","")&amp;IF(AND(AY13="✓",AY$4&lt;&gt;""),AY$4&amp;"; ","")&amp;IF(AND(AZ13="✓",AZ$4&lt;&gt;""),AZ$4&amp;"; ","")&amp;IF(AND(BA13="✓",BA$4&lt;&gt;""),BA$4&amp;"; ","")&amp;IF(AND(BB13="✓",BB$4&lt;&gt;""),BB$4&amp;"; ","")&amp;IF(AND(BC13="✓",BC$4&lt;&gt;""),BC$4&amp;"; ","")&amp;IF(AND(BD13="✓",BD$4&lt;&gt;""),BD$4&amp;"; ","")&amp;IF(AND(BE13="✓",BE$4&lt;&gt;""),BE$4&amp;"; ","")&amp;IF(AND(BF13="✓",BF$4&lt;&gt;""),BF$4&amp;"; ","")&amp;IF(AND(BG13="✓",BG$4&lt;&gt;""),BG$4&amp;"; ","")&amp;IF(AND(BH13="✓",BH$4&lt;&gt;""),BH$4&amp;"; ","")&amp;IF(AND(BI13="✓",BI$4&lt;&gt;""),BI$4&amp;"; ","")&amp;IF(AND(BJ13="✓",BJ$4&lt;&gt;""),BJ$4&amp;"; ","")&amp;IF(AND(BK13="✓",BK$4&lt;&gt;""),BK$4&amp;"; ","")&amp;IF(AND(BL13="✓",BL$4&lt;&gt;""),BL$4&amp;"; ","")&amp;IF(AND(BM13="✓",BM$4&lt;&gt;""),BM$4&amp;"; ","")&amp;IF(AND(BN13="✓",BN$4&lt;&gt;""),BN$4&amp;"; ","")&amp;IF(AND(BO13="✓",BO$4&lt;&gt;""),BO$4&amp;"; ","")&amp;IF(AND(BP13="✓",BP$4&lt;&gt;""),BP$4&amp;"; ","")&amp;IF(AND(BQ13="✓",BQ$4&lt;&gt;""),BQ$4&amp;"; ","")&amp;IF(AND(BR13="✓",BR$4&lt;&gt;""),BR$4&amp;"; ","")&amp;IF(AND(BS13="✓",BS$4&lt;&gt;""),BS$4&amp;"; ","")&amp;IF(AND(BT13="✓",BT$4&lt;&gt;""),BT$4&amp;"; ","")&amp;IF(AND(BU13="✓",BU$4&lt;&gt;""),BU$4&amp;"; ","")&amp;IF(AND(BV13="✓",BV$4&lt;&gt;""),BV$4&amp;"; ","")&amp;IF(AND(BW13="✓",BW$4&lt;&gt;""),BW$4&amp;"; ","")&amp;IF(AND(BX13="✓",BX$4&lt;&gt;""),BX$4&amp;"; ","")&amp;IF(AND(BY13="✓",BY$4&lt;&gt;""),BY$4&amp;"; ","")&amp;IF(AND(BZ13="✓",BZ$4&lt;&gt;""),BZ$4&amp;"; ","")&amp;IF(AND(CA13="✓",CA$4&lt;&gt;""),CA$4&amp;"; ","")&amp;IF(AND(CB13="✓",CB$4&lt;&gt;""),CB$4&amp;"; ","")&amp;IF(AND(CC13="✓",CC$4&lt;&gt;""),CC$4&amp;"; ","")&amp;IF(AND(CD13="✓",CD$4&lt;&gt;""),CD$4&amp;"; ","")&amp;IF(AND(CE13="✓",CE$4&lt;&gt;""),CE$4&amp;"; ","")&amp;IF(AND(CF13="✓",CF$4&lt;&gt;""),CF$4&amp;"; ","")&amp;IF(AND(CG13="✓",CG$4&lt;&gt;""),CG$4&amp;"; ","")&amp;IF(AND(CH13="✓",CH$4&lt;&gt;""),CH$4&amp;"; ","")&amp;IF(AND(CI13="✓",CI$4&lt;&gt;""),CI$4&amp;"; ","")&amp;IF(AND(CJ13="✓",CJ$4&lt;&gt;""),CJ$4&amp;"; ","")&amp;IF(AND(CK13="✓",CK$4&lt;&gt;""),CK$4&amp;"; ","")&amp;IF(AND(CL13="✓",CL$4&lt;&gt;""),CL$4&amp;"; ","")&amp;IF(AND(CM13="✓",CM$4&lt;&gt;""),CM$4&amp;"; ","")&amp;IF(AND(CN13="✓",CN$4&lt;&gt;""),CN$4&amp;"; ","")&amp;IF(AND(CO13="✓",CO$4&lt;&gt;""),CO$4&amp;"; ","")</f>
        <v>OPP-02; OPP-74; </v>
      </c>
      <c r="CQ13" s="104" t="str">
        <f aca="false">IF($CP13="","",LEFT($CP13,LEN($CP13)-2))</f>
        <v>OPP-02; OPP-74</v>
      </c>
      <c r="CR13" s="234" t="n">
        <f aca="false">IF($A13="","",COUNTIF($D13:$CO13,"✓"))</f>
        <v>2</v>
      </c>
    </row>
    <row r="14" customFormat="false" ht="21.75" hidden="false" customHeight="true" outlineLevel="0" collapsed="false">
      <c r="A14" s="231" t="str">
        <f aca="false">IF(03_能力總表_Master!$A14="","",03_能力總表_Master!$A14)</f>
        <v>CAP-010</v>
      </c>
      <c r="B14" s="166" t="str">
        <f aca="false">IF(03_能力總表_Master!$A14="","",03_能力總表_Master!$B14)</f>
        <v>D02 臨床服務模式</v>
      </c>
      <c r="C14" s="95" t="str">
        <f aca="false">IF(03_能力總表_Master!$A14="","",03_能力總表_Master!$E14)</f>
        <v>病人流程與容量設計</v>
      </c>
      <c r="D14" s="232"/>
      <c r="E14" s="232" t="s">
        <v>1305</v>
      </c>
      <c r="F14" s="232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2"/>
      <c r="BW14" s="232" t="s">
        <v>1305</v>
      </c>
      <c r="BX14" s="232"/>
      <c r="BY14" s="232"/>
      <c r="BZ14" s="232"/>
      <c r="CA14" s="232"/>
      <c r="CB14" s="232"/>
      <c r="CC14" s="232"/>
      <c r="CD14" s="232" t="s">
        <v>1305</v>
      </c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33" t="str">
        <f aca="false">IF(AND(D14="✓",D$4&lt;&gt;""),D$4&amp;"; ","")&amp;IF(AND(E14="✓",E$4&lt;&gt;""),E$4&amp;"; ","")&amp;IF(AND(F14="✓",F$4&lt;&gt;""),F$4&amp;"; ","")&amp;IF(AND(G14="✓",G$4&lt;&gt;""),G$4&amp;"; ","")&amp;IF(AND(H14="✓",H$4&lt;&gt;""),H$4&amp;"; ","")&amp;IF(AND(I14="✓",I$4&lt;&gt;""),I$4&amp;"; ","")&amp;IF(AND(J14="✓",J$4&lt;&gt;""),J$4&amp;"; ","")&amp;IF(AND(K14="✓",K$4&lt;&gt;""),K$4&amp;"; ","")&amp;IF(AND(L14="✓",L$4&lt;&gt;""),L$4&amp;"; ","")&amp;IF(AND(M14="✓",M$4&lt;&gt;""),M$4&amp;"; ","")&amp;IF(AND(N14="✓",N$4&lt;&gt;""),N$4&amp;"; ","")&amp;IF(AND(O14="✓",O$4&lt;&gt;""),O$4&amp;"; ","")&amp;IF(AND(P14="✓",P$4&lt;&gt;""),P$4&amp;"; ","")&amp;IF(AND(Q14="✓",Q$4&lt;&gt;""),Q$4&amp;"; ","")&amp;IF(AND(R14="✓",R$4&lt;&gt;""),R$4&amp;"; ","")&amp;IF(AND(S14="✓",S$4&lt;&gt;""),S$4&amp;"; ","")&amp;IF(AND(T14="✓",T$4&lt;&gt;""),T$4&amp;"; ","")&amp;IF(AND(U14="✓",U$4&lt;&gt;""),U$4&amp;"; ","")&amp;IF(AND(V14="✓",V$4&lt;&gt;""),V$4&amp;"; ","")&amp;IF(AND(W14="✓",W$4&lt;&gt;""),W$4&amp;"; ","")&amp;IF(AND(X14="✓",X$4&lt;&gt;""),X$4&amp;"; ","")&amp;IF(AND(Y14="✓",Y$4&lt;&gt;""),Y$4&amp;"; ","")&amp;IF(AND(Z14="✓",Z$4&lt;&gt;""),Z$4&amp;"; ","")&amp;IF(AND(AA14="✓",AA$4&lt;&gt;""),AA$4&amp;"; ","")&amp;IF(AND(AB14="✓",AB$4&lt;&gt;""),AB$4&amp;"; ","")&amp;IF(AND(AC14="✓",AC$4&lt;&gt;""),AC$4&amp;"; ","")&amp;IF(AND(AD14="✓",AD$4&lt;&gt;""),AD$4&amp;"; ","")&amp;IF(AND(AE14="✓",AE$4&lt;&gt;""),AE$4&amp;"; ","")&amp;IF(AND(AF14="✓",AF$4&lt;&gt;""),AF$4&amp;"; ","")&amp;IF(AND(AG14="✓",AG$4&lt;&gt;""),AG$4&amp;"; ","")&amp;IF(AND(AH14="✓",AH$4&lt;&gt;""),AH$4&amp;"; ","")&amp;IF(AND(AI14="✓",AI$4&lt;&gt;""),AI$4&amp;"; ","")&amp;IF(AND(AJ14="✓",AJ$4&lt;&gt;""),AJ$4&amp;"; ","")&amp;IF(AND(AK14="✓",AK$4&lt;&gt;""),AK$4&amp;"; ","")&amp;IF(AND(AL14="✓",AL$4&lt;&gt;""),AL$4&amp;"; ","")&amp;IF(AND(AM14="✓",AM$4&lt;&gt;""),AM$4&amp;"; ","")&amp;IF(AND(AN14="✓",AN$4&lt;&gt;""),AN$4&amp;"; ","")&amp;IF(AND(AO14="✓",AO$4&lt;&gt;""),AO$4&amp;"; ","")&amp;IF(AND(AP14="✓",AP$4&lt;&gt;""),AP$4&amp;"; ","")&amp;IF(AND(AQ14="✓",AQ$4&lt;&gt;""),AQ$4&amp;"; ","")&amp;IF(AND(AR14="✓",AR$4&lt;&gt;""),AR$4&amp;"; ","")&amp;IF(AND(AS14="✓",AS$4&lt;&gt;""),AS$4&amp;"; ","")&amp;IF(AND(AT14="✓",AT$4&lt;&gt;""),AT$4&amp;"; ","")&amp;IF(AND(AU14="✓",AU$4&lt;&gt;""),AU$4&amp;"; ","")&amp;IF(AND(AV14="✓",AV$4&lt;&gt;""),AV$4&amp;"; ","")&amp;IF(AND(AW14="✓",AW$4&lt;&gt;""),AW$4&amp;"; ","")&amp;IF(AND(AX14="✓",AX$4&lt;&gt;""),AX$4&amp;"; ","")&amp;IF(AND(AY14="✓",AY$4&lt;&gt;""),AY$4&amp;"; ","")&amp;IF(AND(AZ14="✓",AZ$4&lt;&gt;""),AZ$4&amp;"; ","")&amp;IF(AND(BA14="✓",BA$4&lt;&gt;""),BA$4&amp;"; ","")&amp;IF(AND(BB14="✓",BB$4&lt;&gt;""),BB$4&amp;"; ","")&amp;IF(AND(BC14="✓",BC$4&lt;&gt;""),BC$4&amp;"; ","")&amp;IF(AND(BD14="✓",BD$4&lt;&gt;""),BD$4&amp;"; ","")&amp;IF(AND(BE14="✓",BE$4&lt;&gt;""),BE$4&amp;"; ","")&amp;IF(AND(BF14="✓",BF$4&lt;&gt;""),BF$4&amp;"; ","")&amp;IF(AND(BG14="✓",BG$4&lt;&gt;""),BG$4&amp;"; ","")&amp;IF(AND(BH14="✓",BH$4&lt;&gt;""),BH$4&amp;"; ","")&amp;IF(AND(BI14="✓",BI$4&lt;&gt;""),BI$4&amp;"; ","")&amp;IF(AND(BJ14="✓",BJ$4&lt;&gt;""),BJ$4&amp;"; ","")&amp;IF(AND(BK14="✓",BK$4&lt;&gt;""),BK$4&amp;"; ","")&amp;IF(AND(BL14="✓",BL$4&lt;&gt;""),BL$4&amp;"; ","")&amp;IF(AND(BM14="✓",BM$4&lt;&gt;""),BM$4&amp;"; ","")&amp;IF(AND(BN14="✓",BN$4&lt;&gt;""),BN$4&amp;"; ","")&amp;IF(AND(BO14="✓",BO$4&lt;&gt;""),BO$4&amp;"; ","")&amp;IF(AND(BP14="✓",BP$4&lt;&gt;""),BP$4&amp;"; ","")&amp;IF(AND(BQ14="✓",BQ$4&lt;&gt;""),BQ$4&amp;"; ","")&amp;IF(AND(BR14="✓",BR$4&lt;&gt;""),BR$4&amp;"; ","")&amp;IF(AND(BS14="✓",BS$4&lt;&gt;""),BS$4&amp;"; ","")&amp;IF(AND(BT14="✓",BT$4&lt;&gt;""),BT$4&amp;"; ","")&amp;IF(AND(BU14="✓",BU$4&lt;&gt;""),BU$4&amp;"; ","")&amp;IF(AND(BV14="✓",BV$4&lt;&gt;""),BV$4&amp;"; ","")&amp;IF(AND(BW14="✓",BW$4&lt;&gt;""),BW$4&amp;"; ","")&amp;IF(AND(BX14="✓",BX$4&lt;&gt;""),BX$4&amp;"; ","")&amp;IF(AND(BY14="✓",BY$4&lt;&gt;""),BY$4&amp;"; ","")&amp;IF(AND(BZ14="✓",BZ$4&lt;&gt;""),BZ$4&amp;"; ","")&amp;IF(AND(CA14="✓",CA$4&lt;&gt;""),CA$4&amp;"; ","")&amp;IF(AND(CB14="✓",CB$4&lt;&gt;""),CB$4&amp;"; ","")&amp;IF(AND(CC14="✓",CC$4&lt;&gt;""),CC$4&amp;"; ","")&amp;IF(AND(CD14="✓",CD$4&lt;&gt;""),CD$4&amp;"; ","")&amp;IF(AND(CE14="✓",CE$4&lt;&gt;""),CE$4&amp;"; ","")&amp;IF(AND(CF14="✓",CF$4&lt;&gt;""),CF$4&amp;"; ","")&amp;IF(AND(CG14="✓",CG$4&lt;&gt;""),CG$4&amp;"; ","")&amp;IF(AND(CH14="✓",CH$4&lt;&gt;""),CH$4&amp;"; ","")&amp;IF(AND(CI14="✓",CI$4&lt;&gt;""),CI$4&amp;"; ","")&amp;IF(AND(CJ14="✓",CJ$4&lt;&gt;""),CJ$4&amp;"; ","")&amp;IF(AND(CK14="✓",CK$4&lt;&gt;""),CK$4&amp;"; ","")&amp;IF(AND(CL14="✓",CL$4&lt;&gt;""),CL$4&amp;"; ","")&amp;IF(AND(CM14="✓",CM$4&lt;&gt;""),CM$4&amp;"; ","")&amp;IF(AND(CN14="✓",CN$4&lt;&gt;""),CN$4&amp;"; ","")&amp;IF(AND(CO14="✓",CO$4&lt;&gt;""),CO$4&amp;"; ","")</f>
        <v>OPP-02; OPP-72; OPP-79; </v>
      </c>
      <c r="CQ14" s="104" t="str">
        <f aca="false">IF($CP14="","",LEFT($CP14,LEN($CP14)-2))</f>
        <v>OPP-02; OPP-72; OPP-79</v>
      </c>
      <c r="CR14" s="234" t="n">
        <f aca="false">IF($A14="","",COUNTIF($D14:$CO14,"✓"))</f>
        <v>3</v>
      </c>
    </row>
    <row r="15" customFormat="false" ht="21.75" hidden="false" customHeight="true" outlineLevel="0" collapsed="false">
      <c r="A15" s="231" t="str">
        <f aca="false">IF(03_能力總表_Master!$A15="","",03_能力總表_Master!$A15)</f>
        <v>CAP-011</v>
      </c>
      <c r="B15" s="166" t="str">
        <f aca="false">IF(03_能力總表_Master!$A15="","",03_能力總表_Master!$B15)</f>
        <v>D02 臨床服務模式</v>
      </c>
      <c r="C15" s="95" t="str">
        <f aca="false">IF(03_能力總表_Master!$A15="","",03_能力總表_Master!$E15)</f>
        <v>轉診與區域照護網絡</v>
      </c>
      <c r="D15" s="232"/>
      <c r="E15" s="232" t="s">
        <v>1305</v>
      </c>
      <c r="F15" s="232"/>
      <c r="G15" s="232"/>
      <c r="H15" s="232"/>
      <c r="I15" s="232"/>
      <c r="J15" s="232"/>
      <c r="K15" s="232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232"/>
      <c r="Z15" s="232"/>
      <c r="AA15" s="232"/>
      <c r="AB15" s="232"/>
      <c r="AC15" s="232"/>
      <c r="AD15" s="232"/>
      <c r="AE15" s="232"/>
      <c r="AF15" s="232"/>
      <c r="AG15" s="232"/>
      <c r="AH15" s="232"/>
      <c r="AI15" s="232"/>
      <c r="AJ15" s="232"/>
      <c r="AK15" s="232"/>
      <c r="AL15" s="232"/>
      <c r="AM15" s="232"/>
      <c r="AN15" s="232"/>
      <c r="AO15" s="232"/>
      <c r="AP15" s="232"/>
      <c r="AQ15" s="232"/>
      <c r="AR15" s="232"/>
      <c r="AS15" s="232"/>
      <c r="AT15" s="232"/>
      <c r="AU15" s="232"/>
      <c r="AV15" s="232"/>
      <c r="AW15" s="232"/>
      <c r="AX15" s="232"/>
      <c r="AY15" s="232"/>
      <c r="AZ15" s="232"/>
      <c r="BA15" s="232"/>
      <c r="BB15" s="232"/>
      <c r="BC15" s="232"/>
      <c r="BD15" s="232"/>
      <c r="BE15" s="232"/>
      <c r="BF15" s="232"/>
      <c r="BG15" s="232"/>
      <c r="BH15" s="232"/>
      <c r="BI15" s="232"/>
      <c r="BJ15" s="232"/>
      <c r="BK15" s="232"/>
      <c r="BL15" s="232"/>
      <c r="BM15" s="232"/>
      <c r="BN15" s="232"/>
      <c r="BO15" s="232"/>
      <c r="BP15" s="232"/>
      <c r="BQ15" s="232"/>
      <c r="BR15" s="232"/>
      <c r="BS15" s="232"/>
      <c r="BT15" s="232"/>
      <c r="BU15" s="232"/>
      <c r="BV15" s="232"/>
      <c r="BW15" s="232"/>
      <c r="BX15" s="232"/>
      <c r="BY15" s="232"/>
      <c r="BZ15" s="232"/>
      <c r="CA15" s="232"/>
      <c r="CB15" s="232" t="s">
        <v>1305</v>
      </c>
      <c r="CC15" s="232" t="s">
        <v>1305</v>
      </c>
      <c r="CD15" s="232" t="s">
        <v>1305</v>
      </c>
      <c r="CE15" s="232"/>
      <c r="CF15" s="232"/>
      <c r="CG15" s="232"/>
      <c r="CH15" s="232"/>
      <c r="CI15" s="232"/>
      <c r="CJ15" s="232"/>
      <c r="CK15" s="232"/>
      <c r="CL15" s="232"/>
      <c r="CM15" s="232"/>
      <c r="CN15" s="232"/>
      <c r="CO15" s="232"/>
      <c r="CP15" s="233" t="str">
        <f aca="false">IF(AND(D15="✓",D$4&lt;&gt;""),D$4&amp;"; ","")&amp;IF(AND(E15="✓",E$4&lt;&gt;""),E$4&amp;"; ","")&amp;IF(AND(F15="✓",F$4&lt;&gt;""),F$4&amp;"; ","")&amp;IF(AND(G15="✓",G$4&lt;&gt;""),G$4&amp;"; ","")&amp;IF(AND(H15="✓",H$4&lt;&gt;""),H$4&amp;"; ","")&amp;IF(AND(I15="✓",I$4&lt;&gt;""),I$4&amp;"; ","")&amp;IF(AND(J15="✓",J$4&lt;&gt;""),J$4&amp;"; ","")&amp;IF(AND(K15="✓",K$4&lt;&gt;""),K$4&amp;"; ","")&amp;IF(AND(L15="✓",L$4&lt;&gt;""),L$4&amp;"; ","")&amp;IF(AND(M15="✓",M$4&lt;&gt;""),M$4&amp;"; ","")&amp;IF(AND(N15="✓",N$4&lt;&gt;""),N$4&amp;"; ","")&amp;IF(AND(O15="✓",O$4&lt;&gt;""),O$4&amp;"; ","")&amp;IF(AND(P15="✓",P$4&lt;&gt;""),P$4&amp;"; ","")&amp;IF(AND(Q15="✓",Q$4&lt;&gt;""),Q$4&amp;"; ","")&amp;IF(AND(R15="✓",R$4&lt;&gt;""),R$4&amp;"; ","")&amp;IF(AND(S15="✓",S$4&lt;&gt;""),S$4&amp;"; ","")&amp;IF(AND(T15="✓",T$4&lt;&gt;""),T$4&amp;"; ","")&amp;IF(AND(U15="✓",U$4&lt;&gt;""),U$4&amp;"; ","")&amp;IF(AND(V15="✓",V$4&lt;&gt;""),V$4&amp;"; ","")&amp;IF(AND(W15="✓",W$4&lt;&gt;""),W$4&amp;"; ","")&amp;IF(AND(X15="✓",X$4&lt;&gt;""),X$4&amp;"; ","")&amp;IF(AND(Y15="✓",Y$4&lt;&gt;""),Y$4&amp;"; ","")&amp;IF(AND(Z15="✓",Z$4&lt;&gt;""),Z$4&amp;"; ","")&amp;IF(AND(AA15="✓",AA$4&lt;&gt;""),AA$4&amp;"; ","")&amp;IF(AND(AB15="✓",AB$4&lt;&gt;""),AB$4&amp;"; ","")&amp;IF(AND(AC15="✓",AC$4&lt;&gt;""),AC$4&amp;"; ","")&amp;IF(AND(AD15="✓",AD$4&lt;&gt;""),AD$4&amp;"; ","")&amp;IF(AND(AE15="✓",AE$4&lt;&gt;""),AE$4&amp;"; ","")&amp;IF(AND(AF15="✓",AF$4&lt;&gt;""),AF$4&amp;"; ","")&amp;IF(AND(AG15="✓",AG$4&lt;&gt;""),AG$4&amp;"; ","")&amp;IF(AND(AH15="✓",AH$4&lt;&gt;""),AH$4&amp;"; ","")&amp;IF(AND(AI15="✓",AI$4&lt;&gt;""),AI$4&amp;"; ","")&amp;IF(AND(AJ15="✓",AJ$4&lt;&gt;""),AJ$4&amp;"; ","")&amp;IF(AND(AK15="✓",AK$4&lt;&gt;""),AK$4&amp;"; ","")&amp;IF(AND(AL15="✓",AL$4&lt;&gt;""),AL$4&amp;"; ","")&amp;IF(AND(AM15="✓",AM$4&lt;&gt;""),AM$4&amp;"; ","")&amp;IF(AND(AN15="✓",AN$4&lt;&gt;""),AN$4&amp;"; ","")&amp;IF(AND(AO15="✓",AO$4&lt;&gt;""),AO$4&amp;"; ","")&amp;IF(AND(AP15="✓",AP$4&lt;&gt;""),AP$4&amp;"; ","")&amp;IF(AND(AQ15="✓",AQ$4&lt;&gt;""),AQ$4&amp;"; ","")&amp;IF(AND(AR15="✓",AR$4&lt;&gt;""),AR$4&amp;"; ","")&amp;IF(AND(AS15="✓",AS$4&lt;&gt;""),AS$4&amp;"; ","")&amp;IF(AND(AT15="✓",AT$4&lt;&gt;""),AT$4&amp;"; ","")&amp;IF(AND(AU15="✓",AU$4&lt;&gt;""),AU$4&amp;"; ","")&amp;IF(AND(AV15="✓",AV$4&lt;&gt;""),AV$4&amp;"; ","")&amp;IF(AND(AW15="✓",AW$4&lt;&gt;""),AW$4&amp;"; ","")&amp;IF(AND(AX15="✓",AX$4&lt;&gt;""),AX$4&amp;"; ","")&amp;IF(AND(AY15="✓",AY$4&lt;&gt;""),AY$4&amp;"; ","")&amp;IF(AND(AZ15="✓",AZ$4&lt;&gt;""),AZ$4&amp;"; ","")&amp;IF(AND(BA15="✓",BA$4&lt;&gt;""),BA$4&amp;"; ","")&amp;IF(AND(BB15="✓",BB$4&lt;&gt;""),BB$4&amp;"; ","")&amp;IF(AND(BC15="✓",BC$4&lt;&gt;""),BC$4&amp;"; ","")&amp;IF(AND(BD15="✓",BD$4&lt;&gt;""),BD$4&amp;"; ","")&amp;IF(AND(BE15="✓",BE$4&lt;&gt;""),BE$4&amp;"; ","")&amp;IF(AND(BF15="✓",BF$4&lt;&gt;""),BF$4&amp;"; ","")&amp;IF(AND(BG15="✓",BG$4&lt;&gt;""),BG$4&amp;"; ","")&amp;IF(AND(BH15="✓",BH$4&lt;&gt;""),BH$4&amp;"; ","")&amp;IF(AND(BI15="✓",BI$4&lt;&gt;""),BI$4&amp;"; ","")&amp;IF(AND(BJ15="✓",BJ$4&lt;&gt;""),BJ$4&amp;"; ","")&amp;IF(AND(BK15="✓",BK$4&lt;&gt;""),BK$4&amp;"; ","")&amp;IF(AND(BL15="✓",BL$4&lt;&gt;""),BL$4&amp;"; ","")&amp;IF(AND(BM15="✓",BM$4&lt;&gt;""),BM$4&amp;"; ","")&amp;IF(AND(BN15="✓",BN$4&lt;&gt;""),BN$4&amp;"; ","")&amp;IF(AND(BO15="✓",BO$4&lt;&gt;""),BO$4&amp;"; ","")&amp;IF(AND(BP15="✓",BP$4&lt;&gt;""),BP$4&amp;"; ","")&amp;IF(AND(BQ15="✓",BQ$4&lt;&gt;""),BQ$4&amp;"; ","")&amp;IF(AND(BR15="✓",BR$4&lt;&gt;""),BR$4&amp;"; ","")&amp;IF(AND(BS15="✓",BS$4&lt;&gt;""),BS$4&amp;"; ","")&amp;IF(AND(BT15="✓",BT$4&lt;&gt;""),BT$4&amp;"; ","")&amp;IF(AND(BU15="✓",BU$4&lt;&gt;""),BU$4&amp;"; ","")&amp;IF(AND(BV15="✓",BV$4&lt;&gt;""),BV$4&amp;"; ","")&amp;IF(AND(BW15="✓",BW$4&lt;&gt;""),BW$4&amp;"; ","")&amp;IF(AND(BX15="✓",BX$4&lt;&gt;""),BX$4&amp;"; ","")&amp;IF(AND(BY15="✓",BY$4&lt;&gt;""),BY$4&amp;"; ","")&amp;IF(AND(BZ15="✓",BZ$4&lt;&gt;""),BZ$4&amp;"; ","")&amp;IF(AND(CA15="✓",CA$4&lt;&gt;""),CA$4&amp;"; ","")&amp;IF(AND(CB15="✓",CB$4&lt;&gt;""),CB$4&amp;"; ","")&amp;IF(AND(CC15="✓",CC$4&lt;&gt;""),CC$4&amp;"; ","")&amp;IF(AND(CD15="✓",CD$4&lt;&gt;""),CD$4&amp;"; ","")&amp;IF(AND(CE15="✓",CE$4&lt;&gt;""),CE$4&amp;"; ","")&amp;IF(AND(CF15="✓",CF$4&lt;&gt;""),CF$4&amp;"; ","")&amp;IF(AND(CG15="✓",CG$4&lt;&gt;""),CG$4&amp;"; ","")&amp;IF(AND(CH15="✓",CH$4&lt;&gt;""),CH$4&amp;"; ","")&amp;IF(AND(CI15="✓",CI$4&lt;&gt;""),CI$4&amp;"; ","")&amp;IF(AND(CJ15="✓",CJ$4&lt;&gt;""),CJ$4&amp;"; ","")&amp;IF(AND(CK15="✓",CK$4&lt;&gt;""),CK$4&amp;"; ","")&amp;IF(AND(CL15="✓",CL$4&lt;&gt;""),CL$4&amp;"; ","")&amp;IF(AND(CM15="✓",CM$4&lt;&gt;""),CM$4&amp;"; ","")&amp;IF(AND(CN15="✓",CN$4&lt;&gt;""),CN$4&amp;"; ","")&amp;IF(AND(CO15="✓",CO$4&lt;&gt;""),CO$4&amp;"; ","")</f>
        <v>OPP-02; OPP-77; OPP-78; OPP-79; </v>
      </c>
      <c r="CQ15" s="104" t="str">
        <f aca="false">IF($CP15="","",LEFT($CP15,LEN($CP15)-2))</f>
        <v>OPP-02; OPP-77; OPP-78; OPP-79</v>
      </c>
      <c r="CR15" s="234" t="n">
        <f aca="false">IF($A15="","",COUNTIF($D15:$CO15,"✓"))</f>
        <v>4</v>
      </c>
    </row>
    <row r="16" customFormat="false" ht="21.75" hidden="false" customHeight="true" outlineLevel="0" collapsed="false">
      <c r="A16" s="231" t="str">
        <f aca="false">IF(03_能力總表_Master!$A16="","",03_能力總表_Master!$A16)</f>
        <v>CAP-012</v>
      </c>
      <c r="B16" s="166" t="str">
        <f aca="false">IF(03_能力總表_Master!$A16="","",03_能力總表_Master!$B16)</f>
        <v>D02 臨床服務模式</v>
      </c>
      <c r="C16" s="95" t="str">
        <f aca="false">IF(03_能力總表_Master!$A16="","",03_能力總表_Master!$E16)</f>
        <v>臨床治理與責任架構</v>
      </c>
      <c r="D16" s="232"/>
      <c r="E16" s="232" t="s">
        <v>1305</v>
      </c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  <c r="AA16" s="232"/>
      <c r="AB16" s="232"/>
      <c r="AC16" s="232"/>
      <c r="AD16" s="232"/>
      <c r="AE16" s="232"/>
      <c r="AF16" s="232"/>
      <c r="AG16" s="232"/>
      <c r="AH16" s="232"/>
      <c r="AI16" s="232"/>
      <c r="AJ16" s="232"/>
      <c r="AK16" s="232"/>
      <c r="AL16" s="232"/>
      <c r="AM16" s="232"/>
      <c r="AN16" s="232"/>
      <c r="AO16" s="232"/>
      <c r="AP16" s="232"/>
      <c r="AQ16" s="232"/>
      <c r="AR16" s="232"/>
      <c r="AS16" s="232"/>
      <c r="AT16" s="232"/>
      <c r="AU16" s="232"/>
      <c r="AV16" s="232"/>
      <c r="AW16" s="232"/>
      <c r="AX16" s="232"/>
      <c r="AY16" s="232"/>
      <c r="AZ16" s="232"/>
      <c r="BA16" s="232"/>
      <c r="BB16" s="232"/>
      <c r="BC16" s="232"/>
      <c r="BD16" s="232"/>
      <c r="BE16" s="232"/>
      <c r="BF16" s="232"/>
      <c r="BG16" s="232"/>
      <c r="BH16" s="232"/>
      <c r="BI16" s="232"/>
      <c r="BJ16" s="232"/>
      <c r="BK16" s="232"/>
      <c r="BL16" s="232"/>
      <c r="BM16" s="232"/>
      <c r="BN16" s="232"/>
      <c r="BO16" s="232"/>
      <c r="BP16" s="232"/>
      <c r="BQ16" s="232"/>
      <c r="BR16" s="232"/>
      <c r="BS16" s="232"/>
      <c r="BT16" s="232"/>
      <c r="BU16" s="232"/>
      <c r="BV16" s="232"/>
      <c r="BW16" s="232"/>
      <c r="BX16" s="232"/>
      <c r="BY16" s="232"/>
      <c r="BZ16" s="232"/>
      <c r="CA16" s="232"/>
      <c r="CB16" s="232"/>
      <c r="CC16" s="232"/>
      <c r="CD16" s="232"/>
      <c r="CE16" s="232"/>
      <c r="CF16" s="232"/>
      <c r="CG16" s="232"/>
      <c r="CH16" s="232"/>
      <c r="CI16" s="232"/>
      <c r="CJ16" s="232"/>
      <c r="CK16" s="232"/>
      <c r="CL16" s="232"/>
      <c r="CM16" s="232"/>
      <c r="CN16" s="232"/>
      <c r="CO16" s="232"/>
      <c r="CP16" s="233" t="str">
        <f aca="false">IF(AND(D16="✓",D$4&lt;&gt;""),D$4&amp;"; ","")&amp;IF(AND(E16="✓",E$4&lt;&gt;""),E$4&amp;"; ","")&amp;IF(AND(F16="✓",F$4&lt;&gt;""),F$4&amp;"; ","")&amp;IF(AND(G16="✓",G$4&lt;&gt;""),G$4&amp;"; ","")&amp;IF(AND(H16="✓",H$4&lt;&gt;""),H$4&amp;"; ","")&amp;IF(AND(I16="✓",I$4&lt;&gt;""),I$4&amp;"; ","")&amp;IF(AND(J16="✓",J$4&lt;&gt;""),J$4&amp;"; ","")&amp;IF(AND(K16="✓",K$4&lt;&gt;""),K$4&amp;"; ","")&amp;IF(AND(L16="✓",L$4&lt;&gt;""),L$4&amp;"; ","")&amp;IF(AND(M16="✓",M$4&lt;&gt;""),M$4&amp;"; ","")&amp;IF(AND(N16="✓",N$4&lt;&gt;""),N$4&amp;"; ","")&amp;IF(AND(O16="✓",O$4&lt;&gt;""),O$4&amp;"; ","")&amp;IF(AND(P16="✓",P$4&lt;&gt;""),P$4&amp;"; ","")&amp;IF(AND(Q16="✓",Q$4&lt;&gt;""),Q$4&amp;"; ","")&amp;IF(AND(R16="✓",R$4&lt;&gt;""),R$4&amp;"; ","")&amp;IF(AND(S16="✓",S$4&lt;&gt;""),S$4&amp;"; ","")&amp;IF(AND(T16="✓",T$4&lt;&gt;""),T$4&amp;"; ","")&amp;IF(AND(U16="✓",U$4&lt;&gt;""),U$4&amp;"; ","")&amp;IF(AND(V16="✓",V$4&lt;&gt;""),V$4&amp;"; ","")&amp;IF(AND(W16="✓",W$4&lt;&gt;""),W$4&amp;"; ","")&amp;IF(AND(X16="✓",X$4&lt;&gt;""),X$4&amp;"; ","")&amp;IF(AND(Y16="✓",Y$4&lt;&gt;""),Y$4&amp;"; ","")&amp;IF(AND(Z16="✓",Z$4&lt;&gt;""),Z$4&amp;"; ","")&amp;IF(AND(AA16="✓",AA$4&lt;&gt;""),AA$4&amp;"; ","")&amp;IF(AND(AB16="✓",AB$4&lt;&gt;""),AB$4&amp;"; ","")&amp;IF(AND(AC16="✓",AC$4&lt;&gt;""),AC$4&amp;"; ","")&amp;IF(AND(AD16="✓",AD$4&lt;&gt;""),AD$4&amp;"; ","")&amp;IF(AND(AE16="✓",AE$4&lt;&gt;""),AE$4&amp;"; ","")&amp;IF(AND(AF16="✓",AF$4&lt;&gt;""),AF$4&amp;"; ","")&amp;IF(AND(AG16="✓",AG$4&lt;&gt;""),AG$4&amp;"; ","")&amp;IF(AND(AH16="✓",AH$4&lt;&gt;""),AH$4&amp;"; ","")&amp;IF(AND(AI16="✓",AI$4&lt;&gt;""),AI$4&amp;"; ","")&amp;IF(AND(AJ16="✓",AJ$4&lt;&gt;""),AJ$4&amp;"; ","")&amp;IF(AND(AK16="✓",AK$4&lt;&gt;""),AK$4&amp;"; ","")&amp;IF(AND(AL16="✓",AL$4&lt;&gt;""),AL$4&amp;"; ","")&amp;IF(AND(AM16="✓",AM$4&lt;&gt;""),AM$4&amp;"; ","")&amp;IF(AND(AN16="✓",AN$4&lt;&gt;""),AN$4&amp;"; ","")&amp;IF(AND(AO16="✓",AO$4&lt;&gt;""),AO$4&amp;"; ","")&amp;IF(AND(AP16="✓",AP$4&lt;&gt;""),AP$4&amp;"; ","")&amp;IF(AND(AQ16="✓",AQ$4&lt;&gt;""),AQ$4&amp;"; ","")&amp;IF(AND(AR16="✓",AR$4&lt;&gt;""),AR$4&amp;"; ","")&amp;IF(AND(AS16="✓",AS$4&lt;&gt;""),AS$4&amp;"; ","")&amp;IF(AND(AT16="✓",AT$4&lt;&gt;""),AT$4&amp;"; ","")&amp;IF(AND(AU16="✓",AU$4&lt;&gt;""),AU$4&amp;"; ","")&amp;IF(AND(AV16="✓",AV$4&lt;&gt;""),AV$4&amp;"; ","")&amp;IF(AND(AW16="✓",AW$4&lt;&gt;""),AW$4&amp;"; ","")&amp;IF(AND(AX16="✓",AX$4&lt;&gt;""),AX$4&amp;"; ","")&amp;IF(AND(AY16="✓",AY$4&lt;&gt;""),AY$4&amp;"; ","")&amp;IF(AND(AZ16="✓",AZ$4&lt;&gt;""),AZ$4&amp;"; ","")&amp;IF(AND(BA16="✓",BA$4&lt;&gt;""),BA$4&amp;"; ","")&amp;IF(AND(BB16="✓",BB$4&lt;&gt;""),BB$4&amp;"; ","")&amp;IF(AND(BC16="✓",BC$4&lt;&gt;""),BC$4&amp;"; ","")&amp;IF(AND(BD16="✓",BD$4&lt;&gt;""),BD$4&amp;"; ","")&amp;IF(AND(BE16="✓",BE$4&lt;&gt;""),BE$4&amp;"; ","")&amp;IF(AND(BF16="✓",BF$4&lt;&gt;""),BF$4&amp;"; ","")&amp;IF(AND(BG16="✓",BG$4&lt;&gt;""),BG$4&amp;"; ","")&amp;IF(AND(BH16="✓",BH$4&lt;&gt;""),BH$4&amp;"; ","")&amp;IF(AND(BI16="✓",BI$4&lt;&gt;""),BI$4&amp;"; ","")&amp;IF(AND(BJ16="✓",BJ$4&lt;&gt;""),BJ$4&amp;"; ","")&amp;IF(AND(BK16="✓",BK$4&lt;&gt;""),BK$4&amp;"; ","")&amp;IF(AND(BL16="✓",BL$4&lt;&gt;""),BL$4&amp;"; ","")&amp;IF(AND(BM16="✓",BM$4&lt;&gt;""),BM$4&amp;"; ","")&amp;IF(AND(BN16="✓",BN$4&lt;&gt;""),BN$4&amp;"; ","")&amp;IF(AND(BO16="✓",BO$4&lt;&gt;""),BO$4&amp;"; ","")&amp;IF(AND(BP16="✓",BP$4&lt;&gt;""),BP$4&amp;"; ","")&amp;IF(AND(BQ16="✓",BQ$4&lt;&gt;""),BQ$4&amp;"; ","")&amp;IF(AND(BR16="✓",BR$4&lt;&gt;""),BR$4&amp;"; ","")&amp;IF(AND(BS16="✓",BS$4&lt;&gt;""),BS$4&amp;"; ","")&amp;IF(AND(BT16="✓",BT$4&lt;&gt;""),BT$4&amp;"; ","")&amp;IF(AND(BU16="✓",BU$4&lt;&gt;""),BU$4&amp;"; ","")&amp;IF(AND(BV16="✓",BV$4&lt;&gt;""),BV$4&amp;"; ","")&amp;IF(AND(BW16="✓",BW$4&lt;&gt;""),BW$4&amp;"; ","")&amp;IF(AND(BX16="✓",BX$4&lt;&gt;""),BX$4&amp;"; ","")&amp;IF(AND(BY16="✓",BY$4&lt;&gt;""),BY$4&amp;"; ","")&amp;IF(AND(BZ16="✓",BZ$4&lt;&gt;""),BZ$4&amp;"; ","")&amp;IF(AND(CA16="✓",CA$4&lt;&gt;""),CA$4&amp;"; ","")&amp;IF(AND(CB16="✓",CB$4&lt;&gt;""),CB$4&amp;"; ","")&amp;IF(AND(CC16="✓",CC$4&lt;&gt;""),CC$4&amp;"; ","")&amp;IF(AND(CD16="✓",CD$4&lt;&gt;""),CD$4&amp;"; ","")&amp;IF(AND(CE16="✓",CE$4&lt;&gt;""),CE$4&amp;"; ","")&amp;IF(AND(CF16="✓",CF$4&lt;&gt;""),CF$4&amp;"; ","")&amp;IF(AND(CG16="✓",CG$4&lt;&gt;""),CG$4&amp;"; ","")&amp;IF(AND(CH16="✓",CH$4&lt;&gt;""),CH$4&amp;"; ","")&amp;IF(AND(CI16="✓",CI$4&lt;&gt;""),CI$4&amp;"; ","")&amp;IF(AND(CJ16="✓",CJ$4&lt;&gt;""),CJ$4&amp;"; ","")&amp;IF(AND(CK16="✓",CK$4&lt;&gt;""),CK$4&amp;"; ","")&amp;IF(AND(CL16="✓",CL$4&lt;&gt;""),CL$4&amp;"; ","")&amp;IF(AND(CM16="✓",CM$4&lt;&gt;""),CM$4&amp;"; ","")&amp;IF(AND(CN16="✓",CN$4&lt;&gt;""),CN$4&amp;"; ","")&amp;IF(AND(CO16="✓",CO$4&lt;&gt;""),CO$4&amp;"; ","")</f>
        <v>OPP-02; </v>
      </c>
      <c r="CQ16" s="104" t="str">
        <f aca="false">IF($CP16="","",LEFT($CP16,LEN($CP16)-2))</f>
        <v>OPP-02</v>
      </c>
      <c r="CR16" s="234" t="n">
        <f aca="false">IF($A16="","",COUNTIF($D16:$CO16,"✓"))</f>
        <v>1</v>
      </c>
    </row>
    <row r="17" customFormat="false" ht="21.75" hidden="false" customHeight="true" outlineLevel="0" collapsed="false">
      <c r="A17" s="231" t="str">
        <f aca="false">IF(03_能力總表_Master!$A17="","",03_能力總表_Master!$A17)</f>
        <v>CAP-013</v>
      </c>
      <c r="B17" s="166" t="str">
        <f aca="false">IF(03_能力總表_Master!$A17="","",03_能力總表_Master!$B17)</f>
        <v>D03 醫院設施與機電</v>
      </c>
      <c r="C17" s="95" t="str">
        <f aca="false">IF(03_能力總表_Master!$A17="","",03_能力總表_Master!$E17)</f>
        <v>場址與醫院總體規劃</v>
      </c>
      <c r="D17" s="232"/>
      <c r="E17" s="232"/>
      <c r="F17" s="232"/>
      <c r="G17" s="232"/>
      <c r="H17" s="232" t="s">
        <v>1305</v>
      </c>
      <c r="I17" s="232" t="s">
        <v>1305</v>
      </c>
      <c r="J17" s="232" t="s">
        <v>1305</v>
      </c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232"/>
      <c r="AA17" s="232"/>
      <c r="AB17" s="232"/>
      <c r="AC17" s="232"/>
      <c r="AD17" s="232"/>
      <c r="AE17" s="232"/>
      <c r="AF17" s="232"/>
      <c r="AG17" s="232"/>
      <c r="AH17" s="232"/>
      <c r="AI17" s="232"/>
      <c r="AJ17" s="232"/>
      <c r="AK17" s="232"/>
      <c r="AL17" s="232"/>
      <c r="AM17" s="232"/>
      <c r="AN17" s="232"/>
      <c r="AO17" s="232"/>
      <c r="AP17" s="232"/>
      <c r="AQ17" s="232"/>
      <c r="AR17" s="232"/>
      <c r="AS17" s="232"/>
      <c r="AT17" s="232"/>
      <c r="AU17" s="232"/>
      <c r="AV17" s="232"/>
      <c r="AW17" s="232"/>
      <c r="AX17" s="232"/>
      <c r="AY17" s="232"/>
      <c r="AZ17" s="232"/>
      <c r="BA17" s="232"/>
      <c r="BB17" s="232"/>
      <c r="BC17" s="232"/>
      <c r="BD17" s="232"/>
      <c r="BE17" s="232"/>
      <c r="BF17" s="232"/>
      <c r="BG17" s="232"/>
      <c r="BH17" s="232"/>
      <c r="BI17" s="232"/>
      <c r="BJ17" s="232"/>
      <c r="BK17" s="232"/>
      <c r="BL17" s="232"/>
      <c r="BM17" s="232"/>
      <c r="BN17" s="232"/>
      <c r="BO17" s="232"/>
      <c r="BP17" s="232"/>
      <c r="BQ17" s="232"/>
      <c r="BR17" s="232"/>
      <c r="BS17" s="232"/>
      <c r="BT17" s="232"/>
      <c r="BU17" s="232"/>
      <c r="BV17" s="232"/>
      <c r="BW17" s="232"/>
      <c r="BX17" s="232"/>
      <c r="BY17" s="232"/>
      <c r="BZ17" s="232"/>
      <c r="CA17" s="232"/>
      <c r="CB17" s="232"/>
      <c r="CC17" s="232"/>
      <c r="CD17" s="232"/>
      <c r="CE17" s="232"/>
      <c r="CF17" s="232"/>
      <c r="CG17" s="232"/>
      <c r="CH17" s="232"/>
      <c r="CI17" s="232"/>
      <c r="CJ17" s="232"/>
      <c r="CK17" s="232"/>
      <c r="CL17" s="232"/>
      <c r="CM17" s="232"/>
      <c r="CN17" s="232"/>
      <c r="CO17" s="232"/>
      <c r="CP17" s="233" t="str">
        <f aca="false">IF(AND(D17="✓",D$4&lt;&gt;""),D$4&amp;"; ","")&amp;IF(AND(E17="✓",E$4&lt;&gt;""),E$4&amp;"; ","")&amp;IF(AND(F17="✓",F$4&lt;&gt;""),F$4&amp;"; ","")&amp;IF(AND(G17="✓",G$4&lt;&gt;""),G$4&amp;"; ","")&amp;IF(AND(H17="✓",H$4&lt;&gt;""),H$4&amp;"; ","")&amp;IF(AND(I17="✓",I$4&lt;&gt;""),I$4&amp;"; ","")&amp;IF(AND(J17="✓",J$4&lt;&gt;""),J$4&amp;"; ","")&amp;IF(AND(K17="✓",K$4&lt;&gt;""),K$4&amp;"; ","")&amp;IF(AND(L17="✓",L$4&lt;&gt;""),L$4&amp;"; ","")&amp;IF(AND(M17="✓",M$4&lt;&gt;""),M$4&amp;"; ","")&amp;IF(AND(N17="✓",N$4&lt;&gt;""),N$4&amp;"; ","")&amp;IF(AND(O17="✓",O$4&lt;&gt;""),O$4&amp;"; ","")&amp;IF(AND(P17="✓",P$4&lt;&gt;""),P$4&amp;"; ","")&amp;IF(AND(Q17="✓",Q$4&lt;&gt;""),Q$4&amp;"; ","")&amp;IF(AND(R17="✓",R$4&lt;&gt;""),R$4&amp;"; ","")&amp;IF(AND(S17="✓",S$4&lt;&gt;""),S$4&amp;"; ","")&amp;IF(AND(T17="✓",T$4&lt;&gt;""),T$4&amp;"; ","")&amp;IF(AND(U17="✓",U$4&lt;&gt;""),U$4&amp;"; ","")&amp;IF(AND(V17="✓",V$4&lt;&gt;""),V$4&amp;"; ","")&amp;IF(AND(W17="✓",W$4&lt;&gt;""),W$4&amp;"; ","")&amp;IF(AND(X17="✓",X$4&lt;&gt;""),X$4&amp;"; ","")&amp;IF(AND(Y17="✓",Y$4&lt;&gt;""),Y$4&amp;"; ","")&amp;IF(AND(Z17="✓",Z$4&lt;&gt;""),Z$4&amp;"; ","")&amp;IF(AND(AA17="✓",AA$4&lt;&gt;""),AA$4&amp;"; ","")&amp;IF(AND(AB17="✓",AB$4&lt;&gt;""),AB$4&amp;"; ","")&amp;IF(AND(AC17="✓",AC$4&lt;&gt;""),AC$4&amp;"; ","")&amp;IF(AND(AD17="✓",AD$4&lt;&gt;""),AD$4&amp;"; ","")&amp;IF(AND(AE17="✓",AE$4&lt;&gt;""),AE$4&amp;"; ","")&amp;IF(AND(AF17="✓",AF$4&lt;&gt;""),AF$4&amp;"; ","")&amp;IF(AND(AG17="✓",AG$4&lt;&gt;""),AG$4&amp;"; ","")&amp;IF(AND(AH17="✓",AH$4&lt;&gt;""),AH$4&amp;"; ","")&amp;IF(AND(AI17="✓",AI$4&lt;&gt;""),AI$4&amp;"; ","")&amp;IF(AND(AJ17="✓",AJ$4&lt;&gt;""),AJ$4&amp;"; ","")&amp;IF(AND(AK17="✓",AK$4&lt;&gt;""),AK$4&amp;"; ","")&amp;IF(AND(AL17="✓",AL$4&lt;&gt;""),AL$4&amp;"; ","")&amp;IF(AND(AM17="✓",AM$4&lt;&gt;""),AM$4&amp;"; ","")&amp;IF(AND(AN17="✓",AN$4&lt;&gt;""),AN$4&amp;"; ","")&amp;IF(AND(AO17="✓",AO$4&lt;&gt;""),AO$4&amp;"; ","")&amp;IF(AND(AP17="✓",AP$4&lt;&gt;""),AP$4&amp;"; ","")&amp;IF(AND(AQ17="✓",AQ$4&lt;&gt;""),AQ$4&amp;"; ","")&amp;IF(AND(AR17="✓",AR$4&lt;&gt;""),AR$4&amp;"; ","")&amp;IF(AND(AS17="✓",AS$4&lt;&gt;""),AS$4&amp;"; ","")&amp;IF(AND(AT17="✓",AT$4&lt;&gt;""),AT$4&amp;"; ","")&amp;IF(AND(AU17="✓",AU$4&lt;&gt;""),AU$4&amp;"; ","")&amp;IF(AND(AV17="✓",AV$4&lt;&gt;""),AV$4&amp;"; ","")&amp;IF(AND(AW17="✓",AW$4&lt;&gt;""),AW$4&amp;"; ","")&amp;IF(AND(AX17="✓",AX$4&lt;&gt;""),AX$4&amp;"; ","")&amp;IF(AND(AY17="✓",AY$4&lt;&gt;""),AY$4&amp;"; ","")&amp;IF(AND(AZ17="✓",AZ$4&lt;&gt;""),AZ$4&amp;"; ","")&amp;IF(AND(BA17="✓",BA$4&lt;&gt;""),BA$4&amp;"; ","")&amp;IF(AND(BB17="✓",BB$4&lt;&gt;""),BB$4&amp;"; ","")&amp;IF(AND(BC17="✓",BC$4&lt;&gt;""),BC$4&amp;"; ","")&amp;IF(AND(BD17="✓",BD$4&lt;&gt;""),BD$4&amp;"; ","")&amp;IF(AND(BE17="✓",BE$4&lt;&gt;""),BE$4&amp;"; ","")&amp;IF(AND(BF17="✓",BF$4&lt;&gt;""),BF$4&amp;"; ","")&amp;IF(AND(BG17="✓",BG$4&lt;&gt;""),BG$4&amp;"; ","")&amp;IF(AND(BH17="✓",BH$4&lt;&gt;""),BH$4&amp;"; ","")&amp;IF(AND(BI17="✓",BI$4&lt;&gt;""),BI$4&amp;"; ","")&amp;IF(AND(BJ17="✓",BJ$4&lt;&gt;""),BJ$4&amp;"; ","")&amp;IF(AND(BK17="✓",BK$4&lt;&gt;""),BK$4&amp;"; ","")&amp;IF(AND(BL17="✓",BL$4&lt;&gt;""),BL$4&amp;"; ","")&amp;IF(AND(BM17="✓",BM$4&lt;&gt;""),BM$4&amp;"; ","")&amp;IF(AND(BN17="✓",BN$4&lt;&gt;""),BN$4&amp;"; ","")&amp;IF(AND(BO17="✓",BO$4&lt;&gt;""),BO$4&amp;"; ","")&amp;IF(AND(BP17="✓",BP$4&lt;&gt;""),BP$4&amp;"; ","")&amp;IF(AND(BQ17="✓",BQ$4&lt;&gt;""),BQ$4&amp;"; ","")&amp;IF(AND(BR17="✓",BR$4&lt;&gt;""),BR$4&amp;"; ","")&amp;IF(AND(BS17="✓",BS$4&lt;&gt;""),BS$4&amp;"; ","")&amp;IF(AND(BT17="✓",BT$4&lt;&gt;""),BT$4&amp;"; ","")&amp;IF(AND(BU17="✓",BU$4&lt;&gt;""),BU$4&amp;"; ","")&amp;IF(AND(BV17="✓",BV$4&lt;&gt;""),BV$4&amp;"; ","")&amp;IF(AND(BW17="✓",BW$4&lt;&gt;""),BW$4&amp;"; ","")&amp;IF(AND(BX17="✓",BX$4&lt;&gt;""),BX$4&amp;"; ","")&amp;IF(AND(BY17="✓",BY$4&lt;&gt;""),BY$4&amp;"; ","")&amp;IF(AND(BZ17="✓",BZ$4&lt;&gt;""),BZ$4&amp;"; ","")&amp;IF(AND(CA17="✓",CA$4&lt;&gt;""),CA$4&amp;"; ","")&amp;IF(AND(CB17="✓",CB$4&lt;&gt;""),CB$4&amp;"; ","")&amp;IF(AND(CC17="✓",CC$4&lt;&gt;""),CC$4&amp;"; ","")&amp;IF(AND(CD17="✓",CD$4&lt;&gt;""),CD$4&amp;"; ","")&amp;IF(AND(CE17="✓",CE$4&lt;&gt;""),CE$4&amp;"; ","")&amp;IF(AND(CF17="✓",CF$4&lt;&gt;""),CF$4&amp;"; ","")&amp;IF(AND(CG17="✓",CG$4&lt;&gt;""),CG$4&amp;"; ","")&amp;IF(AND(CH17="✓",CH$4&lt;&gt;""),CH$4&amp;"; ","")&amp;IF(AND(CI17="✓",CI$4&lt;&gt;""),CI$4&amp;"; ","")&amp;IF(AND(CJ17="✓",CJ$4&lt;&gt;""),CJ$4&amp;"; ","")&amp;IF(AND(CK17="✓",CK$4&lt;&gt;""),CK$4&amp;"; ","")&amp;IF(AND(CL17="✓",CL$4&lt;&gt;""),CL$4&amp;"; ","")&amp;IF(AND(CM17="✓",CM$4&lt;&gt;""),CM$4&amp;"; ","")&amp;IF(AND(CN17="✓",CN$4&lt;&gt;""),CN$4&amp;"; ","")&amp;IF(AND(CO17="✓",CO$4&lt;&gt;""),CO$4&amp;"; ","")</f>
        <v>OPP-05; OPP-06; OPP-07; </v>
      </c>
      <c r="CQ17" s="104" t="str">
        <f aca="false">IF($CP17="","",LEFT($CP17,LEN($CP17)-2))</f>
        <v>OPP-05; OPP-06; OPP-07</v>
      </c>
      <c r="CR17" s="234" t="n">
        <f aca="false">IF($A17="","",COUNTIF($D17:$CO17,"✓"))</f>
        <v>3</v>
      </c>
    </row>
    <row r="18" customFormat="false" ht="21.75" hidden="false" customHeight="true" outlineLevel="0" collapsed="false">
      <c r="A18" s="231" t="str">
        <f aca="false">IF(03_能力總表_Master!$A18="","",03_能力總表_Master!$A18)</f>
        <v>CAP-014</v>
      </c>
      <c r="B18" s="166" t="str">
        <f aca="false">IF(03_能力總表_Master!$A18="","",03_能力總表_Master!$B18)</f>
        <v>D03 醫院設施與機電</v>
      </c>
      <c r="C18" s="95" t="str">
        <f aca="false">IF(03_能力總表_Master!$A18="","",03_能力總表_Master!$E18)</f>
        <v>醫療建築功能計畫</v>
      </c>
      <c r="D18" s="232"/>
      <c r="E18" s="232"/>
      <c r="F18" s="232"/>
      <c r="G18" s="232"/>
      <c r="H18" s="232" t="s">
        <v>1305</v>
      </c>
      <c r="I18" s="232" t="s">
        <v>1305</v>
      </c>
      <c r="J18" s="232" t="s">
        <v>1305</v>
      </c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2"/>
      <c r="W18" s="232"/>
      <c r="X18" s="232"/>
      <c r="Y18" s="232"/>
      <c r="Z18" s="232"/>
      <c r="AA18" s="232"/>
      <c r="AB18" s="232"/>
      <c r="AC18" s="232"/>
      <c r="AD18" s="232"/>
      <c r="AE18" s="232"/>
      <c r="AF18" s="232"/>
      <c r="AG18" s="232"/>
      <c r="AH18" s="232"/>
      <c r="AI18" s="232"/>
      <c r="AJ18" s="232"/>
      <c r="AK18" s="232"/>
      <c r="AL18" s="232"/>
      <c r="AM18" s="232"/>
      <c r="AN18" s="232"/>
      <c r="AO18" s="232"/>
      <c r="AP18" s="232"/>
      <c r="AQ18" s="232"/>
      <c r="AR18" s="232"/>
      <c r="AS18" s="232"/>
      <c r="AT18" s="232"/>
      <c r="AU18" s="232"/>
      <c r="AV18" s="232"/>
      <c r="AW18" s="232"/>
      <c r="AX18" s="232"/>
      <c r="AY18" s="232"/>
      <c r="AZ18" s="232"/>
      <c r="BA18" s="232"/>
      <c r="BB18" s="232"/>
      <c r="BC18" s="232"/>
      <c r="BD18" s="232"/>
      <c r="BE18" s="232"/>
      <c r="BF18" s="232"/>
      <c r="BG18" s="232"/>
      <c r="BH18" s="232"/>
      <c r="BI18" s="232"/>
      <c r="BJ18" s="232"/>
      <c r="BK18" s="232"/>
      <c r="BL18" s="232"/>
      <c r="BM18" s="232"/>
      <c r="BN18" s="232"/>
      <c r="BO18" s="232"/>
      <c r="BP18" s="232"/>
      <c r="BQ18" s="232"/>
      <c r="BR18" s="232"/>
      <c r="BS18" s="232"/>
      <c r="BT18" s="232"/>
      <c r="BU18" s="232"/>
      <c r="BV18" s="232"/>
      <c r="BW18" s="232"/>
      <c r="BX18" s="232"/>
      <c r="BY18" s="232"/>
      <c r="BZ18" s="232"/>
      <c r="CA18" s="232"/>
      <c r="CB18" s="232"/>
      <c r="CC18" s="232"/>
      <c r="CD18" s="232"/>
      <c r="CE18" s="232"/>
      <c r="CF18" s="232"/>
      <c r="CG18" s="232"/>
      <c r="CH18" s="232"/>
      <c r="CI18" s="232"/>
      <c r="CJ18" s="232"/>
      <c r="CK18" s="232"/>
      <c r="CL18" s="232"/>
      <c r="CM18" s="232"/>
      <c r="CN18" s="232"/>
      <c r="CO18" s="232"/>
      <c r="CP18" s="233" t="str">
        <f aca="false">IF(AND(D18="✓",D$4&lt;&gt;""),D$4&amp;"; ","")&amp;IF(AND(E18="✓",E$4&lt;&gt;""),E$4&amp;"; ","")&amp;IF(AND(F18="✓",F$4&lt;&gt;""),F$4&amp;"; ","")&amp;IF(AND(G18="✓",G$4&lt;&gt;""),G$4&amp;"; ","")&amp;IF(AND(H18="✓",H$4&lt;&gt;""),H$4&amp;"; ","")&amp;IF(AND(I18="✓",I$4&lt;&gt;""),I$4&amp;"; ","")&amp;IF(AND(J18="✓",J$4&lt;&gt;""),J$4&amp;"; ","")&amp;IF(AND(K18="✓",K$4&lt;&gt;""),K$4&amp;"; ","")&amp;IF(AND(L18="✓",L$4&lt;&gt;""),L$4&amp;"; ","")&amp;IF(AND(M18="✓",M$4&lt;&gt;""),M$4&amp;"; ","")&amp;IF(AND(N18="✓",N$4&lt;&gt;""),N$4&amp;"; ","")&amp;IF(AND(O18="✓",O$4&lt;&gt;""),O$4&amp;"; ","")&amp;IF(AND(P18="✓",P$4&lt;&gt;""),P$4&amp;"; ","")&amp;IF(AND(Q18="✓",Q$4&lt;&gt;""),Q$4&amp;"; ","")&amp;IF(AND(R18="✓",R$4&lt;&gt;""),R$4&amp;"; ","")&amp;IF(AND(S18="✓",S$4&lt;&gt;""),S$4&amp;"; ","")&amp;IF(AND(T18="✓",T$4&lt;&gt;""),T$4&amp;"; ","")&amp;IF(AND(U18="✓",U$4&lt;&gt;""),U$4&amp;"; ","")&amp;IF(AND(V18="✓",V$4&lt;&gt;""),V$4&amp;"; ","")&amp;IF(AND(W18="✓",W$4&lt;&gt;""),W$4&amp;"; ","")&amp;IF(AND(X18="✓",X$4&lt;&gt;""),X$4&amp;"; ","")&amp;IF(AND(Y18="✓",Y$4&lt;&gt;""),Y$4&amp;"; ","")&amp;IF(AND(Z18="✓",Z$4&lt;&gt;""),Z$4&amp;"; ","")&amp;IF(AND(AA18="✓",AA$4&lt;&gt;""),AA$4&amp;"; ","")&amp;IF(AND(AB18="✓",AB$4&lt;&gt;""),AB$4&amp;"; ","")&amp;IF(AND(AC18="✓",AC$4&lt;&gt;""),AC$4&amp;"; ","")&amp;IF(AND(AD18="✓",AD$4&lt;&gt;""),AD$4&amp;"; ","")&amp;IF(AND(AE18="✓",AE$4&lt;&gt;""),AE$4&amp;"; ","")&amp;IF(AND(AF18="✓",AF$4&lt;&gt;""),AF$4&amp;"; ","")&amp;IF(AND(AG18="✓",AG$4&lt;&gt;""),AG$4&amp;"; ","")&amp;IF(AND(AH18="✓",AH$4&lt;&gt;""),AH$4&amp;"; ","")&amp;IF(AND(AI18="✓",AI$4&lt;&gt;""),AI$4&amp;"; ","")&amp;IF(AND(AJ18="✓",AJ$4&lt;&gt;""),AJ$4&amp;"; ","")&amp;IF(AND(AK18="✓",AK$4&lt;&gt;""),AK$4&amp;"; ","")&amp;IF(AND(AL18="✓",AL$4&lt;&gt;""),AL$4&amp;"; ","")&amp;IF(AND(AM18="✓",AM$4&lt;&gt;""),AM$4&amp;"; ","")&amp;IF(AND(AN18="✓",AN$4&lt;&gt;""),AN$4&amp;"; ","")&amp;IF(AND(AO18="✓",AO$4&lt;&gt;""),AO$4&amp;"; ","")&amp;IF(AND(AP18="✓",AP$4&lt;&gt;""),AP$4&amp;"; ","")&amp;IF(AND(AQ18="✓",AQ$4&lt;&gt;""),AQ$4&amp;"; ","")&amp;IF(AND(AR18="✓",AR$4&lt;&gt;""),AR$4&amp;"; ","")&amp;IF(AND(AS18="✓",AS$4&lt;&gt;""),AS$4&amp;"; ","")&amp;IF(AND(AT18="✓",AT$4&lt;&gt;""),AT$4&amp;"; ","")&amp;IF(AND(AU18="✓",AU$4&lt;&gt;""),AU$4&amp;"; ","")&amp;IF(AND(AV18="✓",AV$4&lt;&gt;""),AV$4&amp;"; ","")&amp;IF(AND(AW18="✓",AW$4&lt;&gt;""),AW$4&amp;"; ","")&amp;IF(AND(AX18="✓",AX$4&lt;&gt;""),AX$4&amp;"; ","")&amp;IF(AND(AY18="✓",AY$4&lt;&gt;""),AY$4&amp;"; ","")&amp;IF(AND(AZ18="✓",AZ$4&lt;&gt;""),AZ$4&amp;"; ","")&amp;IF(AND(BA18="✓",BA$4&lt;&gt;""),BA$4&amp;"; ","")&amp;IF(AND(BB18="✓",BB$4&lt;&gt;""),BB$4&amp;"; ","")&amp;IF(AND(BC18="✓",BC$4&lt;&gt;""),BC$4&amp;"; ","")&amp;IF(AND(BD18="✓",BD$4&lt;&gt;""),BD$4&amp;"; ","")&amp;IF(AND(BE18="✓",BE$4&lt;&gt;""),BE$4&amp;"; ","")&amp;IF(AND(BF18="✓",BF$4&lt;&gt;""),BF$4&amp;"; ","")&amp;IF(AND(BG18="✓",BG$4&lt;&gt;""),BG$4&amp;"; ","")&amp;IF(AND(BH18="✓",BH$4&lt;&gt;""),BH$4&amp;"; ","")&amp;IF(AND(BI18="✓",BI$4&lt;&gt;""),BI$4&amp;"; ","")&amp;IF(AND(BJ18="✓",BJ$4&lt;&gt;""),BJ$4&amp;"; ","")&amp;IF(AND(BK18="✓",BK$4&lt;&gt;""),BK$4&amp;"; ","")&amp;IF(AND(BL18="✓",BL$4&lt;&gt;""),BL$4&amp;"; ","")&amp;IF(AND(BM18="✓",BM$4&lt;&gt;""),BM$4&amp;"; ","")&amp;IF(AND(BN18="✓",BN$4&lt;&gt;""),BN$4&amp;"; ","")&amp;IF(AND(BO18="✓",BO$4&lt;&gt;""),BO$4&amp;"; ","")&amp;IF(AND(BP18="✓",BP$4&lt;&gt;""),BP$4&amp;"; ","")&amp;IF(AND(BQ18="✓",BQ$4&lt;&gt;""),BQ$4&amp;"; ","")&amp;IF(AND(BR18="✓",BR$4&lt;&gt;""),BR$4&amp;"; ","")&amp;IF(AND(BS18="✓",BS$4&lt;&gt;""),BS$4&amp;"; ","")&amp;IF(AND(BT18="✓",BT$4&lt;&gt;""),BT$4&amp;"; ","")&amp;IF(AND(BU18="✓",BU$4&lt;&gt;""),BU$4&amp;"; ","")&amp;IF(AND(BV18="✓",BV$4&lt;&gt;""),BV$4&amp;"; ","")&amp;IF(AND(BW18="✓",BW$4&lt;&gt;""),BW$4&amp;"; ","")&amp;IF(AND(BX18="✓",BX$4&lt;&gt;""),BX$4&amp;"; ","")&amp;IF(AND(BY18="✓",BY$4&lt;&gt;""),BY$4&amp;"; ","")&amp;IF(AND(BZ18="✓",BZ$4&lt;&gt;""),BZ$4&amp;"; ","")&amp;IF(AND(CA18="✓",CA$4&lt;&gt;""),CA$4&amp;"; ","")&amp;IF(AND(CB18="✓",CB$4&lt;&gt;""),CB$4&amp;"; ","")&amp;IF(AND(CC18="✓",CC$4&lt;&gt;""),CC$4&amp;"; ","")&amp;IF(AND(CD18="✓",CD$4&lt;&gt;""),CD$4&amp;"; ","")&amp;IF(AND(CE18="✓",CE$4&lt;&gt;""),CE$4&amp;"; ","")&amp;IF(AND(CF18="✓",CF$4&lt;&gt;""),CF$4&amp;"; ","")&amp;IF(AND(CG18="✓",CG$4&lt;&gt;""),CG$4&amp;"; ","")&amp;IF(AND(CH18="✓",CH$4&lt;&gt;""),CH$4&amp;"; ","")&amp;IF(AND(CI18="✓",CI$4&lt;&gt;""),CI$4&amp;"; ","")&amp;IF(AND(CJ18="✓",CJ$4&lt;&gt;""),CJ$4&amp;"; ","")&amp;IF(AND(CK18="✓",CK$4&lt;&gt;""),CK$4&amp;"; ","")&amp;IF(AND(CL18="✓",CL$4&lt;&gt;""),CL$4&amp;"; ","")&amp;IF(AND(CM18="✓",CM$4&lt;&gt;""),CM$4&amp;"; ","")&amp;IF(AND(CN18="✓",CN$4&lt;&gt;""),CN$4&amp;"; ","")&amp;IF(AND(CO18="✓",CO$4&lt;&gt;""),CO$4&amp;"; ","")</f>
        <v>OPP-05; OPP-06; OPP-07; </v>
      </c>
      <c r="CQ18" s="104" t="str">
        <f aca="false">IF($CP18="","",LEFT($CP18,LEN($CP18)-2))</f>
        <v>OPP-05; OPP-06; OPP-07</v>
      </c>
      <c r="CR18" s="234" t="n">
        <f aca="false">IF($A18="","",COUNTIF($D18:$CO18,"✓"))</f>
        <v>3</v>
      </c>
    </row>
    <row r="19" customFormat="false" ht="21.75" hidden="false" customHeight="true" outlineLevel="0" collapsed="false">
      <c r="A19" s="231" t="str">
        <f aca="false">IF(03_能力總表_Master!$A19="","",03_能力總表_Master!$A19)</f>
        <v>CAP-015</v>
      </c>
      <c r="B19" s="166" t="str">
        <f aca="false">IF(03_能力總表_Master!$A19="","",03_能力總表_Master!$B19)</f>
        <v>D03 醫院設施與機電</v>
      </c>
      <c r="C19" s="95" t="str">
        <f aca="false">IF(03_能力總表_Master!$A19="","",03_能力總表_Master!$E19)</f>
        <v>感染控制與潔污動線</v>
      </c>
      <c r="D19" s="232"/>
      <c r="E19" s="232"/>
      <c r="F19" s="232"/>
      <c r="G19" s="232"/>
      <c r="H19" s="232"/>
      <c r="I19" s="232" t="s">
        <v>1305</v>
      </c>
      <c r="J19" s="232"/>
      <c r="K19" s="232" t="s">
        <v>1305</v>
      </c>
      <c r="L19" s="232"/>
      <c r="M19" s="232"/>
      <c r="N19" s="232"/>
      <c r="O19" s="232"/>
      <c r="P19" s="232" t="s">
        <v>1305</v>
      </c>
      <c r="Q19" s="232"/>
      <c r="R19" s="232"/>
      <c r="S19" s="232"/>
      <c r="T19" s="232"/>
      <c r="U19" s="232"/>
      <c r="V19" s="232"/>
      <c r="W19" s="232"/>
      <c r="X19" s="232"/>
      <c r="Y19" s="232"/>
      <c r="Z19" s="232"/>
      <c r="AA19" s="232"/>
      <c r="AB19" s="232"/>
      <c r="AC19" s="232"/>
      <c r="AD19" s="232"/>
      <c r="AE19" s="232"/>
      <c r="AF19" s="232"/>
      <c r="AG19" s="232"/>
      <c r="AH19" s="232"/>
      <c r="AI19" s="232"/>
      <c r="AJ19" s="232"/>
      <c r="AK19" s="232"/>
      <c r="AL19" s="232"/>
      <c r="AM19" s="232"/>
      <c r="AN19" s="232"/>
      <c r="AO19" s="232"/>
      <c r="AP19" s="232"/>
      <c r="AQ19" s="232"/>
      <c r="AR19" s="232"/>
      <c r="AS19" s="232"/>
      <c r="AT19" s="232"/>
      <c r="AU19" s="232"/>
      <c r="AV19" s="232"/>
      <c r="AW19" s="232"/>
      <c r="AX19" s="232"/>
      <c r="AY19" s="232"/>
      <c r="AZ19" s="232"/>
      <c r="BA19" s="232"/>
      <c r="BB19" s="232"/>
      <c r="BC19" s="232"/>
      <c r="BD19" s="232"/>
      <c r="BE19" s="232"/>
      <c r="BF19" s="232"/>
      <c r="BG19" s="232"/>
      <c r="BH19" s="232"/>
      <c r="BI19" s="232"/>
      <c r="BJ19" s="232"/>
      <c r="BK19" s="232"/>
      <c r="BL19" s="232"/>
      <c r="BM19" s="232"/>
      <c r="BN19" s="232"/>
      <c r="BO19" s="232"/>
      <c r="BP19" s="232" t="s">
        <v>1305</v>
      </c>
      <c r="BQ19" s="232"/>
      <c r="BR19" s="232"/>
      <c r="BS19" s="232"/>
      <c r="BT19" s="232"/>
      <c r="BU19" s="232"/>
      <c r="BV19" s="232"/>
      <c r="BW19" s="232"/>
      <c r="BX19" s="232"/>
      <c r="BY19" s="232"/>
      <c r="BZ19" s="232"/>
      <c r="CA19" s="232"/>
      <c r="CB19" s="232"/>
      <c r="CC19" s="232"/>
      <c r="CD19" s="232"/>
      <c r="CE19" s="232"/>
      <c r="CF19" s="232"/>
      <c r="CG19" s="232"/>
      <c r="CH19" s="232"/>
      <c r="CI19" s="232"/>
      <c r="CJ19" s="232"/>
      <c r="CK19" s="232"/>
      <c r="CL19" s="232"/>
      <c r="CM19" s="232"/>
      <c r="CN19" s="232"/>
      <c r="CO19" s="232"/>
      <c r="CP19" s="233" t="str">
        <f aca="false">IF(AND(D19="✓",D$4&lt;&gt;""),D$4&amp;"; ","")&amp;IF(AND(E19="✓",E$4&lt;&gt;""),E$4&amp;"; ","")&amp;IF(AND(F19="✓",F$4&lt;&gt;""),F$4&amp;"; ","")&amp;IF(AND(G19="✓",G$4&lt;&gt;""),G$4&amp;"; ","")&amp;IF(AND(H19="✓",H$4&lt;&gt;""),H$4&amp;"; ","")&amp;IF(AND(I19="✓",I$4&lt;&gt;""),I$4&amp;"; ","")&amp;IF(AND(J19="✓",J$4&lt;&gt;""),J$4&amp;"; ","")&amp;IF(AND(K19="✓",K$4&lt;&gt;""),K$4&amp;"; ","")&amp;IF(AND(L19="✓",L$4&lt;&gt;""),L$4&amp;"; ","")&amp;IF(AND(M19="✓",M$4&lt;&gt;""),M$4&amp;"; ","")&amp;IF(AND(N19="✓",N$4&lt;&gt;""),N$4&amp;"; ","")&amp;IF(AND(O19="✓",O$4&lt;&gt;""),O$4&amp;"; ","")&amp;IF(AND(P19="✓",P$4&lt;&gt;""),P$4&amp;"; ","")&amp;IF(AND(Q19="✓",Q$4&lt;&gt;""),Q$4&amp;"; ","")&amp;IF(AND(R19="✓",R$4&lt;&gt;""),R$4&amp;"; ","")&amp;IF(AND(S19="✓",S$4&lt;&gt;""),S$4&amp;"; ","")&amp;IF(AND(T19="✓",T$4&lt;&gt;""),T$4&amp;"; ","")&amp;IF(AND(U19="✓",U$4&lt;&gt;""),U$4&amp;"; ","")&amp;IF(AND(V19="✓",V$4&lt;&gt;""),V$4&amp;"; ","")&amp;IF(AND(W19="✓",W$4&lt;&gt;""),W$4&amp;"; ","")&amp;IF(AND(X19="✓",X$4&lt;&gt;""),X$4&amp;"; ","")&amp;IF(AND(Y19="✓",Y$4&lt;&gt;""),Y$4&amp;"; ","")&amp;IF(AND(Z19="✓",Z$4&lt;&gt;""),Z$4&amp;"; ","")&amp;IF(AND(AA19="✓",AA$4&lt;&gt;""),AA$4&amp;"; ","")&amp;IF(AND(AB19="✓",AB$4&lt;&gt;""),AB$4&amp;"; ","")&amp;IF(AND(AC19="✓",AC$4&lt;&gt;""),AC$4&amp;"; ","")&amp;IF(AND(AD19="✓",AD$4&lt;&gt;""),AD$4&amp;"; ","")&amp;IF(AND(AE19="✓",AE$4&lt;&gt;""),AE$4&amp;"; ","")&amp;IF(AND(AF19="✓",AF$4&lt;&gt;""),AF$4&amp;"; ","")&amp;IF(AND(AG19="✓",AG$4&lt;&gt;""),AG$4&amp;"; ","")&amp;IF(AND(AH19="✓",AH$4&lt;&gt;""),AH$4&amp;"; ","")&amp;IF(AND(AI19="✓",AI$4&lt;&gt;""),AI$4&amp;"; ","")&amp;IF(AND(AJ19="✓",AJ$4&lt;&gt;""),AJ$4&amp;"; ","")&amp;IF(AND(AK19="✓",AK$4&lt;&gt;""),AK$4&amp;"; ","")&amp;IF(AND(AL19="✓",AL$4&lt;&gt;""),AL$4&amp;"; ","")&amp;IF(AND(AM19="✓",AM$4&lt;&gt;""),AM$4&amp;"; ","")&amp;IF(AND(AN19="✓",AN$4&lt;&gt;""),AN$4&amp;"; ","")&amp;IF(AND(AO19="✓",AO$4&lt;&gt;""),AO$4&amp;"; ","")&amp;IF(AND(AP19="✓",AP$4&lt;&gt;""),AP$4&amp;"; ","")&amp;IF(AND(AQ19="✓",AQ$4&lt;&gt;""),AQ$4&amp;"; ","")&amp;IF(AND(AR19="✓",AR$4&lt;&gt;""),AR$4&amp;"; ","")&amp;IF(AND(AS19="✓",AS$4&lt;&gt;""),AS$4&amp;"; ","")&amp;IF(AND(AT19="✓",AT$4&lt;&gt;""),AT$4&amp;"; ","")&amp;IF(AND(AU19="✓",AU$4&lt;&gt;""),AU$4&amp;"; ","")&amp;IF(AND(AV19="✓",AV$4&lt;&gt;""),AV$4&amp;"; ","")&amp;IF(AND(AW19="✓",AW$4&lt;&gt;""),AW$4&amp;"; ","")&amp;IF(AND(AX19="✓",AX$4&lt;&gt;""),AX$4&amp;"; ","")&amp;IF(AND(AY19="✓",AY$4&lt;&gt;""),AY$4&amp;"; ","")&amp;IF(AND(AZ19="✓",AZ$4&lt;&gt;""),AZ$4&amp;"; ","")&amp;IF(AND(BA19="✓",BA$4&lt;&gt;""),BA$4&amp;"; ","")&amp;IF(AND(BB19="✓",BB$4&lt;&gt;""),BB$4&amp;"; ","")&amp;IF(AND(BC19="✓",BC$4&lt;&gt;""),BC$4&amp;"; ","")&amp;IF(AND(BD19="✓",BD$4&lt;&gt;""),BD$4&amp;"; ","")&amp;IF(AND(BE19="✓",BE$4&lt;&gt;""),BE$4&amp;"; ","")&amp;IF(AND(BF19="✓",BF$4&lt;&gt;""),BF$4&amp;"; ","")&amp;IF(AND(BG19="✓",BG$4&lt;&gt;""),BG$4&amp;"; ","")&amp;IF(AND(BH19="✓",BH$4&lt;&gt;""),BH$4&amp;"; ","")&amp;IF(AND(BI19="✓",BI$4&lt;&gt;""),BI$4&amp;"; ","")&amp;IF(AND(BJ19="✓",BJ$4&lt;&gt;""),BJ$4&amp;"; ","")&amp;IF(AND(BK19="✓",BK$4&lt;&gt;""),BK$4&amp;"; ","")&amp;IF(AND(BL19="✓",BL$4&lt;&gt;""),BL$4&amp;"; ","")&amp;IF(AND(BM19="✓",BM$4&lt;&gt;""),BM$4&amp;"; ","")&amp;IF(AND(BN19="✓",BN$4&lt;&gt;""),BN$4&amp;"; ","")&amp;IF(AND(BO19="✓",BO$4&lt;&gt;""),BO$4&amp;"; ","")&amp;IF(AND(BP19="✓",BP$4&lt;&gt;""),BP$4&amp;"; ","")&amp;IF(AND(BQ19="✓",BQ$4&lt;&gt;""),BQ$4&amp;"; ","")&amp;IF(AND(BR19="✓",BR$4&lt;&gt;""),BR$4&amp;"; ","")&amp;IF(AND(BS19="✓",BS$4&lt;&gt;""),BS$4&amp;"; ","")&amp;IF(AND(BT19="✓",BT$4&lt;&gt;""),BT$4&amp;"; ","")&amp;IF(AND(BU19="✓",BU$4&lt;&gt;""),BU$4&amp;"; ","")&amp;IF(AND(BV19="✓",BV$4&lt;&gt;""),BV$4&amp;"; ","")&amp;IF(AND(BW19="✓",BW$4&lt;&gt;""),BW$4&amp;"; ","")&amp;IF(AND(BX19="✓",BX$4&lt;&gt;""),BX$4&amp;"; ","")&amp;IF(AND(BY19="✓",BY$4&lt;&gt;""),BY$4&amp;"; ","")&amp;IF(AND(BZ19="✓",BZ$4&lt;&gt;""),BZ$4&amp;"; ","")&amp;IF(AND(CA19="✓",CA$4&lt;&gt;""),CA$4&amp;"; ","")&amp;IF(AND(CB19="✓",CB$4&lt;&gt;""),CB$4&amp;"; ","")&amp;IF(AND(CC19="✓",CC$4&lt;&gt;""),CC$4&amp;"; ","")&amp;IF(AND(CD19="✓",CD$4&lt;&gt;""),CD$4&amp;"; ","")&amp;IF(AND(CE19="✓",CE$4&lt;&gt;""),CE$4&amp;"; ","")&amp;IF(AND(CF19="✓",CF$4&lt;&gt;""),CF$4&amp;"; ","")&amp;IF(AND(CG19="✓",CG$4&lt;&gt;""),CG$4&amp;"; ","")&amp;IF(AND(CH19="✓",CH$4&lt;&gt;""),CH$4&amp;"; ","")&amp;IF(AND(CI19="✓",CI$4&lt;&gt;""),CI$4&amp;"; ","")&amp;IF(AND(CJ19="✓",CJ$4&lt;&gt;""),CJ$4&amp;"; ","")&amp;IF(AND(CK19="✓",CK$4&lt;&gt;""),CK$4&amp;"; ","")&amp;IF(AND(CL19="✓",CL$4&lt;&gt;""),CL$4&amp;"; ","")&amp;IF(AND(CM19="✓",CM$4&lt;&gt;""),CM$4&amp;"; ","")&amp;IF(AND(CN19="✓",CN$4&lt;&gt;""),CN$4&amp;"; ","")&amp;IF(AND(CO19="✓",CO$4&lt;&gt;""),CO$4&amp;"; ","")</f>
        <v>OPP-06; OPP-08; OPP-13; OPP-65; </v>
      </c>
      <c r="CQ19" s="104" t="str">
        <f aca="false">IF($CP19="","",LEFT($CP19,LEN($CP19)-2))</f>
        <v>OPP-06; OPP-08; OPP-13; OPP-65</v>
      </c>
      <c r="CR19" s="234" t="n">
        <f aca="false">IF($A19="","",COUNTIF($D19:$CO19,"✓"))</f>
        <v>4</v>
      </c>
    </row>
    <row r="20" customFormat="false" ht="21.75" hidden="false" customHeight="true" outlineLevel="0" collapsed="false">
      <c r="A20" s="231" t="str">
        <f aca="false">IF(03_能力總表_Master!$A20="","",03_能力總表_Master!$A20)</f>
        <v>CAP-016</v>
      </c>
      <c r="B20" s="166" t="str">
        <f aca="false">IF(03_能力總表_Master!$A20="","",03_能力總表_Master!$B20)</f>
        <v>D03 醫院設施與機電</v>
      </c>
      <c r="C20" s="95" t="str">
        <f aca="false">IF(03_能力總表_Master!$A20="","",03_能力總表_Master!$E20)</f>
        <v>電力、備援與微電網</v>
      </c>
      <c r="D20" s="232"/>
      <c r="E20" s="232"/>
      <c r="F20" s="232"/>
      <c r="G20" s="232"/>
      <c r="H20" s="232"/>
      <c r="I20" s="232"/>
      <c r="J20" s="232" t="s">
        <v>1305</v>
      </c>
      <c r="K20" s="232"/>
      <c r="L20" s="232"/>
      <c r="M20" s="232" t="s">
        <v>1305</v>
      </c>
      <c r="N20" s="232"/>
      <c r="O20" s="232" t="s">
        <v>1305</v>
      </c>
      <c r="P20" s="232"/>
      <c r="Q20" s="232"/>
      <c r="R20" s="232"/>
      <c r="S20" s="232"/>
      <c r="T20" s="232"/>
      <c r="U20" s="232"/>
      <c r="V20" s="232"/>
      <c r="W20" s="232"/>
      <c r="X20" s="232"/>
      <c r="Y20" s="232"/>
      <c r="Z20" s="232"/>
      <c r="AA20" s="232"/>
      <c r="AB20" s="232"/>
      <c r="AC20" s="232"/>
      <c r="AD20" s="232"/>
      <c r="AE20" s="232"/>
      <c r="AF20" s="232"/>
      <c r="AG20" s="232"/>
      <c r="AH20" s="232"/>
      <c r="AI20" s="232"/>
      <c r="AJ20" s="232"/>
      <c r="AK20" s="232"/>
      <c r="AL20" s="232"/>
      <c r="AM20" s="232"/>
      <c r="AN20" s="232"/>
      <c r="AO20" s="232"/>
      <c r="AP20" s="232"/>
      <c r="AQ20" s="232"/>
      <c r="AR20" s="232"/>
      <c r="AS20" s="232"/>
      <c r="AT20" s="232"/>
      <c r="AU20" s="232"/>
      <c r="AV20" s="232"/>
      <c r="AW20" s="232"/>
      <c r="AX20" s="232"/>
      <c r="AY20" s="232"/>
      <c r="AZ20" s="232"/>
      <c r="BA20" s="232"/>
      <c r="BB20" s="232"/>
      <c r="BC20" s="232"/>
      <c r="BD20" s="232"/>
      <c r="BE20" s="232"/>
      <c r="BF20" s="232"/>
      <c r="BG20" s="232"/>
      <c r="BH20" s="232"/>
      <c r="BI20" s="232"/>
      <c r="BJ20" s="232"/>
      <c r="BK20" s="232"/>
      <c r="BL20" s="232"/>
      <c r="BM20" s="232"/>
      <c r="BN20" s="232"/>
      <c r="BO20" s="232"/>
      <c r="BP20" s="232"/>
      <c r="BQ20" s="232"/>
      <c r="BR20" s="232"/>
      <c r="BS20" s="232"/>
      <c r="BT20" s="232"/>
      <c r="BU20" s="232"/>
      <c r="BV20" s="232"/>
      <c r="BW20" s="232"/>
      <c r="BX20" s="232"/>
      <c r="BY20" s="232"/>
      <c r="BZ20" s="232"/>
      <c r="CA20" s="232"/>
      <c r="CB20" s="232"/>
      <c r="CC20" s="232"/>
      <c r="CD20" s="232"/>
      <c r="CE20" s="232"/>
      <c r="CF20" s="232"/>
      <c r="CG20" s="232"/>
      <c r="CH20" s="232"/>
      <c r="CI20" s="232"/>
      <c r="CJ20" s="232"/>
      <c r="CK20" s="232"/>
      <c r="CL20" s="232"/>
      <c r="CM20" s="232"/>
      <c r="CN20" s="232"/>
      <c r="CO20" s="232"/>
      <c r="CP20" s="233" t="str">
        <f aca="false">IF(AND(D20="✓",D$4&lt;&gt;""),D$4&amp;"; ","")&amp;IF(AND(E20="✓",E$4&lt;&gt;""),E$4&amp;"; ","")&amp;IF(AND(F20="✓",F$4&lt;&gt;""),F$4&amp;"; ","")&amp;IF(AND(G20="✓",G$4&lt;&gt;""),G$4&amp;"; ","")&amp;IF(AND(H20="✓",H$4&lt;&gt;""),H$4&amp;"; ","")&amp;IF(AND(I20="✓",I$4&lt;&gt;""),I$4&amp;"; ","")&amp;IF(AND(J20="✓",J$4&lt;&gt;""),J$4&amp;"; ","")&amp;IF(AND(K20="✓",K$4&lt;&gt;""),K$4&amp;"; ","")&amp;IF(AND(L20="✓",L$4&lt;&gt;""),L$4&amp;"; ","")&amp;IF(AND(M20="✓",M$4&lt;&gt;""),M$4&amp;"; ","")&amp;IF(AND(N20="✓",N$4&lt;&gt;""),N$4&amp;"; ","")&amp;IF(AND(O20="✓",O$4&lt;&gt;""),O$4&amp;"; ","")&amp;IF(AND(P20="✓",P$4&lt;&gt;""),P$4&amp;"; ","")&amp;IF(AND(Q20="✓",Q$4&lt;&gt;""),Q$4&amp;"; ","")&amp;IF(AND(R20="✓",R$4&lt;&gt;""),R$4&amp;"; ","")&amp;IF(AND(S20="✓",S$4&lt;&gt;""),S$4&amp;"; ","")&amp;IF(AND(T20="✓",T$4&lt;&gt;""),T$4&amp;"; ","")&amp;IF(AND(U20="✓",U$4&lt;&gt;""),U$4&amp;"; ","")&amp;IF(AND(V20="✓",V$4&lt;&gt;""),V$4&amp;"; ","")&amp;IF(AND(W20="✓",W$4&lt;&gt;""),W$4&amp;"; ","")&amp;IF(AND(X20="✓",X$4&lt;&gt;""),X$4&amp;"; ","")&amp;IF(AND(Y20="✓",Y$4&lt;&gt;""),Y$4&amp;"; ","")&amp;IF(AND(Z20="✓",Z$4&lt;&gt;""),Z$4&amp;"; ","")&amp;IF(AND(AA20="✓",AA$4&lt;&gt;""),AA$4&amp;"; ","")&amp;IF(AND(AB20="✓",AB$4&lt;&gt;""),AB$4&amp;"; ","")&amp;IF(AND(AC20="✓",AC$4&lt;&gt;""),AC$4&amp;"; ","")&amp;IF(AND(AD20="✓",AD$4&lt;&gt;""),AD$4&amp;"; ","")&amp;IF(AND(AE20="✓",AE$4&lt;&gt;""),AE$4&amp;"; ","")&amp;IF(AND(AF20="✓",AF$4&lt;&gt;""),AF$4&amp;"; ","")&amp;IF(AND(AG20="✓",AG$4&lt;&gt;""),AG$4&amp;"; ","")&amp;IF(AND(AH20="✓",AH$4&lt;&gt;""),AH$4&amp;"; ","")&amp;IF(AND(AI20="✓",AI$4&lt;&gt;""),AI$4&amp;"; ","")&amp;IF(AND(AJ20="✓",AJ$4&lt;&gt;""),AJ$4&amp;"; ","")&amp;IF(AND(AK20="✓",AK$4&lt;&gt;""),AK$4&amp;"; ","")&amp;IF(AND(AL20="✓",AL$4&lt;&gt;""),AL$4&amp;"; ","")&amp;IF(AND(AM20="✓",AM$4&lt;&gt;""),AM$4&amp;"; ","")&amp;IF(AND(AN20="✓",AN$4&lt;&gt;""),AN$4&amp;"; ","")&amp;IF(AND(AO20="✓",AO$4&lt;&gt;""),AO$4&amp;"; ","")&amp;IF(AND(AP20="✓",AP$4&lt;&gt;""),AP$4&amp;"; ","")&amp;IF(AND(AQ20="✓",AQ$4&lt;&gt;""),AQ$4&amp;"; ","")&amp;IF(AND(AR20="✓",AR$4&lt;&gt;""),AR$4&amp;"; ","")&amp;IF(AND(AS20="✓",AS$4&lt;&gt;""),AS$4&amp;"; ","")&amp;IF(AND(AT20="✓",AT$4&lt;&gt;""),AT$4&amp;"; ","")&amp;IF(AND(AU20="✓",AU$4&lt;&gt;""),AU$4&amp;"; ","")&amp;IF(AND(AV20="✓",AV$4&lt;&gt;""),AV$4&amp;"; ","")&amp;IF(AND(AW20="✓",AW$4&lt;&gt;""),AW$4&amp;"; ","")&amp;IF(AND(AX20="✓",AX$4&lt;&gt;""),AX$4&amp;"; ","")&amp;IF(AND(AY20="✓",AY$4&lt;&gt;""),AY$4&amp;"; ","")&amp;IF(AND(AZ20="✓",AZ$4&lt;&gt;""),AZ$4&amp;"; ","")&amp;IF(AND(BA20="✓",BA$4&lt;&gt;""),BA$4&amp;"; ","")&amp;IF(AND(BB20="✓",BB$4&lt;&gt;""),BB$4&amp;"; ","")&amp;IF(AND(BC20="✓",BC$4&lt;&gt;""),BC$4&amp;"; ","")&amp;IF(AND(BD20="✓",BD$4&lt;&gt;""),BD$4&amp;"; ","")&amp;IF(AND(BE20="✓",BE$4&lt;&gt;""),BE$4&amp;"; ","")&amp;IF(AND(BF20="✓",BF$4&lt;&gt;""),BF$4&amp;"; ","")&amp;IF(AND(BG20="✓",BG$4&lt;&gt;""),BG$4&amp;"; ","")&amp;IF(AND(BH20="✓",BH$4&lt;&gt;""),BH$4&amp;"; ","")&amp;IF(AND(BI20="✓",BI$4&lt;&gt;""),BI$4&amp;"; ","")&amp;IF(AND(BJ20="✓",BJ$4&lt;&gt;""),BJ$4&amp;"; ","")&amp;IF(AND(BK20="✓",BK$4&lt;&gt;""),BK$4&amp;"; ","")&amp;IF(AND(BL20="✓",BL$4&lt;&gt;""),BL$4&amp;"; ","")&amp;IF(AND(BM20="✓",BM$4&lt;&gt;""),BM$4&amp;"; ","")&amp;IF(AND(BN20="✓",BN$4&lt;&gt;""),BN$4&amp;"; ","")&amp;IF(AND(BO20="✓",BO$4&lt;&gt;""),BO$4&amp;"; ","")&amp;IF(AND(BP20="✓",BP$4&lt;&gt;""),BP$4&amp;"; ","")&amp;IF(AND(BQ20="✓",BQ$4&lt;&gt;""),BQ$4&amp;"; ","")&amp;IF(AND(BR20="✓",BR$4&lt;&gt;""),BR$4&amp;"; ","")&amp;IF(AND(BS20="✓",BS$4&lt;&gt;""),BS$4&amp;"; ","")&amp;IF(AND(BT20="✓",BT$4&lt;&gt;""),BT$4&amp;"; ","")&amp;IF(AND(BU20="✓",BU$4&lt;&gt;""),BU$4&amp;"; ","")&amp;IF(AND(BV20="✓",BV$4&lt;&gt;""),BV$4&amp;"; ","")&amp;IF(AND(BW20="✓",BW$4&lt;&gt;""),BW$4&amp;"; ","")&amp;IF(AND(BX20="✓",BX$4&lt;&gt;""),BX$4&amp;"; ","")&amp;IF(AND(BY20="✓",BY$4&lt;&gt;""),BY$4&amp;"; ","")&amp;IF(AND(BZ20="✓",BZ$4&lt;&gt;""),BZ$4&amp;"; ","")&amp;IF(AND(CA20="✓",CA$4&lt;&gt;""),CA$4&amp;"; ","")&amp;IF(AND(CB20="✓",CB$4&lt;&gt;""),CB$4&amp;"; ","")&amp;IF(AND(CC20="✓",CC$4&lt;&gt;""),CC$4&amp;"; ","")&amp;IF(AND(CD20="✓",CD$4&lt;&gt;""),CD$4&amp;"; ","")&amp;IF(AND(CE20="✓",CE$4&lt;&gt;""),CE$4&amp;"; ","")&amp;IF(AND(CF20="✓",CF$4&lt;&gt;""),CF$4&amp;"; ","")&amp;IF(AND(CG20="✓",CG$4&lt;&gt;""),CG$4&amp;"; ","")&amp;IF(AND(CH20="✓",CH$4&lt;&gt;""),CH$4&amp;"; ","")&amp;IF(AND(CI20="✓",CI$4&lt;&gt;""),CI$4&amp;"; ","")&amp;IF(AND(CJ20="✓",CJ$4&lt;&gt;""),CJ$4&amp;"; ","")&amp;IF(AND(CK20="✓",CK$4&lt;&gt;""),CK$4&amp;"; ","")&amp;IF(AND(CL20="✓",CL$4&lt;&gt;""),CL$4&amp;"; ","")&amp;IF(AND(CM20="✓",CM$4&lt;&gt;""),CM$4&amp;"; ","")&amp;IF(AND(CN20="✓",CN$4&lt;&gt;""),CN$4&amp;"; ","")&amp;IF(AND(CO20="✓",CO$4&lt;&gt;""),CO$4&amp;"; ","")</f>
        <v>OPP-07; OPP-10; OPP-12; </v>
      </c>
      <c r="CQ20" s="104" t="str">
        <f aca="false">IF($CP20="","",LEFT($CP20,LEN($CP20)-2))</f>
        <v>OPP-07; OPP-10; OPP-12</v>
      </c>
      <c r="CR20" s="234" t="n">
        <f aca="false">IF($A20="","",COUNTIF($D20:$CO20,"✓"))</f>
        <v>3</v>
      </c>
    </row>
    <row r="21" customFormat="false" ht="21.75" hidden="false" customHeight="true" outlineLevel="0" collapsed="false">
      <c r="A21" s="231" t="str">
        <f aca="false">IF(03_能力總表_Master!$A21="","",03_能力總表_Master!$A21)</f>
        <v>CAP-017</v>
      </c>
      <c r="B21" s="166" t="str">
        <f aca="false">IF(03_能力總表_Master!$A21="","",03_能力總表_Master!$B21)</f>
        <v>D03 醫院設施與機電</v>
      </c>
      <c r="C21" s="95" t="str">
        <f aca="false">IF(03_能力總表_Master!$A21="","",03_能力總表_Master!$E21)</f>
        <v>醫療氣體與關鍵公用系統</v>
      </c>
      <c r="D21" s="232"/>
      <c r="E21" s="232"/>
      <c r="F21" s="232"/>
      <c r="G21" s="232"/>
      <c r="H21" s="232"/>
      <c r="I21" s="232"/>
      <c r="J21" s="232" t="s">
        <v>1305</v>
      </c>
      <c r="K21" s="232" t="s">
        <v>1305</v>
      </c>
      <c r="L21" s="232" t="s">
        <v>1305</v>
      </c>
      <c r="M21" s="232"/>
      <c r="N21" s="232"/>
      <c r="O21" s="232"/>
      <c r="P21" s="232"/>
      <c r="Q21" s="232"/>
      <c r="R21" s="232"/>
      <c r="S21" s="232"/>
      <c r="T21" s="232"/>
      <c r="U21" s="232"/>
      <c r="V21" s="232"/>
      <c r="W21" s="232"/>
      <c r="X21" s="232"/>
      <c r="Y21" s="232"/>
      <c r="Z21" s="232"/>
      <c r="AA21" s="232"/>
      <c r="AB21" s="232"/>
      <c r="AC21" s="232"/>
      <c r="AD21" s="232"/>
      <c r="AE21" s="232"/>
      <c r="AF21" s="232"/>
      <c r="AG21" s="232"/>
      <c r="AH21" s="232"/>
      <c r="AI21" s="232"/>
      <c r="AJ21" s="232"/>
      <c r="AK21" s="232"/>
      <c r="AL21" s="232"/>
      <c r="AM21" s="232"/>
      <c r="AN21" s="232"/>
      <c r="AO21" s="232"/>
      <c r="AP21" s="232"/>
      <c r="AQ21" s="232"/>
      <c r="AR21" s="232"/>
      <c r="AS21" s="232"/>
      <c r="AT21" s="232"/>
      <c r="AU21" s="232"/>
      <c r="AV21" s="232"/>
      <c r="AW21" s="232"/>
      <c r="AX21" s="232"/>
      <c r="AY21" s="232"/>
      <c r="AZ21" s="232"/>
      <c r="BA21" s="232"/>
      <c r="BB21" s="232"/>
      <c r="BC21" s="232"/>
      <c r="BD21" s="232"/>
      <c r="BE21" s="232"/>
      <c r="BF21" s="232"/>
      <c r="BG21" s="232"/>
      <c r="BH21" s="232"/>
      <c r="BI21" s="232"/>
      <c r="BJ21" s="232"/>
      <c r="BK21" s="232"/>
      <c r="BL21" s="232"/>
      <c r="BM21" s="232"/>
      <c r="BN21" s="232"/>
      <c r="BO21" s="232"/>
      <c r="BP21" s="232"/>
      <c r="BQ21" s="232"/>
      <c r="BR21" s="232"/>
      <c r="BS21" s="232"/>
      <c r="BT21" s="232"/>
      <c r="BU21" s="232"/>
      <c r="BV21" s="232"/>
      <c r="BW21" s="232"/>
      <c r="BX21" s="232"/>
      <c r="BY21" s="232"/>
      <c r="BZ21" s="232"/>
      <c r="CA21" s="232"/>
      <c r="CB21" s="232"/>
      <c r="CC21" s="232"/>
      <c r="CD21" s="232"/>
      <c r="CE21" s="232"/>
      <c r="CF21" s="232"/>
      <c r="CG21" s="232"/>
      <c r="CH21" s="232"/>
      <c r="CI21" s="232"/>
      <c r="CJ21" s="232"/>
      <c r="CK21" s="232"/>
      <c r="CL21" s="232"/>
      <c r="CM21" s="232"/>
      <c r="CN21" s="232"/>
      <c r="CO21" s="232"/>
      <c r="CP21" s="233" t="str">
        <f aca="false">IF(AND(D21="✓",D$4&lt;&gt;""),D$4&amp;"; ","")&amp;IF(AND(E21="✓",E$4&lt;&gt;""),E$4&amp;"; ","")&amp;IF(AND(F21="✓",F$4&lt;&gt;""),F$4&amp;"; ","")&amp;IF(AND(G21="✓",G$4&lt;&gt;""),G$4&amp;"; ","")&amp;IF(AND(H21="✓",H$4&lt;&gt;""),H$4&amp;"; ","")&amp;IF(AND(I21="✓",I$4&lt;&gt;""),I$4&amp;"; ","")&amp;IF(AND(J21="✓",J$4&lt;&gt;""),J$4&amp;"; ","")&amp;IF(AND(K21="✓",K$4&lt;&gt;""),K$4&amp;"; ","")&amp;IF(AND(L21="✓",L$4&lt;&gt;""),L$4&amp;"; ","")&amp;IF(AND(M21="✓",M$4&lt;&gt;""),M$4&amp;"; ","")&amp;IF(AND(N21="✓",N$4&lt;&gt;""),N$4&amp;"; ","")&amp;IF(AND(O21="✓",O$4&lt;&gt;""),O$4&amp;"; ","")&amp;IF(AND(P21="✓",P$4&lt;&gt;""),P$4&amp;"; ","")&amp;IF(AND(Q21="✓",Q$4&lt;&gt;""),Q$4&amp;"; ","")&amp;IF(AND(R21="✓",R$4&lt;&gt;""),R$4&amp;"; ","")&amp;IF(AND(S21="✓",S$4&lt;&gt;""),S$4&amp;"; ","")&amp;IF(AND(T21="✓",T$4&lt;&gt;""),T$4&amp;"; ","")&amp;IF(AND(U21="✓",U$4&lt;&gt;""),U$4&amp;"; ","")&amp;IF(AND(V21="✓",V$4&lt;&gt;""),V$4&amp;"; ","")&amp;IF(AND(W21="✓",W$4&lt;&gt;""),W$4&amp;"; ","")&amp;IF(AND(X21="✓",X$4&lt;&gt;""),X$4&amp;"; ","")&amp;IF(AND(Y21="✓",Y$4&lt;&gt;""),Y$4&amp;"; ","")&amp;IF(AND(Z21="✓",Z$4&lt;&gt;""),Z$4&amp;"; ","")&amp;IF(AND(AA21="✓",AA$4&lt;&gt;""),AA$4&amp;"; ","")&amp;IF(AND(AB21="✓",AB$4&lt;&gt;""),AB$4&amp;"; ","")&amp;IF(AND(AC21="✓",AC$4&lt;&gt;""),AC$4&amp;"; ","")&amp;IF(AND(AD21="✓",AD$4&lt;&gt;""),AD$4&amp;"; ","")&amp;IF(AND(AE21="✓",AE$4&lt;&gt;""),AE$4&amp;"; ","")&amp;IF(AND(AF21="✓",AF$4&lt;&gt;""),AF$4&amp;"; ","")&amp;IF(AND(AG21="✓",AG$4&lt;&gt;""),AG$4&amp;"; ","")&amp;IF(AND(AH21="✓",AH$4&lt;&gt;""),AH$4&amp;"; ","")&amp;IF(AND(AI21="✓",AI$4&lt;&gt;""),AI$4&amp;"; ","")&amp;IF(AND(AJ21="✓",AJ$4&lt;&gt;""),AJ$4&amp;"; ","")&amp;IF(AND(AK21="✓",AK$4&lt;&gt;""),AK$4&amp;"; ","")&amp;IF(AND(AL21="✓",AL$4&lt;&gt;""),AL$4&amp;"; ","")&amp;IF(AND(AM21="✓",AM$4&lt;&gt;""),AM$4&amp;"; ","")&amp;IF(AND(AN21="✓",AN$4&lt;&gt;""),AN$4&amp;"; ","")&amp;IF(AND(AO21="✓",AO$4&lt;&gt;""),AO$4&amp;"; ","")&amp;IF(AND(AP21="✓",AP$4&lt;&gt;""),AP$4&amp;"; ","")&amp;IF(AND(AQ21="✓",AQ$4&lt;&gt;""),AQ$4&amp;"; ","")&amp;IF(AND(AR21="✓",AR$4&lt;&gt;""),AR$4&amp;"; ","")&amp;IF(AND(AS21="✓",AS$4&lt;&gt;""),AS$4&amp;"; ","")&amp;IF(AND(AT21="✓",AT$4&lt;&gt;""),AT$4&amp;"; ","")&amp;IF(AND(AU21="✓",AU$4&lt;&gt;""),AU$4&amp;"; ","")&amp;IF(AND(AV21="✓",AV$4&lt;&gt;""),AV$4&amp;"; ","")&amp;IF(AND(AW21="✓",AW$4&lt;&gt;""),AW$4&amp;"; ","")&amp;IF(AND(AX21="✓",AX$4&lt;&gt;""),AX$4&amp;"; ","")&amp;IF(AND(AY21="✓",AY$4&lt;&gt;""),AY$4&amp;"; ","")&amp;IF(AND(AZ21="✓",AZ$4&lt;&gt;""),AZ$4&amp;"; ","")&amp;IF(AND(BA21="✓",BA$4&lt;&gt;""),BA$4&amp;"; ","")&amp;IF(AND(BB21="✓",BB$4&lt;&gt;""),BB$4&amp;"; ","")&amp;IF(AND(BC21="✓",BC$4&lt;&gt;""),BC$4&amp;"; ","")&amp;IF(AND(BD21="✓",BD$4&lt;&gt;""),BD$4&amp;"; ","")&amp;IF(AND(BE21="✓",BE$4&lt;&gt;""),BE$4&amp;"; ","")&amp;IF(AND(BF21="✓",BF$4&lt;&gt;""),BF$4&amp;"; ","")&amp;IF(AND(BG21="✓",BG$4&lt;&gt;""),BG$4&amp;"; ","")&amp;IF(AND(BH21="✓",BH$4&lt;&gt;""),BH$4&amp;"; ","")&amp;IF(AND(BI21="✓",BI$4&lt;&gt;""),BI$4&amp;"; ","")&amp;IF(AND(BJ21="✓",BJ$4&lt;&gt;""),BJ$4&amp;"; ","")&amp;IF(AND(BK21="✓",BK$4&lt;&gt;""),BK$4&amp;"; ","")&amp;IF(AND(BL21="✓",BL$4&lt;&gt;""),BL$4&amp;"; ","")&amp;IF(AND(BM21="✓",BM$4&lt;&gt;""),BM$4&amp;"; ","")&amp;IF(AND(BN21="✓",BN$4&lt;&gt;""),BN$4&amp;"; ","")&amp;IF(AND(BO21="✓",BO$4&lt;&gt;""),BO$4&amp;"; ","")&amp;IF(AND(BP21="✓",BP$4&lt;&gt;""),BP$4&amp;"; ","")&amp;IF(AND(BQ21="✓",BQ$4&lt;&gt;""),BQ$4&amp;"; ","")&amp;IF(AND(BR21="✓",BR$4&lt;&gt;""),BR$4&amp;"; ","")&amp;IF(AND(BS21="✓",BS$4&lt;&gt;""),BS$4&amp;"; ","")&amp;IF(AND(BT21="✓",BT$4&lt;&gt;""),BT$4&amp;"; ","")&amp;IF(AND(BU21="✓",BU$4&lt;&gt;""),BU$4&amp;"; ","")&amp;IF(AND(BV21="✓",BV$4&lt;&gt;""),BV$4&amp;"; ","")&amp;IF(AND(BW21="✓",BW$4&lt;&gt;""),BW$4&amp;"; ","")&amp;IF(AND(BX21="✓",BX$4&lt;&gt;""),BX$4&amp;"; ","")&amp;IF(AND(BY21="✓",BY$4&lt;&gt;""),BY$4&amp;"; ","")&amp;IF(AND(BZ21="✓",BZ$4&lt;&gt;""),BZ$4&amp;"; ","")&amp;IF(AND(CA21="✓",CA$4&lt;&gt;""),CA$4&amp;"; ","")&amp;IF(AND(CB21="✓",CB$4&lt;&gt;""),CB$4&amp;"; ","")&amp;IF(AND(CC21="✓",CC$4&lt;&gt;""),CC$4&amp;"; ","")&amp;IF(AND(CD21="✓",CD$4&lt;&gt;""),CD$4&amp;"; ","")&amp;IF(AND(CE21="✓",CE$4&lt;&gt;""),CE$4&amp;"; ","")&amp;IF(AND(CF21="✓",CF$4&lt;&gt;""),CF$4&amp;"; ","")&amp;IF(AND(CG21="✓",CG$4&lt;&gt;""),CG$4&amp;"; ","")&amp;IF(AND(CH21="✓",CH$4&lt;&gt;""),CH$4&amp;"; ","")&amp;IF(AND(CI21="✓",CI$4&lt;&gt;""),CI$4&amp;"; ","")&amp;IF(AND(CJ21="✓",CJ$4&lt;&gt;""),CJ$4&amp;"; ","")&amp;IF(AND(CK21="✓",CK$4&lt;&gt;""),CK$4&amp;"; ","")&amp;IF(AND(CL21="✓",CL$4&lt;&gt;""),CL$4&amp;"; ","")&amp;IF(AND(CM21="✓",CM$4&lt;&gt;""),CM$4&amp;"; ","")&amp;IF(AND(CN21="✓",CN$4&lt;&gt;""),CN$4&amp;"; ","")&amp;IF(AND(CO21="✓",CO$4&lt;&gt;""),CO$4&amp;"; ","")</f>
        <v>OPP-07; OPP-08; OPP-09; </v>
      </c>
      <c r="CQ21" s="104" t="str">
        <f aca="false">IF($CP21="","",LEFT($CP21,LEN($CP21)-2))</f>
        <v>OPP-07; OPP-08; OPP-09</v>
      </c>
      <c r="CR21" s="234" t="n">
        <f aca="false">IF($A21="","",COUNTIF($D21:$CO21,"✓"))</f>
        <v>3</v>
      </c>
    </row>
    <row r="22" customFormat="false" ht="21.75" hidden="false" customHeight="true" outlineLevel="0" collapsed="false">
      <c r="A22" s="231" t="str">
        <f aca="false">IF(03_能力總表_Master!$A22="","",03_能力總表_Master!$A22)</f>
        <v>CAP-018</v>
      </c>
      <c r="B22" s="166" t="str">
        <f aca="false">IF(03_能力總表_Master!$A22="","",03_能力總表_Master!$B22)</f>
        <v>D03 醫院設施與機電</v>
      </c>
      <c r="C22" s="95" t="str">
        <f aca="false">IF(03_能力總表_Master!$A22="","",03_能力總表_Master!$E22)</f>
        <v>醫療廢棄物與水資源</v>
      </c>
      <c r="D22" s="232"/>
      <c r="E22" s="232"/>
      <c r="F22" s="232"/>
      <c r="G22" s="232"/>
      <c r="H22" s="232"/>
      <c r="I22" s="232"/>
      <c r="J22" s="232" t="s">
        <v>1305</v>
      </c>
      <c r="K22" s="232"/>
      <c r="L22" s="232"/>
      <c r="M22" s="232"/>
      <c r="N22" s="232" t="s">
        <v>1305</v>
      </c>
      <c r="O22" s="232"/>
      <c r="P22" s="232"/>
      <c r="Q22" s="232"/>
      <c r="R22" s="232"/>
      <c r="S22" s="232"/>
      <c r="T22" s="232"/>
      <c r="U22" s="232"/>
      <c r="V22" s="232"/>
      <c r="W22" s="232"/>
      <c r="X22" s="232"/>
      <c r="Y22" s="232"/>
      <c r="Z22" s="232"/>
      <c r="AA22" s="232"/>
      <c r="AB22" s="232"/>
      <c r="AC22" s="232"/>
      <c r="AD22" s="232"/>
      <c r="AE22" s="232"/>
      <c r="AF22" s="232"/>
      <c r="AG22" s="232"/>
      <c r="AH22" s="232"/>
      <c r="AI22" s="232"/>
      <c r="AJ22" s="232"/>
      <c r="AK22" s="232"/>
      <c r="AL22" s="232"/>
      <c r="AM22" s="232"/>
      <c r="AN22" s="232"/>
      <c r="AO22" s="232"/>
      <c r="AP22" s="232"/>
      <c r="AQ22" s="232"/>
      <c r="AR22" s="232"/>
      <c r="AS22" s="232"/>
      <c r="AT22" s="232"/>
      <c r="AU22" s="232"/>
      <c r="AV22" s="232"/>
      <c r="AW22" s="232"/>
      <c r="AX22" s="232"/>
      <c r="AY22" s="232"/>
      <c r="AZ22" s="232"/>
      <c r="BA22" s="232"/>
      <c r="BB22" s="232"/>
      <c r="BC22" s="232"/>
      <c r="BD22" s="232"/>
      <c r="BE22" s="232"/>
      <c r="BF22" s="232"/>
      <c r="BG22" s="232"/>
      <c r="BH22" s="232"/>
      <c r="BI22" s="232"/>
      <c r="BJ22" s="232"/>
      <c r="BK22" s="232"/>
      <c r="BL22" s="232"/>
      <c r="BM22" s="232"/>
      <c r="BN22" s="232"/>
      <c r="BO22" s="232"/>
      <c r="BP22" s="232"/>
      <c r="BQ22" s="232"/>
      <c r="BR22" s="232"/>
      <c r="BS22" s="232"/>
      <c r="BT22" s="232" t="s">
        <v>1305</v>
      </c>
      <c r="BU22" s="232"/>
      <c r="BV22" s="232"/>
      <c r="BW22" s="232"/>
      <c r="BX22" s="232"/>
      <c r="BY22" s="232"/>
      <c r="BZ22" s="232"/>
      <c r="CA22" s="232"/>
      <c r="CB22" s="232"/>
      <c r="CC22" s="232"/>
      <c r="CD22" s="232"/>
      <c r="CE22" s="232"/>
      <c r="CF22" s="232"/>
      <c r="CG22" s="232"/>
      <c r="CH22" s="232"/>
      <c r="CI22" s="232"/>
      <c r="CJ22" s="232"/>
      <c r="CK22" s="232"/>
      <c r="CL22" s="232"/>
      <c r="CM22" s="232"/>
      <c r="CN22" s="232"/>
      <c r="CO22" s="232"/>
      <c r="CP22" s="233" t="str">
        <f aca="false">IF(AND(D22="✓",D$4&lt;&gt;""),D$4&amp;"; ","")&amp;IF(AND(E22="✓",E$4&lt;&gt;""),E$4&amp;"; ","")&amp;IF(AND(F22="✓",F$4&lt;&gt;""),F$4&amp;"; ","")&amp;IF(AND(G22="✓",G$4&lt;&gt;""),G$4&amp;"; ","")&amp;IF(AND(H22="✓",H$4&lt;&gt;""),H$4&amp;"; ","")&amp;IF(AND(I22="✓",I$4&lt;&gt;""),I$4&amp;"; ","")&amp;IF(AND(J22="✓",J$4&lt;&gt;""),J$4&amp;"; ","")&amp;IF(AND(K22="✓",K$4&lt;&gt;""),K$4&amp;"; ","")&amp;IF(AND(L22="✓",L$4&lt;&gt;""),L$4&amp;"; ","")&amp;IF(AND(M22="✓",M$4&lt;&gt;""),M$4&amp;"; ","")&amp;IF(AND(N22="✓",N$4&lt;&gt;""),N$4&amp;"; ","")&amp;IF(AND(O22="✓",O$4&lt;&gt;""),O$4&amp;"; ","")&amp;IF(AND(P22="✓",P$4&lt;&gt;""),P$4&amp;"; ","")&amp;IF(AND(Q22="✓",Q$4&lt;&gt;""),Q$4&amp;"; ","")&amp;IF(AND(R22="✓",R$4&lt;&gt;""),R$4&amp;"; ","")&amp;IF(AND(S22="✓",S$4&lt;&gt;""),S$4&amp;"; ","")&amp;IF(AND(T22="✓",T$4&lt;&gt;""),T$4&amp;"; ","")&amp;IF(AND(U22="✓",U$4&lt;&gt;""),U$4&amp;"; ","")&amp;IF(AND(V22="✓",V$4&lt;&gt;""),V$4&amp;"; ","")&amp;IF(AND(W22="✓",W$4&lt;&gt;""),W$4&amp;"; ","")&amp;IF(AND(X22="✓",X$4&lt;&gt;""),X$4&amp;"; ","")&amp;IF(AND(Y22="✓",Y$4&lt;&gt;""),Y$4&amp;"; ","")&amp;IF(AND(Z22="✓",Z$4&lt;&gt;""),Z$4&amp;"; ","")&amp;IF(AND(AA22="✓",AA$4&lt;&gt;""),AA$4&amp;"; ","")&amp;IF(AND(AB22="✓",AB$4&lt;&gt;""),AB$4&amp;"; ","")&amp;IF(AND(AC22="✓",AC$4&lt;&gt;""),AC$4&amp;"; ","")&amp;IF(AND(AD22="✓",AD$4&lt;&gt;""),AD$4&amp;"; ","")&amp;IF(AND(AE22="✓",AE$4&lt;&gt;""),AE$4&amp;"; ","")&amp;IF(AND(AF22="✓",AF$4&lt;&gt;""),AF$4&amp;"; ","")&amp;IF(AND(AG22="✓",AG$4&lt;&gt;""),AG$4&amp;"; ","")&amp;IF(AND(AH22="✓",AH$4&lt;&gt;""),AH$4&amp;"; ","")&amp;IF(AND(AI22="✓",AI$4&lt;&gt;""),AI$4&amp;"; ","")&amp;IF(AND(AJ22="✓",AJ$4&lt;&gt;""),AJ$4&amp;"; ","")&amp;IF(AND(AK22="✓",AK$4&lt;&gt;""),AK$4&amp;"; ","")&amp;IF(AND(AL22="✓",AL$4&lt;&gt;""),AL$4&amp;"; ","")&amp;IF(AND(AM22="✓",AM$4&lt;&gt;""),AM$4&amp;"; ","")&amp;IF(AND(AN22="✓",AN$4&lt;&gt;""),AN$4&amp;"; ","")&amp;IF(AND(AO22="✓",AO$4&lt;&gt;""),AO$4&amp;"; ","")&amp;IF(AND(AP22="✓",AP$4&lt;&gt;""),AP$4&amp;"; ","")&amp;IF(AND(AQ22="✓",AQ$4&lt;&gt;""),AQ$4&amp;"; ","")&amp;IF(AND(AR22="✓",AR$4&lt;&gt;""),AR$4&amp;"; ","")&amp;IF(AND(AS22="✓",AS$4&lt;&gt;""),AS$4&amp;"; ","")&amp;IF(AND(AT22="✓",AT$4&lt;&gt;""),AT$4&amp;"; ","")&amp;IF(AND(AU22="✓",AU$4&lt;&gt;""),AU$4&amp;"; ","")&amp;IF(AND(AV22="✓",AV$4&lt;&gt;""),AV$4&amp;"; ","")&amp;IF(AND(AW22="✓",AW$4&lt;&gt;""),AW$4&amp;"; ","")&amp;IF(AND(AX22="✓",AX$4&lt;&gt;""),AX$4&amp;"; ","")&amp;IF(AND(AY22="✓",AY$4&lt;&gt;""),AY$4&amp;"; ","")&amp;IF(AND(AZ22="✓",AZ$4&lt;&gt;""),AZ$4&amp;"; ","")&amp;IF(AND(BA22="✓",BA$4&lt;&gt;""),BA$4&amp;"; ","")&amp;IF(AND(BB22="✓",BB$4&lt;&gt;""),BB$4&amp;"; ","")&amp;IF(AND(BC22="✓",BC$4&lt;&gt;""),BC$4&amp;"; ","")&amp;IF(AND(BD22="✓",BD$4&lt;&gt;""),BD$4&amp;"; ","")&amp;IF(AND(BE22="✓",BE$4&lt;&gt;""),BE$4&amp;"; ","")&amp;IF(AND(BF22="✓",BF$4&lt;&gt;""),BF$4&amp;"; ","")&amp;IF(AND(BG22="✓",BG$4&lt;&gt;""),BG$4&amp;"; ","")&amp;IF(AND(BH22="✓",BH$4&lt;&gt;""),BH$4&amp;"; ","")&amp;IF(AND(BI22="✓",BI$4&lt;&gt;""),BI$4&amp;"; ","")&amp;IF(AND(BJ22="✓",BJ$4&lt;&gt;""),BJ$4&amp;"; ","")&amp;IF(AND(BK22="✓",BK$4&lt;&gt;""),BK$4&amp;"; ","")&amp;IF(AND(BL22="✓",BL$4&lt;&gt;""),BL$4&amp;"; ","")&amp;IF(AND(BM22="✓",BM$4&lt;&gt;""),BM$4&amp;"; ","")&amp;IF(AND(BN22="✓",BN$4&lt;&gt;""),BN$4&amp;"; ","")&amp;IF(AND(BO22="✓",BO$4&lt;&gt;""),BO$4&amp;"; ","")&amp;IF(AND(BP22="✓",BP$4&lt;&gt;""),BP$4&amp;"; ","")&amp;IF(AND(BQ22="✓",BQ$4&lt;&gt;""),BQ$4&amp;"; ","")&amp;IF(AND(BR22="✓",BR$4&lt;&gt;""),BR$4&amp;"; ","")&amp;IF(AND(BS22="✓",BS$4&lt;&gt;""),BS$4&amp;"; ","")&amp;IF(AND(BT22="✓",BT$4&lt;&gt;""),BT$4&amp;"; ","")&amp;IF(AND(BU22="✓",BU$4&lt;&gt;""),BU$4&amp;"; ","")&amp;IF(AND(BV22="✓",BV$4&lt;&gt;""),BV$4&amp;"; ","")&amp;IF(AND(BW22="✓",BW$4&lt;&gt;""),BW$4&amp;"; ","")&amp;IF(AND(BX22="✓",BX$4&lt;&gt;""),BX$4&amp;"; ","")&amp;IF(AND(BY22="✓",BY$4&lt;&gt;""),BY$4&amp;"; ","")&amp;IF(AND(BZ22="✓",BZ$4&lt;&gt;""),BZ$4&amp;"; ","")&amp;IF(AND(CA22="✓",CA$4&lt;&gt;""),CA$4&amp;"; ","")&amp;IF(AND(CB22="✓",CB$4&lt;&gt;""),CB$4&amp;"; ","")&amp;IF(AND(CC22="✓",CC$4&lt;&gt;""),CC$4&amp;"; ","")&amp;IF(AND(CD22="✓",CD$4&lt;&gt;""),CD$4&amp;"; ","")&amp;IF(AND(CE22="✓",CE$4&lt;&gt;""),CE$4&amp;"; ","")&amp;IF(AND(CF22="✓",CF$4&lt;&gt;""),CF$4&amp;"; ","")&amp;IF(AND(CG22="✓",CG$4&lt;&gt;""),CG$4&amp;"; ","")&amp;IF(AND(CH22="✓",CH$4&lt;&gt;""),CH$4&amp;"; ","")&amp;IF(AND(CI22="✓",CI$4&lt;&gt;""),CI$4&amp;"; ","")&amp;IF(AND(CJ22="✓",CJ$4&lt;&gt;""),CJ$4&amp;"; ","")&amp;IF(AND(CK22="✓",CK$4&lt;&gt;""),CK$4&amp;"; ","")&amp;IF(AND(CL22="✓",CL$4&lt;&gt;""),CL$4&amp;"; ","")&amp;IF(AND(CM22="✓",CM$4&lt;&gt;""),CM$4&amp;"; ","")&amp;IF(AND(CN22="✓",CN$4&lt;&gt;""),CN$4&amp;"; ","")&amp;IF(AND(CO22="✓",CO$4&lt;&gt;""),CO$4&amp;"; ","")</f>
        <v>OPP-07; OPP-11; OPP-69; </v>
      </c>
      <c r="CQ22" s="104" t="str">
        <f aca="false">IF($CP22="","",LEFT($CP22,LEN($CP22)-2))</f>
        <v>OPP-07; OPP-11; OPP-69</v>
      </c>
      <c r="CR22" s="234" t="n">
        <f aca="false">IF($A22="","",COUNTIF($D22:$CO22,"✓"))</f>
        <v>3</v>
      </c>
    </row>
    <row r="23" customFormat="false" ht="21.75" hidden="false" customHeight="true" outlineLevel="0" collapsed="false">
      <c r="A23" s="231" t="str">
        <f aca="false">IF(03_能力總表_Master!$A23="","",03_能力總表_Master!$A23)</f>
        <v>CAP-019</v>
      </c>
      <c r="B23" s="166" t="str">
        <f aca="false">IF(03_能力總表_Master!$A23="","",03_能力總表_Master!$B23)</f>
        <v>D03 醫院設施與機電</v>
      </c>
      <c r="C23" s="95" t="str">
        <f aca="false">IF(03_能力總表_Master!$A23="","",03_能力總表_Master!$E23)</f>
        <v>綠色與氣候韌性醫院</v>
      </c>
      <c r="D23" s="232"/>
      <c r="E23" s="232"/>
      <c r="F23" s="232"/>
      <c r="G23" s="232"/>
      <c r="H23" s="232"/>
      <c r="I23" s="232" t="s">
        <v>1305</v>
      </c>
      <c r="J23" s="232"/>
      <c r="K23" s="232"/>
      <c r="L23" s="232"/>
      <c r="M23" s="232"/>
      <c r="N23" s="232"/>
      <c r="O23" s="232" t="s">
        <v>1305</v>
      </c>
      <c r="P23" s="232"/>
      <c r="Q23" s="232"/>
      <c r="R23" s="232"/>
      <c r="S23" s="232"/>
      <c r="T23" s="232"/>
      <c r="U23" s="232"/>
      <c r="V23" s="232"/>
      <c r="W23" s="232"/>
      <c r="X23" s="232"/>
      <c r="Y23" s="232"/>
      <c r="Z23" s="232"/>
      <c r="AA23" s="232"/>
      <c r="AB23" s="232"/>
      <c r="AC23" s="232"/>
      <c r="AD23" s="232"/>
      <c r="AE23" s="232"/>
      <c r="AF23" s="232"/>
      <c r="AG23" s="232"/>
      <c r="AH23" s="232"/>
      <c r="AI23" s="232"/>
      <c r="AJ23" s="232"/>
      <c r="AK23" s="232"/>
      <c r="AL23" s="232"/>
      <c r="AM23" s="232"/>
      <c r="AN23" s="232"/>
      <c r="AO23" s="232"/>
      <c r="AP23" s="232"/>
      <c r="AQ23" s="232"/>
      <c r="AR23" s="232"/>
      <c r="AS23" s="232"/>
      <c r="AT23" s="232"/>
      <c r="AU23" s="232"/>
      <c r="AV23" s="232"/>
      <c r="AW23" s="232"/>
      <c r="AX23" s="232"/>
      <c r="AY23" s="232"/>
      <c r="AZ23" s="232"/>
      <c r="BA23" s="232"/>
      <c r="BB23" s="232"/>
      <c r="BC23" s="232"/>
      <c r="BD23" s="232"/>
      <c r="BE23" s="232"/>
      <c r="BF23" s="232"/>
      <c r="BG23" s="232"/>
      <c r="BH23" s="232"/>
      <c r="BI23" s="232"/>
      <c r="BJ23" s="232"/>
      <c r="BK23" s="232"/>
      <c r="BL23" s="232"/>
      <c r="BM23" s="232"/>
      <c r="BN23" s="232"/>
      <c r="BO23" s="232"/>
      <c r="BP23" s="232"/>
      <c r="BQ23" s="232"/>
      <c r="BR23" s="232"/>
      <c r="BS23" s="232"/>
      <c r="BT23" s="232"/>
      <c r="BU23" s="232"/>
      <c r="BV23" s="232"/>
      <c r="BW23" s="232"/>
      <c r="BX23" s="232"/>
      <c r="BY23" s="232"/>
      <c r="BZ23" s="232"/>
      <c r="CA23" s="232"/>
      <c r="CB23" s="232"/>
      <c r="CC23" s="232"/>
      <c r="CD23" s="232"/>
      <c r="CE23" s="232"/>
      <c r="CF23" s="232"/>
      <c r="CG23" s="232"/>
      <c r="CH23" s="232"/>
      <c r="CI23" s="232"/>
      <c r="CJ23" s="232"/>
      <c r="CK23" s="232"/>
      <c r="CL23" s="232"/>
      <c r="CM23" s="232"/>
      <c r="CN23" s="232"/>
      <c r="CO23" s="232"/>
      <c r="CP23" s="233" t="str">
        <f aca="false">IF(AND(D23="✓",D$4&lt;&gt;""),D$4&amp;"; ","")&amp;IF(AND(E23="✓",E$4&lt;&gt;""),E$4&amp;"; ","")&amp;IF(AND(F23="✓",F$4&lt;&gt;""),F$4&amp;"; ","")&amp;IF(AND(G23="✓",G$4&lt;&gt;""),G$4&amp;"; ","")&amp;IF(AND(H23="✓",H$4&lt;&gt;""),H$4&amp;"; ","")&amp;IF(AND(I23="✓",I$4&lt;&gt;""),I$4&amp;"; ","")&amp;IF(AND(J23="✓",J$4&lt;&gt;""),J$4&amp;"; ","")&amp;IF(AND(K23="✓",K$4&lt;&gt;""),K$4&amp;"; ","")&amp;IF(AND(L23="✓",L$4&lt;&gt;""),L$4&amp;"; ","")&amp;IF(AND(M23="✓",M$4&lt;&gt;""),M$4&amp;"; ","")&amp;IF(AND(N23="✓",N$4&lt;&gt;""),N$4&amp;"; ","")&amp;IF(AND(O23="✓",O$4&lt;&gt;""),O$4&amp;"; ","")&amp;IF(AND(P23="✓",P$4&lt;&gt;""),P$4&amp;"; ","")&amp;IF(AND(Q23="✓",Q$4&lt;&gt;""),Q$4&amp;"; ","")&amp;IF(AND(R23="✓",R$4&lt;&gt;""),R$4&amp;"; ","")&amp;IF(AND(S23="✓",S$4&lt;&gt;""),S$4&amp;"; ","")&amp;IF(AND(T23="✓",T$4&lt;&gt;""),T$4&amp;"; ","")&amp;IF(AND(U23="✓",U$4&lt;&gt;""),U$4&amp;"; ","")&amp;IF(AND(V23="✓",V$4&lt;&gt;""),V$4&amp;"; ","")&amp;IF(AND(W23="✓",W$4&lt;&gt;""),W$4&amp;"; ","")&amp;IF(AND(X23="✓",X$4&lt;&gt;""),X$4&amp;"; ","")&amp;IF(AND(Y23="✓",Y$4&lt;&gt;""),Y$4&amp;"; ","")&amp;IF(AND(Z23="✓",Z$4&lt;&gt;""),Z$4&amp;"; ","")&amp;IF(AND(AA23="✓",AA$4&lt;&gt;""),AA$4&amp;"; ","")&amp;IF(AND(AB23="✓",AB$4&lt;&gt;""),AB$4&amp;"; ","")&amp;IF(AND(AC23="✓",AC$4&lt;&gt;""),AC$4&amp;"; ","")&amp;IF(AND(AD23="✓",AD$4&lt;&gt;""),AD$4&amp;"; ","")&amp;IF(AND(AE23="✓",AE$4&lt;&gt;""),AE$4&amp;"; ","")&amp;IF(AND(AF23="✓",AF$4&lt;&gt;""),AF$4&amp;"; ","")&amp;IF(AND(AG23="✓",AG$4&lt;&gt;""),AG$4&amp;"; ","")&amp;IF(AND(AH23="✓",AH$4&lt;&gt;""),AH$4&amp;"; ","")&amp;IF(AND(AI23="✓",AI$4&lt;&gt;""),AI$4&amp;"; ","")&amp;IF(AND(AJ23="✓",AJ$4&lt;&gt;""),AJ$4&amp;"; ","")&amp;IF(AND(AK23="✓",AK$4&lt;&gt;""),AK$4&amp;"; ","")&amp;IF(AND(AL23="✓",AL$4&lt;&gt;""),AL$4&amp;"; ","")&amp;IF(AND(AM23="✓",AM$4&lt;&gt;""),AM$4&amp;"; ","")&amp;IF(AND(AN23="✓",AN$4&lt;&gt;""),AN$4&amp;"; ","")&amp;IF(AND(AO23="✓",AO$4&lt;&gt;""),AO$4&amp;"; ","")&amp;IF(AND(AP23="✓",AP$4&lt;&gt;""),AP$4&amp;"; ","")&amp;IF(AND(AQ23="✓",AQ$4&lt;&gt;""),AQ$4&amp;"; ","")&amp;IF(AND(AR23="✓",AR$4&lt;&gt;""),AR$4&amp;"; ","")&amp;IF(AND(AS23="✓",AS$4&lt;&gt;""),AS$4&amp;"; ","")&amp;IF(AND(AT23="✓",AT$4&lt;&gt;""),AT$4&amp;"; ","")&amp;IF(AND(AU23="✓",AU$4&lt;&gt;""),AU$4&amp;"; ","")&amp;IF(AND(AV23="✓",AV$4&lt;&gt;""),AV$4&amp;"; ","")&amp;IF(AND(AW23="✓",AW$4&lt;&gt;""),AW$4&amp;"; ","")&amp;IF(AND(AX23="✓",AX$4&lt;&gt;""),AX$4&amp;"; ","")&amp;IF(AND(AY23="✓",AY$4&lt;&gt;""),AY$4&amp;"; ","")&amp;IF(AND(AZ23="✓",AZ$4&lt;&gt;""),AZ$4&amp;"; ","")&amp;IF(AND(BA23="✓",BA$4&lt;&gt;""),BA$4&amp;"; ","")&amp;IF(AND(BB23="✓",BB$4&lt;&gt;""),BB$4&amp;"; ","")&amp;IF(AND(BC23="✓",BC$4&lt;&gt;""),BC$4&amp;"; ","")&amp;IF(AND(BD23="✓",BD$4&lt;&gt;""),BD$4&amp;"; ","")&amp;IF(AND(BE23="✓",BE$4&lt;&gt;""),BE$4&amp;"; ","")&amp;IF(AND(BF23="✓",BF$4&lt;&gt;""),BF$4&amp;"; ","")&amp;IF(AND(BG23="✓",BG$4&lt;&gt;""),BG$4&amp;"; ","")&amp;IF(AND(BH23="✓",BH$4&lt;&gt;""),BH$4&amp;"; ","")&amp;IF(AND(BI23="✓",BI$4&lt;&gt;""),BI$4&amp;"; ","")&amp;IF(AND(BJ23="✓",BJ$4&lt;&gt;""),BJ$4&amp;"; ","")&amp;IF(AND(BK23="✓",BK$4&lt;&gt;""),BK$4&amp;"; ","")&amp;IF(AND(BL23="✓",BL$4&lt;&gt;""),BL$4&amp;"; ","")&amp;IF(AND(BM23="✓",BM$4&lt;&gt;""),BM$4&amp;"; ","")&amp;IF(AND(BN23="✓",BN$4&lt;&gt;""),BN$4&amp;"; ","")&amp;IF(AND(BO23="✓",BO$4&lt;&gt;""),BO$4&amp;"; ","")&amp;IF(AND(BP23="✓",BP$4&lt;&gt;""),BP$4&amp;"; ","")&amp;IF(AND(BQ23="✓",BQ$4&lt;&gt;""),BQ$4&amp;"; ","")&amp;IF(AND(BR23="✓",BR$4&lt;&gt;""),BR$4&amp;"; ","")&amp;IF(AND(BS23="✓",BS$4&lt;&gt;""),BS$4&amp;"; ","")&amp;IF(AND(BT23="✓",BT$4&lt;&gt;""),BT$4&amp;"; ","")&amp;IF(AND(BU23="✓",BU$4&lt;&gt;""),BU$4&amp;"; ","")&amp;IF(AND(BV23="✓",BV$4&lt;&gt;""),BV$4&amp;"; ","")&amp;IF(AND(BW23="✓",BW$4&lt;&gt;""),BW$4&amp;"; ","")&amp;IF(AND(BX23="✓",BX$4&lt;&gt;""),BX$4&amp;"; ","")&amp;IF(AND(BY23="✓",BY$4&lt;&gt;""),BY$4&amp;"; ","")&amp;IF(AND(BZ23="✓",BZ$4&lt;&gt;""),BZ$4&amp;"; ","")&amp;IF(AND(CA23="✓",CA$4&lt;&gt;""),CA$4&amp;"; ","")&amp;IF(AND(CB23="✓",CB$4&lt;&gt;""),CB$4&amp;"; ","")&amp;IF(AND(CC23="✓",CC$4&lt;&gt;""),CC$4&amp;"; ","")&amp;IF(AND(CD23="✓",CD$4&lt;&gt;""),CD$4&amp;"; ","")&amp;IF(AND(CE23="✓",CE$4&lt;&gt;""),CE$4&amp;"; ","")&amp;IF(AND(CF23="✓",CF$4&lt;&gt;""),CF$4&amp;"; ","")&amp;IF(AND(CG23="✓",CG$4&lt;&gt;""),CG$4&amp;"; ","")&amp;IF(AND(CH23="✓",CH$4&lt;&gt;""),CH$4&amp;"; ","")&amp;IF(AND(CI23="✓",CI$4&lt;&gt;""),CI$4&amp;"; ","")&amp;IF(AND(CJ23="✓",CJ$4&lt;&gt;""),CJ$4&amp;"; ","")&amp;IF(AND(CK23="✓",CK$4&lt;&gt;""),CK$4&amp;"; ","")&amp;IF(AND(CL23="✓",CL$4&lt;&gt;""),CL$4&amp;"; ","")&amp;IF(AND(CM23="✓",CM$4&lt;&gt;""),CM$4&amp;"; ","")&amp;IF(AND(CN23="✓",CN$4&lt;&gt;""),CN$4&amp;"; ","")&amp;IF(AND(CO23="✓",CO$4&lt;&gt;""),CO$4&amp;"; ","")</f>
        <v>OPP-06; OPP-12; </v>
      </c>
      <c r="CQ23" s="104" t="str">
        <f aca="false">IF($CP23="","",LEFT($CP23,LEN($CP23)-2))</f>
        <v>OPP-06; OPP-12</v>
      </c>
      <c r="CR23" s="234" t="n">
        <f aca="false">IF($A23="","",COUNTIF($D23:$CO23,"✓"))</f>
        <v>2</v>
      </c>
    </row>
    <row r="24" customFormat="false" ht="21.75" hidden="false" customHeight="true" outlineLevel="0" collapsed="false">
      <c r="A24" s="231" t="str">
        <f aca="false">IF(03_能力總表_Master!$A24="","",03_能力總表_Master!$A24)</f>
        <v>CAP-020</v>
      </c>
      <c r="B24" s="166" t="str">
        <f aca="false">IF(03_能力總表_Master!$A24="","",03_能力總表_Master!$B24)</f>
        <v>D04 數位基建與物聯網</v>
      </c>
      <c r="C24" s="95" t="str">
        <f aca="false">IF(03_能力總表_Master!$A24="","",03_能力總表_Master!$E24)</f>
        <v>IDC與邊緣運算底座</v>
      </c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  <c r="AA24" s="232" t="s">
        <v>1305</v>
      </c>
      <c r="AB24" s="232" t="s">
        <v>1305</v>
      </c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  <c r="AP24" s="232"/>
      <c r="AQ24" s="232" t="s">
        <v>1305</v>
      </c>
      <c r="AR24" s="232"/>
      <c r="AS24" s="232"/>
      <c r="AT24" s="232"/>
      <c r="AU24" s="232"/>
      <c r="AV24" s="232"/>
      <c r="AW24" s="232"/>
      <c r="AX24" s="232"/>
      <c r="AY24" s="232"/>
      <c r="AZ24" s="232"/>
      <c r="BA24" s="232"/>
      <c r="BB24" s="232"/>
      <c r="BC24" s="232"/>
      <c r="BD24" s="232"/>
      <c r="BE24" s="232"/>
      <c r="BF24" s="232"/>
      <c r="BG24" s="232"/>
      <c r="BH24" s="232" t="s">
        <v>1305</v>
      </c>
      <c r="BI24" s="232"/>
      <c r="BJ24" s="232"/>
      <c r="BK24" s="232"/>
      <c r="BL24" s="232"/>
      <c r="BM24" s="232"/>
      <c r="BN24" s="232"/>
      <c r="BO24" s="232"/>
      <c r="BP24" s="232"/>
      <c r="BQ24" s="232"/>
      <c r="BR24" s="232"/>
      <c r="BS24" s="232"/>
      <c r="BT24" s="232"/>
      <c r="BU24" s="232"/>
      <c r="BV24" s="232"/>
      <c r="BW24" s="232"/>
      <c r="BX24" s="232"/>
      <c r="BY24" s="232"/>
      <c r="BZ24" s="232"/>
      <c r="CA24" s="232"/>
      <c r="CB24" s="232"/>
      <c r="CC24" s="232"/>
      <c r="CD24" s="232"/>
      <c r="CE24" s="232"/>
      <c r="CF24" s="232"/>
      <c r="CG24" s="232"/>
      <c r="CH24" s="232"/>
      <c r="CI24" s="232"/>
      <c r="CJ24" s="232"/>
      <c r="CK24" s="232"/>
      <c r="CL24" s="232"/>
      <c r="CM24" s="232"/>
      <c r="CN24" s="232"/>
      <c r="CO24" s="232"/>
      <c r="CP24" s="233" t="str">
        <f aca="false">IF(AND(D24="✓",D$4&lt;&gt;""),D$4&amp;"; ","")&amp;IF(AND(E24="✓",E$4&lt;&gt;""),E$4&amp;"; ","")&amp;IF(AND(F24="✓",F$4&lt;&gt;""),F$4&amp;"; ","")&amp;IF(AND(G24="✓",G$4&lt;&gt;""),G$4&amp;"; ","")&amp;IF(AND(H24="✓",H$4&lt;&gt;""),H$4&amp;"; ","")&amp;IF(AND(I24="✓",I$4&lt;&gt;""),I$4&amp;"; ","")&amp;IF(AND(J24="✓",J$4&lt;&gt;""),J$4&amp;"; ","")&amp;IF(AND(K24="✓",K$4&lt;&gt;""),K$4&amp;"; ","")&amp;IF(AND(L24="✓",L$4&lt;&gt;""),L$4&amp;"; ","")&amp;IF(AND(M24="✓",M$4&lt;&gt;""),M$4&amp;"; ","")&amp;IF(AND(N24="✓",N$4&lt;&gt;""),N$4&amp;"; ","")&amp;IF(AND(O24="✓",O$4&lt;&gt;""),O$4&amp;"; ","")&amp;IF(AND(P24="✓",P$4&lt;&gt;""),P$4&amp;"; ","")&amp;IF(AND(Q24="✓",Q$4&lt;&gt;""),Q$4&amp;"; ","")&amp;IF(AND(R24="✓",R$4&lt;&gt;""),R$4&amp;"; ","")&amp;IF(AND(S24="✓",S$4&lt;&gt;""),S$4&amp;"; ","")&amp;IF(AND(T24="✓",T$4&lt;&gt;""),T$4&amp;"; ","")&amp;IF(AND(U24="✓",U$4&lt;&gt;""),U$4&amp;"; ","")&amp;IF(AND(V24="✓",V$4&lt;&gt;""),V$4&amp;"; ","")&amp;IF(AND(W24="✓",W$4&lt;&gt;""),W$4&amp;"; ","")&amp;IF(AND(X24="✓",X$4&lt;&gt;""),X$4&amp;"; ","")&amp;IF(AND(Y24="✓",Y$4&lt;&gt;""),Y$4&amp;"; ","")&amp;IF(AND(Z24="✓",Z$4&lt;&gt;""),Z$4&amp;"; ","")&amp;IF(AND(AA24="✓",AA$4&lt;&gt;""),AA$4&amp;"; ","")&amp;IF(AND(AB24="✓",AB$4&lt;&gt;""),AB$4&amp;"; ","")&amp;IF(AND(AC24="✓",AC$4&lt;&gt;""),AC$4&amp;"; ","")&amp;IF(AND(AD24="✓",AD$4&lt;&gt;""),AD$4&amp;"; ","")&amp;IF(AND(AE24="✓",AE$4&lt;&gt;""),AE$4&amp;"; ","")&amp;IF(AND(AF24="✓",AF$4&lt;&gt;""),AF$4&amp;"; ","")&amp;IF(AND(AG24="✓",AG$4&lt;&gt;""),AG$4&amp;"; ","")&amp;IF(AND(AH24="✓",AH$4&lt;&gt;""),AH$4&amp;"; ","")&amp;IF(AND(AI24="✓",AI$4&lt;&gt;""),AI$4&amp;"; ","")&amp;IF(AND(AJ24="✓",AJ$4&lt;&gt;""),AJ$4&amp;"; ","")&amp;IF(AND(AK24="✓",AK$4&lt;&gt;""),AK$4&amp;"; ","")&amp;IF(AND(AL24="✓",AL$4&lt;&gt;""),AL$4&amp;"; ","")&amp;IF(AND(AM24="✓",AM$4&lt;&gt;""),AM$4&amp;"; ","")&amp;IF(AND(AN24="✓",AN$4&lt;&gt;""),AN$4&amp;"; ","")&amp;IF(AND(AO24="✓",AO$4&lt;&gt;""),AO$4&amp;"; ","")&amp;IF(AND(AP24="✓",AP$4&lt;&gt;""),AP$4&amp;"; ","")&amp;IF(AND(AQ24="✓",AQ$4&lt;&gt;""),AQ$4&amp;"; ","")&amp;IF(AND(AR24="✓",AR$4&lt;&gt;""),AR$4&amp;"; ","")&amp;IF(AND(AS24="✓",AS$4&lt;&gt;""),AS$4&amp;"; ","")&amp;IF(AND(AT24="✓",AT$4&lt;&gt;""),AT$4&amp;"; ","")&amp;IF(AND(AU24="✓",AU$4&lt;&gt;""),AU$4&amp;"; ","")&amp;IF(AND(AV24="✓",AV$4&lt;&gt;""),AV$4&amp;"; ","")&amp;IF(AND(AW24="✓",AW$4&lt;&gt;""),AW$4&amp;"; ","")&amp;IF(AND(AX24="✓",AX$4&lt;&gt;""),AX$4&amp;"; ","")&amp;IF(AND(AY24="✓",AY$4&lt;&gt;""),AY$4&amp;"; ","")&amp;IF(AND(AZ24="✓",AZ$4&lt;&gt;""),AZ$4&amp;"; ","")&amp;IF(AND(BA24="✓",BA$4&lt;&gt;""),BA$4&amp;"; ","")&amp;IF(AND(BB24="✓",BB$4&lt;&gt;""),BB$4&amp;"; ","")&amp;IF(AND(BC24="✓",BC$4&lt;&gt;""),BC$4&amp;"; ","")&amp;IF(AND(BD24="✓",BD$4&lt;&gt;""),BD$4&amp;"; ","")&amp;IF(AND(BE24="✓",BE$4&lt;&gt;""),BE$4&amp;"; ","")&amp;IF(AND(BF24="✓",BF$4&lt;&gt;""),BF$4&amp;"; ","")&amp;IF(AND(BG24="✓",BG$4&lt;&gt;""),BG$4&amp;"; ","")&amp;IF(AND(BH24="✓",BH$4&lt;&gt;""),BH$4&amp;"; ","")&amp;IF(AND(BI24="✓",BI$4&lt;&gt;""),BI$4&amp;"; ","")&amp;IF(AND(BJ24="✓",BJ$4&lt;&gt;""),BJ$4&amp;"; ","")&amp;IF(AND(BK24="✓",BK$4&lt;&gt;""),BK$4&amp;"; ","")&amp;IF(AND(BL24="✓",BL$4&lt;&gt;""),BL$4&amp;"; ","")&amp;IF(AND(BM24="✓",BM$4&lt;&gt;""),BM$4&amp;"; ","")&amp;IF(AND(BN24="✓",BN$4&lt;&gt;""),BN$4&amp;"; ","")&amp;IF(AND(BO24="✓",BO$4&lt;&gt;""),BO$4&amp;"; ","")&amp;IF(AND(BP24="✓",BP$4&lt;&gt;""),BP$4&amp;"; ","")&amp;IF(AND(BQ24="✓",BQ$4&lt;&gt;""),BQ$4&amp;"; ","")&amp;IF(AND(BR24="✓",BR$4&lt;&gt;""),BR$4&amp;"; ","")&amp;IF(AND(BS24="✓",BS$4&lt;&gt;""),BS$4&amp;"; ","")&amp;IF(AND(BT24="✓",BT$4&lt;&gt;""),BT$4&amp;"; ","")&amp;IF(AND(BU24="✓",BU$4&lt;&gt;""),BU$4&amp;"; ","")&amp;IF(AND(BV24="✓",BV$4&lt;&gt;""),BV$4&amp;"; ","")&amp;IF(AND(BW24="✓",BW$4&lt;&gt;""),BW$4&amp;"; ","")&amp;IF(AND(BX24="✓",BX$4&lt;&gt;""),BX$4&amp;"; ","")&amp;IF(AND(BY24="✓",BY$4&lt;&gt;""),BY$4&amp;"; ","")&amp;IF(AND(BZ24="✓",BZ$4&lt;&gt;""),BZ$4&amp;"; ","")&amp;IF(AND(CA24="✓",CA$4&lt;&gt;""),CA$4&amp;"; ","")&amp;IF(AND(CB24="✓",CB$4&lt;&gt;""),CB$4&amp;"; ","")&amp;IF(AND(CC24="✓",CC$4&lt;&gt;""),CC$4&amp;"; ","")&amp;IF(AND(CD24="✓",CD$4&lt;&gt;""),CD$4&amp;"; ","")&amp;IF(AND(CE24="✓",CE$4&lt;&gt;""),CE$4&amp;"; ","")&amp;IF(AND(CF24="✓",CF$4&lt;&gt;""),CF$4&amp;"; ","")&amp;IF(AND(CG24="✓",CG$4&lt;&gt;""),CG$4&amp;"; ","")&amp;IF(AND(CH24="✓",CH$4&lt;&gt;""),CH$4&amp;"; ","")&amp;IF(AND(CI24="✓",CI$4&lt;&gt;""),CI$4&amp;"; ","")&amp;IF(AND(CJ24="✓",CJ$4&lt;&gt;""),CJ$4&amp;"; ","")&amp;IF(AND(CK24="✓",CK$4&lt;&gt;""),CK$4&amp;"; ","")&amp;IF(AND(CL24="✓",CL$4&lt;&gt;""),CL$4&amp;"; ","")&amp;IF(AND(CM24="✓",CM$4&lt;&gt;""),CM$4&amp;"; ","")&amp;IF(AND(CN24="✓",CN$4&lt;&gt;""),CN$4&amp;"; ","")&amp;IF(AND(CO24="✓",CO$4&lt;&gt;""),CO$4&amp;"; ","")</f>
        <v>OPP-24; OPP-25; OPP-40; OPP-57; </v>
      </c>
      <c r="CQ24" s="104" t="str">
        <f aca="false">IF($CP24="","",LEFT($CP24,LEN($CP24)-2))</f>
        <v>OPP-24; OPP-25; OPP-40; OPP-57</v>
      </c>
      <c r="CR24" s="234" t="n">
        <f aca="false">IF($A24="","",COUNTIF($D24:$CO24,"✓"))</f>
        <v>4</v>
      </c>
    </row>
    <row r="25" customFormat="false" ht="21.75" hidden="false" customHeight="true" outlineLevel="0" collapsed="false">
      <c r="A25" s="231" t="str">
        <f aca="false">IF(03_能力總表_Master!$A25="","",03_能力總表_Master!$A25)</f>
        <v>CAP-021</v>
      </c>
      <c r="B25" s="166" t="str">
        <f aca="false">IF(03_能力總表_Master!$A25="","",03_能力總表_Master!$B25)</f>
        <v>D04 數位基建與物聯網</v>
      </c>
      <c r="C25" s="95" t="str">
        <f aca="false">IF(03_能力總表_Master!$A25="","",03_能力總表_Master!$E25)</f>
        <v>有線無線網路與分區</v>
      </c>
      <c r="D25" s="232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  <c r="AA25" s="232" t="s">
        <v>1305</v>
      </c>
      <c r="AB25" s="232"/>
      <c r="AC25" s="232"/>
      <c r="AD25" s="232"/>
      <c r="AE25" s="232"/>
      <c r="AF25" s="232"/>
      <c r="AG25" s="232"/>
      <c r="AH25" s="232"/>
      <c r="AI25" s="232"/>
      <c r="AJ25" s="232"/>
      <c r="AK25" s="232"/>
      <c r="AL25" s="232"/>
      <c r="AM25" s="232"/>
      <c r="AN25" s="232"/>
      <c r="AO25" s="232"/>
      <c r="AP25" s="232"/>
      <c r="AQ25" s="232"/>
      <c r="AR25" s="232"/>
      <c r="AS25" s="232"/>
      <c r="AT25" s="232"/>
      <c r="AU25" s="232"/>
      <c r="AV25" s="232"/>
      <c r="AW25" s="232"/>
      <c r="AX25" s="232"/>
      <c r="AY25" s="232"/>
      <c r="AZ25" s="232"/>
      <c r="BA25" s="232"/>
      <c r="BB25" s="232"/>
      <c r="BC25" s="232"/>
      <c r="BD25" s="232"/>
      <c r="BE25" s="232"/>
      <c r="BF25" s="232"/>
      <c r="BG25" s="232"/>
      <c r="BH25" s="232"/>
      <c r="BI25" s="232"/>
      <c r="BJ25" s="232"/>
      <c r="BK25" s="232"/>
      <c r="BL25" s="232"/>
      <c r="BM25" s="232"/>
      <c r="BN25" s="232"/>
      <c r="BO25" s="232"/>
      <c r="BP25" s="232"/>
      <c r="BQ25" s="232"/>
      <c r="BR25" s="232"/>
      <c r="BS25" s="232"/>
      <c r="BT25" s="232"/>
      <c r="BU25" s="232"/>
      <c r="BV25" s="232"/>
      <c r="BW25" s="232"/>
      <c r="BX25" s="232"/>
      <c r="BY25" s="232"/>
      <c r="BZ25" s="232"/>
      <c r="CA25" s="232"/>
      <c r="CB25" s="232"/>
      <c r="CC25" s="232"/>
      <c r="CD25" s="232"/>
      <c r="CE25" s="232"/>
      <c r="CF25" s="232"/>
      <c r="CG25" s="232"/>
      <c r="CH25" s="232"/>
      <c r="CI25" s="232"/>
      <c r="CJ25" s="232"/>
      <c r="CK25" s="232"/>
      <c r="CL25" s="232"/>
      <c r="CM25" s="232"/>
      <c r="CN25" s="232"/>
      <c r="CO25" s="232"/>
      <c r="CP25" s="233" t="str">
        <f aca="false">IF(AND(D25="✓",D$4&lt;&gt;""),D$4&amp;"; ","")&amp;IF(AND(E25="✓",E$4&lt;&gt;""),E$4&amp;"; ","")&amp;IF(AND(F25="✓",F$4&lt;&gt;""),F$4&amp;"; ","")&amp;IF(AND(G25="✓",G$4&lt;&gt;""),G$4&amp;"; ","")&amp;IF(AND(H25="✓",H$4&lt;&gt;""),H$4&amp;"; ","")&amp;IF(AND(I25="✓",I$4&lt;&gt;""),I$4&amp;"; ","")&amp;IF(AND(J25="✓",J$4&lt;&gt;""),J$4&amp;"; ","")&amp;IF(AND(K25="✓",K$4&lt;&gt;""),K$4&amp;"; ","")&amp;IF(AND(L25="✓",L$4&lt;&gt;""),L$4&amp;"; ","")&amp;IF(AND(M25="✓",M$4&lt;&gt;""),M$4&amp;"; ","")&amp;IF(AND(N25="✓",N$4&lt;&gt;""),N$4&amp;"; ","")&amp;IF(AND(O25="✓",O$4&lt;&gt;""),O$4&amp;"; ","")&amp;IF(AND(P25="✓",P$4&lt;&gt;""),P$4&amp;"; ","")&amp;IF(AND(Q25="✓",Q$4&lt;&gt;""),Q$4&amp;"; ","")&amp;IF(AND(R25="✓",R$4&lt;&gt;""),R$4&amp;"; ","")&amp;IF(AND(S25="✓",S$4&lt;&gt;""),S$4&amp;"; ","")&amp;IF(AND(T25="✓",T$4&lt;&gt;""),T$4&amp;"; ","")&amp;IF(AND(U25="✓",U$4&lt;&gt;""),U$4&amp;"; ","")&amp;IF(AND(V25="✓",V$4&lt;&gt;""),V$4&amp;"; ","")&amp;IF(AND(W25="✓",W$4&lt;&gt;""),W$4&amp;"; ","")&amp;IF(AND(X25="✓",X$4&lt;&gt;""),X$4&amp;"; ","")&amp;IF(AND(Y25="✓",Y$4&lt;&gt;""),Y$4&amp;"; ","")&amp;IF(AND(Z25="✓",Z$4&lt;&gt;""),Z$4&amp;"; ","")&amp;IF(AND(AA25="✓",AA$4&lt;&gt;""),AA$4&amp;"; ","")&amp;IF(AND(AB25="✓",AB$4&lt;&gt;""),AB$4&amp;"; ","")&amp;IF(AND(AC25="✓",AC$4&lt;&gt;""),AC$4&amp;"; ","")&amp;IF(AND(AD25="✓",AD$4&lt;&gt;""),AD$4&amp;"; ","")&amp;IF(AND(AE25="✓",AE$4&lt;&gt;""),AE$4&amp;"; ","")&amp;IF(AND(AF25="✓",AF$4&lt;&gt;""),AF$4&amp;"; ","")&amp;IF(AND(AG25="✓",AG$4&lt;&gt;""),AG$4&amp;"; ","")&amp;IF(AND(AH25="✓",AH$4&lt;&gt;""),AH$4&amp;"; ","")&amp;IF(AND(AI25="✓",AI$4&lt;&gt;""),AI$4&amp;"; ","")&amp;IF(AND(AJ25="✓",AJ$4&lt;&gt;""),AJ$4&amp;"; ","")&amp;IF(AND(AK25="✓",AK$4&lt;&gt;""),AK$4&amp;"; ","")&amp;IF(AND(AL25="✓",AL$4&lt;&gt;""),AL$4&amp;"; ","")&amp;IF(AND(AM25="✓",AM$4&lt;&gt;""),AM$4&amp;"; ","")&amp;IF(AND(AN25="✓",AN$4&lt;&gt;""),AN$4&amp;"; ","")&amp;IF(AND(AO25="✓",AO$4&lt;&gt;""),AO$4&amp;"; ","")&amp;IF(AND(AP25="✓",AP$4&lt;&gt;""),AP$4&amp;"; ","")&amp;IF(AND(AQ25="✓",AQ$4&lt;&gt;""),AQ$4&amp;"; ","")&amp;IF(AND(AR25="✓",AR$4&lt;&gt;""),AR$4&amp;"; ","")&amp;IF(AND(AS25="✓",AS$4&lt;&gt;""),AS$4&amp;"; ","")&amp;IF(AND(AT25="✓",AT$4&lt;&gt;""),AT$4&amp;"; ","")&amp;IF(AND(AU25="✓",AU$4&lt;&gt;""),AU$4&amp;"; ","")&amp;IF(AND(AV25="✓",AV$4&lt;&gt;""),AV$4&amp;"; ","")&amp;IF(AND(AW25="✓",AW$4&lt;&gt;""),AW$4&amp;"; ","")&amp;IF(AND(AX25="✓",AX$4&lt;&gt;""),AX$4&amp;"; ","")&amp;IF(AND(AY25="✓",AY$4&lt;&gt;""),AY$4&amp;"; ","")&amp;IF(AND(AZ25="✓",AZ$4&lt;&gt;""),AZ$4&amp;"; ","")&amp;IF(AND(BA25="✓",BA$4&lt;&gt;""),BA$4&amp;"; ","")&amp;IF(AND(BB25="✓",BB$4&lt;&gt;""),BB$4&amp;"; ","")&amp;IF(AND(BC25="✓",BC$4&lt;&gt;""),BC$4&amp;"; ","")&amp;IF(AND(BD25="✓",BD$4&lt;&gt;""),BD$4&amp;"; ","")&amp;IF(AND(BE25="✓",BE$4&lt;&gt;""),BE$4&amp;"; ","")&amp;IF(AND(BF25="✓",BF$4&lt;&gt;""),BF$4&amp;"; ","")&amp;IF(AND(BG25="✓",BG$4&lt;&gt;""),BG$4&amp;"; ","")&amp;IF(AND(BH25="✓",BH$4&lt;&gt;""),BH$4&amp;"; ","")&amp;IF(AND(BI25="✓",BI$4&lt;&gt;""),BI$4&amp;"; ","")&amp;IF(AND(BJ25="✓",BJ$4&lt;&gt;""),BJ$4&amp;"; ","")&amp;IF(AND(BK25="✓",BK$4&lt;&gt;""),BK$4&amp;"; ","")&amp;IF(AND(BL25="✓",BL$4&lt;&gt;""),BL$4&amp;"; ","")&amp;IF(AND(BM25="✓",BM$4&lt;&gt;""),BM$4&amp;"; ","")&amp;IF(AND(BN25="✓",BN$4&lt;&gt;""),BN$4&amp;"; ","")&amp;IF(AND(BO25="✓",BO$4&lt;&gt;""),BO$4&amp;"; ","")&amp;IF(AND(BP25="✓",BP$4&lt;&gt;""),BP$4&amp;"; ","")&amp;IF(AND(BQ25="✓",BQ$4&lt;&gt;""),BQ$4&amp;"; ","")&amp;IF(AND(BR25="✓",BR$4&lt;&gt;""),BR$4&amp;"; ","")&amp;IF(AND(BS25="✓",BS$4&lt;&gt;""),BS$4&amp;"; ","")&amp;IF(AND(BT25="✓",BT$4&lt;&gt;""),BT$4&amp;"; ","")&amp;IF(AND(BU25="✓",BU$4&lt;&gt;""),BU$4&amp;"; ","")&amp;IF(AND(BV25="✓",BV$4&lt;&gt;""),BV$4&amp;"; ","")&amp;IF(AND(BW25="✓",BW$4&lt;&gt;""),BW$4&amp;"; ","")&amp;IF(AND(BX25="✓",BX$4&lt;&gt;""),BX$4&amp;"; ","")&amp;IF(AND(BY25="✓",BY$4&lt;&gt;""),BY$4&amp;"; ","")&amp;IF(AND(BZ25="✓",BZ$4&lt;&gt;""),BZ$4&amp;"; ","")&amp;IF(AND(CA25="✓",CA$4&lt;&gt;""),CA$4&amp;"; ","")&amp;IF(AND(CB25="✓",CB$4&lt;&gt;""),CB$4&amp;"; ","")&amp;IF(AND(CC25="✓",CC$4&lt;&gt;""),CC$4&amp;"; ","")&amp;IF(AND(CD25="✓",CD$4&lt;&gt;""),CD$4&amp;"; ","")&amp;IF(AND(CE25="✓",CE$4&lt;&gt;""),CE$4&amp;"; ","")&amp;IF(AND(CF25="✓",CF$4&lt;&gt;""),CF$4&amp;"; ","")&amp;IF(AND(CG25="✓",CG$4&lt;&gt;""),CG$4&amp;"; ","")&amp;IF(AND(CH25="✓",CH$4&lt;&gt;""),CH$4&amp;"; ","")&amp;IF(AND(CI25="✓",CI$4&lt;&gt;""),CI$4&amp;"; ","")&amp;IF(AND(CJ25="✓",CJ$4&lt;&gt;""),CJ$4&amp;"; ","")&amp;IF(AND(CK25="✓",CK$4&lt;&gt;""),CK$4&amp;"; ","")&amp;IF(AND(CL25="✓",CL$4&lt;&gt;""),CL$4&amp;"; ","")&amp;IF(AND(CM25="✓",CM$4&lt;&gt;""),CM$4&amp;"; ","")&amp;IF(AND(CN25="✓",CN$4&lt;&gt;""),CN$4&amp;"; ","")&amp;IF(AND(CO25="✓",CO$4&lt;&gt;""),CO$4&amp;"; ","")</f>
        <v>OPP-24; </v>
      </c>
      <c r="CQ25" s="104" t="str">
        <f aca="false">IF($CP25="","",LEFT($CP25,LEN($CP25)-2))</f>
        <v>OPP-24</v>
      </c>
      <c r="CR25" s="234" t="n">
        <f aca="false">IF($A25="","",COUNTIF($D25:$CO25,"✓"))</f>
        <v>1</v>
      </c>
    </row>
    <row r="26" customFormat="false" ht="21.75" hidden="false" customHeight="true" outlineLevel="0" collapsed="false">
      <c r="A26" s="231" t="str">
        <f aca="false">IF(03_能力總表_Master!$A26="","",03_能力總表_Master!$A26)</f>
        <v>CAP-022</v>
      </c>
      <c r="B26" s="166" t="str">
        <f aca="false">IF(03_能力總表_Master!$A26="","",03_能力總表_Master!$B26)</f>
        <v>D04 數位基建與物聯網</v>
      </c>
      <c r="C26" s="95" t="str">
        <f aca="false">IF(03_能力總表_Master!$A26="","",03_能力總表_Master!$E26)</f>
        <v>資安營運與零信任</v>
      </c>
      <c r="D26" s="232"/>
      <c r="E26" s="232"/>
      <c r="F26" s="232"/>
      <c r="G26" s="232"/>
      <c r="H26" s="232"/>
      <c r="I26" s="232"/>
      <c r="J26" s="232"/>
      <c r="K26" s="232"/>
      <c r="L26" s="232"/>
      <c r="M26" s="232"/>
      <c r="N26" s="232"/>
      <c r="O26" s="232"/>
      <c r="P26" s="232"/>
      <c r="Q26" s="232"/>
      <c r="R26" s="232"/>
      <c r="S26" s="232"/>
      <c r="T26" s="232"/>
      <c r="U26" s="232"/>
      <c r="V26" s="232"/>
      <c r="W26" s="232"/>
      <c r="X26" s="232"/>
      <c r="Y26" s="232"/>
      <c r="Z26" s="232"/>
      <c r="AA26" s="232"/>
      <c r="AB26" s="232"/>
      <c r="AC26" s="232"/>
      <c r="AD26" s="232" t="s">
        <v>1305</v>
      </c>
      <c r="AE26" s="232" t="s">
        <v>1305</v>
      </c>
      <c r="AF26" s="232"/>
      <c r="AG26" s="232" t="s">
        <v>1305</v>
      </c>
      <c r="AH26" s="232"/>
      <c r="AI26" s="232"/>
      <c r="AJ26" s="232"/>
      <c r="AK26" s="232"/>
      <c r="AL26" s="232"/>
      <c r="AM26" s="232"/>
      <c r="AN26" s="232"/>
      <c r="AO26" s="232"/>
      <c r="AP26" s="232"/>
      <c r="AQ26" s="232"/>
      <c r="AR26" s="232"/>
      <c r="AS26" s="232"/>
      <c r="AT26" s="232"/>
      <c r="AU26" s="232"/>
      <c r="AV26" s="232"/>
      <c r="AW26" s="232"/>
      <c r="AX26" s="232"/>
      <c r="AY26" s="232"/>
      <c r="AZ26" s="232"/>
      <c r="BA26" s="232"/>
      <c r="BB26" s="232"/>
      <c r="BC26" s="232"/>
      <c r="BD26" s="232"/>
      <c r="BE26" s="232"/>
      <c r="BF26" s="232"/>
      <c r="BG26" s="232"/>
      <c r="BH26" s="232"/>
      <c r="BI26" s="232"/>
      <c r="BJ26" s="232"/>
      <c r="BK26" s="232"/>
      <c r="BL26" s="232"/>
      <c r="BM26" s="232"/>
      <c r="BN26" s="232"/>
      <c r="BO26" s="232"/>
      <c r="BP26" s="232"/>
      <c r="BQ26" s="232"/>
      <c r="BR26" s="232"/>
      <c r="BS26" s="232"/>
      <c r="BT26" s="232"/>
      <c r="BU26" s="232"/>
      <c r="BV26" s="232"/>
      <c r="BW26" s="232"/>
      <c r="BX26" s="232"/>
      <c r="BY26" s="232"/>
      <c r="BZ26" s="232"/>
      <c r="CA26" s="232"/>
      <c r="CB26" s="232"/>
      <c r="CC26" s="232"/>
      <c r="CD26" s="232"/>
      <c r="CE26" s="232"/>
      <c r="CF26" s="232"/>
      <c r="CG26" s="232"/>
      <c r="CH26" s="232"/>
      <c r="CI26" s="232"/>
      <c r="CJ26" s="232"/>
      <c r="CK26" s="232"/>
      <c r="CL26" s="232"/>
      <c r="CM26" s="232"/>
      <c r="CN26" s="232"/>
      <c r="CO26" s="232"/>
      <c r="CP26" s="233" t="str">
        <f aca="false">IF(AND(D26="✓",D$4&lt;&gt;""),D$4&amp;"; ","")&amp;IF(AND(E26="✓",E$4&lt;&gt;""),E$4&amp;"; ","")&amp;IF(AND(F26="✓",F$4&lt;&gt;""),F$4&amp;"; ","")&amp;IF(AND(G26="✓",G$4&lt;&gt;""),G$4&amp;"; ","")&amp;IF(AND(H26="✓",H$4&lt;&gt;""),H$4&amp;"; ","")&amp;IF(AND(I26="✓",I$4&lt;&gt;""),I$4&amp;"; ","")&amp;IF(AND(J26="✓",J$4&lt;&gt;""),J$4&amp;"; ","")&amp;IF(AND(K26="✓",K$4&lt;&gt;""),K$4&amp;"; ","")&amp;IF(AND(L26="✓",L$4&lt;&gt;""),L$4&amp;"; ","")&amp;IF(AND(M26="✓",M$4&lt;&gt;""),M$4&amp;"; ","")&amp;IF(AND(N26="✓",N$4&lt;&gt;""),N$4&amp;"; ","")&amp;IF(AND(O26="✓",O$4&lt;&gt;""),O$4&amp;"; ","")&amp;IF(AND(P26="✓",P$4&lt;&gt;""),P$4&amp;"; ","")&amp;IF(AND(Q26="✓",Q$4&lt;&gt;""),Q$4&amp;"; ","")&amp;IF(AND(R26="✓",R$4&lt;&gt;""),R$4&amp;"; ","")&amp;IF(AND(S26="✓",S$4&lt;&gt;""),S$4&amp;"; ","")&amp;IF(AND(T26="✓",T$4&lt;&gt;""),T$4&amp;"; ","")&amp;IF(AND(U26="✓",U$4&lt;&gt;""),U$4&amp;"; ","")&amp;IF(AND(V26="✓",V$4&lt;&gt;""),V$4&amp;"; ","")&amp;IF(AND(W26="✓",W$4&lt;&gt;""),W$4&amp;"; ","")&amp;IF(AND(X26="✓",X$4&lt;&gt;""),X$4&amp;"; ","")&amp;IF(AND(Y26="✓",Y$4&lt;&gt;""),Y$4&amp;"; ","")&amp;IF(AND(Z26="✓",Z$4&lt;&gt;""),Z$4&amp;"; ","")&amp;IF(AND(AA26="✓",AA$4&lt;&gt;""),AA$4&amp;"; ","")&amp;IF(AND(AB26="✓",AB$4&lt;&gt;""),AB$4&amp;"; ","")&amp;IF(AND(AC26="✓",AC$4&lt;&gt;""),AC$4&amp;"; ","")&amp;IF(AND(AD26="✓",AD$4&lt;&gt;""),AD$4&amp;"; ","")&amp;IF(AND(AE26="✓",AE$4&lt;&gt;""),AE$4&amp;"; ","")&amp;IF(AND(AF26="✓",AF$4&lt;&gt;""),AF$4&amp;"; ","")&amp;IF(AND(AG26="✓",AG$4&lt;&gt;""),AG$4&amp;"; ","")&amp;IF(AND(AH26="✓",AH$4&lt;&gt;""),AH$4&amp;"; ","")&amp;IF(AND(AI26="✓",AI$4&lt;&gt;""),AI$4&amp;"; ","")&amp;IF(AND(AJ26="✓",AJ$4&lt;&gt;""),AJ$4&amp;"; ","")&amp;IF(AND(AK26="✓",AK$4&lt;&gt;""),AK$4&amp;"; ","")&amp;IF(AND(AL26="✓",AL$4&lt;&gt;""),AL$4&amp;"; ","")&amp;IF(AND(AM26="✓",AM$4&lt;&gt;""),AM$4&amp;"; ","")&amp;IF(AND(AN26="✓",AN$4&lt;&gt;""),AN$4&amp;"; ","")&amp;IF(AND(AO26="✓",AO$4&lt;&gt;""),AO$4&amp;"; ","")&amp;IF(AND(AP26="✓",AP$4&lt;&gt;""),AP$4&amp;"; ","")&amp;IF(AND(AQ26="✓",AQ$4&lt;&gt;""),AQ$4&amp;"; ","")&amp;IF(AND(AR26="✓",AR$4&lt;&gt;""),AR$4&amp;"; ","")&amp;IF(AND(AS26="✓",AS$4&lt;&gt;""),AS$4&amp;"; ","")&amp;IF(AND(AT26="✓",AT$4&lt;&gt;""),AT$4&amp;"; ","")&amp;IF(AND(AU26="✓",AU$4&lt;&gt;""),AU$4&amp;"; ","")&amp;IF(AND(AV26="✓",AV$4&lt;&gt;""),AV$4&amp;"; ","")&amp;IF(AND(AW26="✓",AW$4&lt;&gt;""),AW$4&amp;"; ","")&amp;IF(AND(AX26="✓",AX$4&lt;&gt;""),AX$4&amp;"; ","")&amp;IF(AND(AY26="✓",AY$4&lt;&gt;""),AY$4&amp;"; ","")&amp;IF(AND(AZ26="✓",AZ$4&lt;&gt;""),AZ$4&amp;"; ","")&amp;IF(AND(BA26="✓",BA$4&lt;&gt;""),BA$4&amp;"; ","")&amp;IF(AND(BB26="✓",BB$4&lt;&gt;""),BB$4&amp;"; ","")&amp;IF(AND(BC26="✓",BC$4&lt;&gt;""),BC$4&amp;"; ","")&amp;IF(AND(BD26="✓",BD$4&lt;&gt;""),BD$4&amp;"; ","")&amp;IF(AND(BE26="✓",BE$4&lt;&gt;""),BE$4&amp;"; ","")&amp;IF(AND(BF26="✓",BF$4&lt;&gt;""),BF$4&amp;"; ","")&amp;IF(AND(BG26="✓",BG$4&lt;&gt;""),BG$4&amp;"; ","")&amp;IF(AND(BH26="✓",BH$4&lt;&gt;""),BH$4&amp;"; ","")&amp;IF(AND(BI26="✓",BI$4&lt;&gt;""),BI$4&amp;"; ","")&amp;IF(AND(BJ26="✓",BJ$4&lt;&gt;""),BJ$4&amp;"; ","")&amp;IF(AND(BK26="✓",BK$4&lt;&gt;""),BK$4&amp;"; ","")&amp;IF(AND(BL26="✓",BL$4&lt;&gt;""),BL$4&amp;"; ","")&amp;IF(AND(BM26="✓",BM$4&lt;&gt;""),BM$4&amp;"; ","")&amp;IF(AND(BN26="✓",BN$4&lt;&gt;""),BN$4&amp;"; ","")&amp;IF(AND(BO26="✓",BO$4&lt;&gt;""),BO$4&amp;"; ","")&amp;IF(AND(BP26="✓",BP$4&lt;&gt;""),BP$4&amp;"; ","")&amp;IF(AND(BQ26="✓",BQ$4&lt;&gt;""),BQ$4&amp;"; ","")&amp;IF(AND(BR26="✓",BR$4&lt;&gt;""),BR$4&amp;"; ","")&amp;IF(AND(BS26="✓",BS$4&lt;&gt;""),BS$4&amp;"; ","")&amp;IF(AND(BT26="✓",BT$4&lt;&gt;""),BT$4&amp;"; ","")&amp;IF(AND(BU26="✓",BU$4&lt;&gt;""),BU$4&amp;"; ","")&amp;IF(AND(BV26="✓",BV$4&lt;&gt;""),BV$4&amp;"; ","")&amp;IF(AND(BW26="✓",BW$4&lt;&gt;""),BW$4&amp;"; ","")&amp;IF(AND(BX26="✓",BX$4&lt;&gt;""),BX$4&amp;"; ","")&amp;IF(AND(BY26="✓",BY$4&lt;&gt;""),BY$4&amp;"; ","")&amp;IF(AND(BZ26="✓",BZ$4&lt;&gt;""),BZ$4&amp;"; ","")&amp;IF(AND(CA26="✓",CA$4&lt;&gt;""),CA$4&amp;"; ","")&amp;IF(AND(CB26="✓",CB$4&lt;&gt;""),CB$4&amp;"; ","")&amp;IF(AND(CC26="✓",CC$4&lt;&gt;""),CC$4&amp;"; ","")&amp;IF(AND(CD26="✓",CD$4&lt;&gt;""),CD$4&amp;"; ","")&amp;IF(AND(CE26="✓",CE$4&lt;&gt;""),CE$4&amp;"; ","")&amp;IF(AND(CF26="✓",CF$4&lt;&gt;""),CF$4&amp;"; ","")&amp;IF(AND(CG26="✓",CG$4&lt;&gt;""),CG$4&amp;"; ","")&amp;IF(AND(CH26="✓",CH$4&lt;&gt;""),CH$4&amp;"; ","")&amp;IF(AND(CI26="✓",CI$4&lt;&gt;""),CI$4&amp;"; ","")&amp;IF(AND(CJ26="✓",CJ$4&lt;&gt;""),CJ$4&amp;"; ","")&amp;IF(AND(CK26="✓",CK$4&lt;&gt;""),CK$4&amp;"; ","")&amp;IF(AND(CL26="✓",CL$4&lt;&gt;""),CL$4&amp;"; ","")&amp;IF(AND(CM26="✓",CM$4&lt;&gt;""),CM$4&amp;"; ","")&amp;IF(AND(CN26="✓",CN$4&lt;&gt;""),CN$4&amp;"; ","")&amp;IF(AND(CO26="✓",CO$4&lt;&gt;""),CO$4&amp;"; ","")</f>
        <v>OPP-27; OPP-28; OPP-30; </v>
      </c>
      <c r="CQ26" s="104" t="str">
        <f aca="false">IF($CP26="","",LEFT($CP26,LEN($CP26)-2))</f>
        <v>OPP-27; OPP-28; OPP-30</v>
      </c>
      <c r="CR26" s="234" t="n">
        <f aca="false">IF($A26="","",COUNTIF($D26:$CO26,"✓"))</f>
        <v>3</v>
      </c>
    </row>
    <row r="27" customFormat="false" ht="21.75" hidden="false" customHeight="true" outlineLevel="0" collapsed="false">
      <c r="A27" s="231" t="str">
        <f aca="false">IF(03_能力總表_Master!$A27="","",03_能力總表_Master!$A27)</f>
        <v>CAP-023</v>
      </c>
      <c r="B27" s="166" t="str">
        <f aca="false">IF(03_能力總表_Master!$A27="","",03_能力總表_Master!$B27)</f>
        <v>D04 數位基建與物聯網</v>
      </c>
      <c r="C27" s="95" t="str">
        <f aca="false">IF(03_能力總表_Master!$A27="","",03_能力總表_Master!$E27)</f>
        <v>BMS與能源管理</v>
      </c>
      <c r="D27" s="232"/>
      <c r="E27" s="232"/>
      <c r="F27" s="232"/>
      <c r="G27" s="232"/>
      <c r="H27" s="232"/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  <c r="AA27" s="232"/>
      <c r="AB27" s="232"/>
      <c r="AC27" s="232" t="s">
        <v>1305</v>
      </c>
      <c r="AD27" s="232"/>
      <c r="AE27" s="232"/>
      <c r="AF27" s="232"/>
      <c r="AG27" s="232"/>
      <c r="AH27" s="232"/>
      <c r="AI27" s="232"/>
      <c r="AJ27" s="232"/>
      <c r="AK27" s="232"/>
      <c r="AL27" s="232"/>
      <c r="AM27" s="232"/>
      <c r="AN27" s="232"/>
      <c r="AO27" s="232"/>
      <c r="AP27" s="232"/>
      <c r="AQ27" s="232"/>
      <c r="AR27" s="232"/>
      <c r="AS27" s="232"/>
      <c r="AT27" s="232"/>
      <c r="AU27" s="232"/>
      <c r="AV27" s="232"/>
      <c r="AW27" s="232"/>
      <c r="AX27" s="232"/>
      <c r="AY27" s="232"/>
      <c r="AZ27" s="232"/>
      <c r="BA27" s="232"/>
      <c r="BB27" s="232"/>
      <c r="BC27" s="232"/>
      <c r="BD27" s="232"/>
      <c r="BE27" s="232"/>
      <c r="BF27" s="232"/>
      <c r="BG27" s="232"/>
      <c r="BH27" s="232"/>
      <c r="BI27" s="232"/>
      <c r="BJ27" s="232"/>
      <c r="BK27" s="232"/>
      <c r="BL27" s="232"/>
      <c r="BM27" s="232"/>
      <c r="BN27" s="232"/>
      <c r="BO27" s="232"/>
      <c r="BP27" s="232"/>
      <c r="BQ27" s="232"/>
      <c r="BR27" s="232"/>
      <c r="BS27" s="232"/>
      <c r="BT27" s="232"/>
      <c r="BU27" s="232"/>
      <c r="BV27" s="232"/>
      <c r="BW27" s="232"/>
      <c r="BX27" s="232"/>
      <c r="BY27" s="232"/>
      <c r="BZ27" s="232"/>
      <c r="CA27" s="232"/>
      <c r="CB27" s="232"/>
      <c r="CC27" s="232"/>
      <c r="CD27" s="232"/>
      <c r="CE27" s="232"/>
      <c r="CF27" s="232"/>
      <c r="CG27" s="232"/>
      <c r="CH27" s="232"/>
      <c r="CI27" s="232"/>
      <c r="CJ27" s="232"/>
      <c r="CK27" s="232"/>
      <c r="CL27" s="232"/>
      <c r="CM27" s="232"/>
      <c r="CN27" s="232"/>
      <c r="CO27" s="232"/>
      <c r="CP27" s="233" t="str">
        <f aca="false">IF(AND(D27="✓",D$4&lt;&gt;""),D$4&amp;"; ","")&amp;IF(AND(E27="✓",E$4&lt;&gt;""),E$4&amp;"; ","")&amp;IF(AND(F27="✓",F$4&lt;&gt;""),F$4&amp;"; ","")&amp;IF(AND(G27="✓",G$4&lt;&gt;""),G$4&amp;"; ","")&amp;IF(AND(H27="✓",H$4&lt;&gt;""),H$4&amp;"; ","")&amp;IF(AND(I27="✓",I$4&lt;&gt;""),I$4&amp;"; ","")&amp;IF(AND(J27="✓",J$4&lt;&gt;""),J$4&amp;"; ","")&amp;IF(AND(K27="✓",K$4&lt;&gt;""),K$4&amp;"; ","")&amp;IF(AND(L27="✓",L$4&lt;&gt;""),L$4&amp;"; ","")&amp;IF(AND(M27="✓",M$4&lt;&gt;""),M$4&amp;"; ","")&amp;IF(AND(N27="✓",N$4&lt;&gt;""),N$4&amp;"; ","")&amp;IF(AND(O27="✓",O$4&lt;&gt;""),O$4&amp;"; ","")&amp;IF(AND(P27="✓",P$4&lt;&gt;""),P$4&amp;"; ","")&amp;IF(AND(Q27="✓",Q$4&lt;&gt;""),Q$4&amp;"; ","")&amp;IF(AND(R27="✓",R$4&lt;&gt;""),R$4&amp;"; ","")&amp;IF(AND(S27="✓",S$4&lt;&gt;""),S$4&amp;"; ","")&amp;IF(AND(T27="✓",T$4&lt;&gt;""),T$4&amp;"; ","")&amp;IF(AND(U27="✓",U$4&lt;&gt;""),U$4&amp;"; ","")&amp;IF(AND(V27="✓",V$4&lt;&gt;""),V$4&amp;"; ","")&amp;IF(AND(W27="✓",W$4&lt;&gt;""),W$4&amp;"; ","")&amp;IF(AND(X27="✓",X$4&lt;&gt;""),X$4&amp;"; ","")&amp;IF(AND(Y27="✓",Y$4&lt;&gt;""),Y$4&amp;"; ","")&amp;IF(AND(Z27="✓",Z$4&lt;&gt;""),Z$4&amp;"; ","")&amp;IF(AND(AA27="✓",AA$4&lt;&gt;""),AA$4&amp;"; ","")&amp;IF(AND(AB27="✓",AB$4&lt;&gt;""),AB$4&amp;"; ","")&amp;IF(AND(AC27="✓",AC$4&lt;&gt;""),AC$4&amp;"; ","")&amp;IF(AND(AD27="✓",AD$4&lt;&gt;""),AD$4&amp;"; ","")&amp;IF(AND(AE27="✓",AE$4&lt;&gt;""),AE$4&amp;"; ","")&amp;IF(AND(AF27="✓",AF$4&lt;&gt;""),AF$4&amp;"; ","")&amp;IF(AND(AG27="✓",AG$4&lt;&gt;""),AG$4&amp;"; ","")&amp;IF(AND(AH27="✓",AH$4&lt;&gt;""),AH$4&amp;"; ","")&amp;IF(AND(AI27="✓",AI$4&lt;&gt;""),AI$4&amp;"; ","")&amp;IF(AND(AJ27="✓",AJ$4&lt;&gt;""),AJ$4&amp;"; ","")&amp;IF(AND(AK27="✓",AK$4&lt;&gt;""),AK$4&amp;"; ","")&amp;IF(AND(AL27="✓",AL$4&lt;&gt;""),AL$4&amp;"; ","")&amp;IF(AND(AM27="✓",AM$4&lt;&gt;""),AM$4&amp;"; ","")&amp;IF(AND(AN27="✓",AN$4&lt;&gt;""),AN$4&amp;"; ","")&amp;IF(AND(AO27="✓",AO$4&lt;&gt;""),AO$4&amp;"; ","")&amp;IF(AND(AP27="✓",AP$4&lt;&gt;""),AP$4&amp;"; ","")&amp;IF(AND(AQ27="✓",AQ$4&lt;&gt;""),AQ$4&amp;"; ","")&amp;IF(AND(AR27="✓",AR$4&lt;&gt;""),AR$4&amp;"; ","")&amp;IF(AND(AS27="✓",AS$4&lt;&gt;""),AS$4&amp;"; ","")&amp;IF(AND(AT27="✓",AT$4&lt;&gt;""),AT$4&amp;"; ","")&amp;IF(AND(AU27="✓",AU$4&lt;&gt;""),AU$4&amp;"; ","")&amp;IF(AND(AV27="✓",AV$4&lt;&gt;""),AV$4&amp;"; ","")&amp;IF(AND(AW27="✓",AW$4&lt;&gt;""),AW$4&amp;"; ","")&amp;IF(AND(AX27="✓",AX$4&lt;&gt;""),AX$4&amp;"; ","")&amp;IF(AND(AY27="✓",AY$4&lt;&gt;""),AY$4&amp;"; ","")&amp;IF(AND(AZ27="✓",AZ$4&lt;&gt;""),AZ$4&amp;"; ","")&amp;IF(AND(BA27="✓",BA$4&lt;&gt;""),BA$4&amp;"; ","")&amp;IF(AND(BB27="✓",BB$4&lt;&gt;""),BB$4&amp;"; ","")&amp;IF(AND(BC27="✓",BC$4&lt;&gt;""),BC$4&amp;"; ","")&amp;IF(AND(BD27="✓",BD$4&lt;&gt;""),BD$4&amp;"; ","")&amp;IF(AND(BE27="✓",BE$4&lt;&gt;""),BE$4&amp;"; ","")&amp;IF(AND(BF27="✓",BF$4&lt;&gt;""),BF$4&amp;"; ","")&amp;IF(AND(BG27="✓",BG$4&lt;&gt;""),BG$4&amp;"; ","")&amp;IF(AND(BH27="✓",BH$4&lt;&gt;""),BH$4&amp;"; ","")&amp;IF(AND(BI27="✓",BI$4&lt;&gt;""),BI$4&amp;"; ","")&amp;IF(AND(BJ27="✓",BJ$4&lt;&gt;""),BJ$4&amp;"; ","")&amp;IF(AND(BK27="✓",BK$4&lt;&gt;""),BK$4&amp;"; ","")&amp;IF(AND(BL27="✓",BL$4&lt;&gt;""),BL$4&amp;"; ","")&amp;IF(AND(BM27="✓",BM$4&lt;&gt;""),BM$4&amp;"; ","")&amp;IF(AND(BN27="✓",BN$4&lt;&gt;""),BN$4&amp;"; ","")&amp;IF(AND(BO27="✓",BO$4&lt;&gt;""),BO$4&amp;"; ","")&amp;IF(AND(BP27="✓",BP$4&lt;&gt;""),BP$4&amp;"; ","")&amp;IF(AND(BQ27="✓",BQ$4&lt;&gt;""),BQ$4&amp;"; ","")&amp;IF(AND(BR27="✓",BR$4&lt;&gt;""),BR$4&amp;"; ","")&amp;IF(AND(BS27="✓",BS$4&lt;&gt;""),BS$4&amp;"; ","")&amp;IF(AND(BT27="✓",BT$4&lt;&gt;""),BT$4&amp;"; ","")&amp;IF(AND(BU27="✓",BU$4&lt;&gt;""),BU$4&amp;"; ","")&amp;IF(AND(BV27="✓",BV$4&lt;&gt;""),BV$4&amp;"; ","")&amp;IF(AND(BW27="✓",BW$4&lt;&gt;""),BW$4&amp;"; ","")&amp;IF(AND(BX27="✓",BX$4&lt;&gt;""),BX$4&amp;"; ","")&amp;IF(AND(BY27="✓",BY$4&lt;&gt;""),BY$4&amp;"; ","")&amp;IF(AND(BZ27="✓",BZ$4&lt;&gt;""),BZ$4&amp;"; ","")&amp;IF(AND(CA27="✓",CA$4&lt;&gt;""),CA$4&amp;"; ","")&amp;IF(AND(CB27="✓",CB$4&lt;&gt;""),CB$4&amp;"; ","")&amp;IF(AND(CC27="✓",CC$4&lt;&gt;""),CC$4&amp;"; ","")&amp;IF(AND(CD27="✓",CD$4&lt;&gt;""),CD$4&amp;"; ","")&amp;IF(AND(CE27="✓",CE$4&lt;&gt;""),CE$4&amp;"; ","")&amp;IF(AND(CF27="✓",CF$4&lt;&gt;""),CF$4&amp;"; ","")&amp;IF(AND(CG27="✓",CG$4&lt;&gt;""),CG$4&amp;"; ","")&amp;IF(AND(CH27="✓",CH$4&lt;&gt;""),CH$4&amp;"; ","")&amp;IF(AND(CI27="✓",CI$4&lt;&gt;""),CI$4&amp;"; ","")&amp;IF(AND(CJ27="✓",CJ$4&lt;&gt;""),CJ$4&amp;"; ","")&amp;IF(AND(CK27="✓",CK$4&lt;&gt;""),CK$4&amp;"; ","")&amp;IF(AND(CL27="✓",CL$4&lt;&gt;""),CL$4&amp;"; ","")&amp;IF(AND(CM27="✓",CM$4&lt;&gt;""),CM$4&amp;"; ","")&amp;IF(AND(CN27="✓",CN$4&lt;&gt;""),CN$4&amp;"; ","")&amp;IF(AND(CO27="✓",CO$4&lt;&gt;""),CO$4&amp;"; ","")</f>
        <v>OPP-26; </v>
      </c>
      <c r="CQ27" s="104" t="str">
        <f aca="false">IF($CP27="","",LEFT($CP27,LEN($CP27)-2))</f>
        <v>OPP-26</v>
      </c>
      <c r="CR27" s="234" t="n">
        <f aca="false">IF($A27="","",COUNTIF($D27:$CO27,"✓"))</f>
        <v>1</v>
      </c>
    </row>
    <row r="28" customFormat="false" ht="21.75" hidden="false" customHeight="true" outlineLevel="0" collapsed="false">
      <c r="A28" s="231" t="str">
        <f aca="false">IF(03_能力總表_Master!$A28="","",03_能力總表_Master!$A28)</f>
        <v>CAP-024</v>
      </c>
      <c r="B28" s="166" t="str">
        <f aca="false">IF(03_能力總表_Master!$A28="","",03_能力總表_Master!$B28)</f>
        <v>D04 數位基建與物聯網</v>
      </c>
      <c r="C28" s="95" t="str">
        <f aca="false">IF(03_能力總表_Master!$A28="","",03_能力總表_Master!$E28)</f>
        <v>RTLS與資產／人員定位</v>
      </c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32"/>
      <c r="AA28" s="232"/>
      <c r="AB28" s="232"/>
      <c r="AC28" s="232" t="s">
        <v>1305</v>
      </c>
      <c r="AD28" s="232"/>
      <c r="AE28" s="232"/>
      <c r="AF28" s="232"/>
      <c r="AG28" s="232"/>
      <c r="AH28" s="232"/>
      <c r="AI28" s="232"/>
      <c r="AJ28" s="232"/>
      <c r="AK28" s="232"/>
      <c r="AL28" s="232"/>
      <c r="AM28" s="232"/>
      <c r="AN28" s="232"/>
      <c r="AO28" s="232"/>
      <c r="AP28" s="232"/>
      <c r="AQ28" s="232"/>
      <c r="AR28" s="232"/>
      <c r="AS28" s="232"/>
      <c r="AT28" s="232"/>
      <c r="AU28" s="232"/>
      <c r="AV28" s="232"/>
      <c r="AW28" s="232"/>
      <c r="AX28" s="232"/>
      <c r="AY28" s="232"/>
      <c r="AZ28" s="232"/>
      <c r="BA28" s="232"/>
      <c r="BB28" s="232"/>
      <c r="BC28" s="232"/>
      <c r="BD28" s="232"/>
      <c r="BE28" s="232"/>
      <c r="BF28" s="232"/>
      <c r="BG28" s="232"/>
      <c r="BH28" s="232"/>
      <c r="BI28" s="232"/>
      <c r="BJ28" s="232"/>
      <c r="BK28" s="232"/>
      <c r="BL28" s="232"/>
      <c r="BM28" s="232"/>
      <c r="BN28" s="232"/>
      <c r="BO28" s="232"/>
      <c r="BP28" s="232"/>
      <c r="BQ28" s="232"/>
      <c r="BR28" s="232"/>
      <c r="BS28" s="232"/>
      <c r="BT28" s="232"/>
      <c r="BU28" s="232"/>
      <c r="BV28" s="232"/>
      <c r="BW28" s="232"/>
      <c r="BX28" s="232"/>
      <c r="BY28" s="232"/>
      <c r="BZ28" s="232"/>
      <c r="CA28" s="232"/>
      <c r="CB28" s="232"/>
      <c r="CC28" s="232"/>
      <c r="CD28" s="232"/>
      <c r="CE28" s="232"/>
      <c r="CF28" s="232"/>
      <c r="CG28" s="232"/>
      <c r="CH28" s="232"/>
      <c r="CI28" s="232"/>
      <c r="CJ28" s="232"/>
      <c r="CK28" s="232"/>
      <c r="CL28" s="232"/>
      <c r="CM28" s="232"/>
      <c r="CN28" s="232"/>
      <c r="CO28" s="232"/>
      <c r="CP28" s="233" t="str">
        <f aca="false">IF(AND(D28="✓",D$4&lt;&gt;""),D$4&amp;"; ","")&amp;IF(AND(E28="✓",E$4&lt;&gt;""),E$4&amp;"; ","")&amp;IF(AND(F28="✓",F$4&lt;&gt;""),F$4&amp;"; ","")&amp;IF(AND(G28="✓",G$4&lt;&gt;""),G$4&amp;"; ","")&amp;IF(AND(H28="✓",H$4&lt;&gt;""),H$4&amp;"; ","")&amp;IF(AND(I28="✓",I$4&lt;&gt;""),I$4&amp;"; ","")&amp;IF(AND(J28="✓",J$4&lt;&gt;""),J$4&amp;"; ","")&amp;IF(AND(K28="✓",K$4&lt;&gt;""),K$4&amp;"; ","")&amp;IF(AND(L28="✓",L$4&lt;&gt;""),L$4&amp;"; ","")&amp;IF(AND(M28="✓",M$4&lt;&gt;""),M$4&amp;"; ","")&amp;IF(AND(N28="✓",N$4&lt;&gt;""),N$4&amp;"; ","")&amp;IF(AND(O28="✓",O$4&lt;&gt;""),O$4&amp;"; ","")&amp;IF(AND(P28="✓",P$4&lt;&gt;""),P$4&amp;"; ","")&amp;IF(AND(Q28="✓",Q$4&lt;&gt;""),Q$4&amp;"; ","")&amp;IF(AND(R28="✓",R$4&lt;&gt;""),R$4&amp;"; ","")&amp;IF(AND(S28="✓",S$4&lt;&gt;""),S$4&amp;"; ","")&amp;IF(AND(T28="✓",T$4&lt;&gt;""),T$4&amp;"; ","")&amp;IF(AND(U28="✓",U$4&lt;&gt;""),U$4&amp;"; ","")&amp;IF(AND(V28="✓",V$4&lt;&gt;""),V$4&amp;"; ","")&amp;IF(AND(W28="✓",W$4&lt;&gt;""),W$4&amp;"; ","")&amp;IF(AND(X28="✓",X$4&lt;&gt;""),X$4&amp;"; ","")&amp;IF(AND(Y28="✓",Y$4&lt;&gt;""),Y$4&amp;"; ","")&amp;IF(AND(Z28="✓",Z$4&lt;&gt;""),Z$4&amp;"; ","")&amp;IF(AND(AA28="✓",AA$4&lt;&gt;""),AA$4&amp;"; ","")&amp;IF(AND(AB28="✓",AB$4&lt;&gt;""),AB$4&amp;"; ","")&amp;IF(AND(AC28="✓",AC$4&lt;&gt;""),AC$4&amp;"; ","")&amp;IF(AND(AD28="✓",AD$4&lt;&gt;""),AD$4&amp;"; ","")&amp;IF(AND(AE28="✓",AE$4&lt;&gt;""),AE$4&amp;"; ","")&amp;IF(AND(AF28="✓",AF$4&lt;&gt;""),AF$4&amp;"; ","")&amp;IF(AND(AG28="✓",AG$4&lt;&gt;""),AG$4&amp;"; ","")&amp;IF(AND(AH28="✓",AH$4&lt;&gt;""),AH$4&amp;"; ","")&amp;IF(AND(AI28="✓",AI$4&lt;&gt;""),AI$4&amp;"; ","")&amp;IF(AND(AJ28="✓",AJ$4&lt;&gt;""),AJ$4&amp;"; ","")&amp;IF(AND(AK28="✓",AK$4&lt;&gt;""),AK$4&amp;"; ","")&amp;IF(AND(AL28="✓",AL$4&lt;&gt;""),AL$4&amp;"; ","")&amp;IF(AND(AM28="✓",AM$4&lt;&gt;""),AM$4&amp;"; ","")&amp;IF(AND(AN28="✓",AN$4&lt;&gt;""),AN$4&amp;"; ","")&amp;IF(AND(AO28="✓",AO$4&lt;&gt;""),AO$4&amp;"; ","")&amp;IF(AND(AP28="✓",AP$4&lt;&gt;""),AP$4&amp;"; ","")&amp;IF(AND(AQ28="✓",AQ$4&lt;&gt;""),AQ$4&amp;"; ","")&amp;IF(AND(AR28="✓",AR$4&lt;&gt;""),AR$4&amp;"; ","")&amp;IF(AND(AS28="✓",AS$4&lt;&gt;""),AS$4&amp;"; ","")&amp;IF(AND(AT28="✓",AT$4&lt;&gt;""),AT$4&amp;"; ","")&amp;IF(AND(AU28="✓",AU$4&lt;&gt;""),AU$4&amp;"; ","")&amp;IF(AND(AV28="✓",AV$4&lt;&gt;""),AV$4&amp;"; ","")&amp;IF(AND(AW28="✓",AW$4&lt;&gt;""),AW$4&amp;"; ","")&amp;IF(AND(AX28="✓",AX$4&lt;&gt;""),AX$4&amp;"; ","")&amp;IF(AND(AY28="✓",AY$4&lt;&gt;""),AY$4&amp;"; ","")&amp;IF(AND(AZ28="✓",AZ$4&lt;&gt;""),AZ$4&amp;"; ","")&amp;IF(AND(BA28="✓",BA$4&lt;&gt;""),BA$4&amp;"; ","")&amp;IF(AND(BB28="✓",BB$4&lt;&gt;""),BB$4&amp;"; ","")&amp;IF(AND(BC28="✓",BC$4&lt;&gt;""),BC$4&amp;"; ","")&amp;IF(AND(BD28="✓",BD$4&lt;&gt;""),BD$4&amp;"; ","")&amp;IF(AND(BE28="✓",BE$4&lt;&gt;""),BE$4&amp;"; ","")&amp;IF(AND(BF28="✓",BF$4&lt;&gt;""),BF$4&amp;"; ","")&amp;IF(AND(BG28="✓",BG$4&lt;&gt;""),BG$4&amp;"; ","")&amp;IF(AND(BH28="✓",BH$4&lt;&gt;""),BH$4&amp;"; ","")&amp;IF(AND(BI28="✓",BI$4&lt;&gt;""),BI$4&amp;"; ","")&amp;IF(AND(BJ28="✓",BJ$4&lt;&gt;""),BJ$4&amp;"; ","")&amp;IF(AND(BK28="✓",BK$4&lt;&gt;""),BK$4&amp;"; ","")&amp;IF(AND(BL28="✓",BL$4&lt;&gt;""),BL$4&amp;"; ","")&amp;IF(AND(BM28="✓",BM$4&lt;&gt;""),BM$4&amp;"; ","")&amp;IF(AND(BN28="✓",BN$4&lt;&gt;""),BN$4&amp;"; ","")&amp;IF(AND(BO28="✓",BO$4&lt;&gt;""),BO$4&amp;"; ","")&amp;IF(AND(BP28="✓",BP$4&lt;&gt;""),BP$4&amp;"; ","")&amp;IF(AND(BQ28="✓",BQ$4&lt;&gt;""),BQ$4&amp;"; ","")&amp;IF(AND(BR28="✓",BR$4&lt;&gt;""),BR$4&amp;"; ","")&amp;IF(AND(BS28="✓",BS$4&lt;&gt;""),BS$4&amp;"; ","")&amp;IF(AND(BT28="✓",BT$4&lt;&gt;""),BT$4&amp;"; ","")&amp;IF(AND(BU28="✓",BU$4&lt;&gt;""),BU$4&amp;"; ","")&amp;IF(AND(BV28="✓",BV$4&lt;&gt;""),BV$4&amp;"; ","")&amp;IF(AND(BW28="✓",BW$4&lt;&gt;""),BW$4&amp;"; ","")&amp;IF(AND(BX28="✓",BX$4&lt;&gt;""),BX$4&amp;"; ","")&amp;IF(AND(BY28="✓",BY$4&lt;&gt;""),BY$4&amp;"; ","")&amp;IF(AND(BZ28="✓",BZ$4&lt;&gt;""),BZ$4&amp;"; ","")&amp;IF(AND(CA28="✓",CA$4&lt;&gt;""),CA$4&amp;"; ","")&amp;IF(AND(CB28="✓",CB$4&lt;&gt;""),CB$4&amp;"; ","")&amp;IF(AND(CC28="✓",CC$4&lt;&gt;""),CC$4&amp;"; ","")&amp;IF(AND(CD28="✓",CD$4&lt;&gt;""),CD$4&amp;"; ","")&amp;IF(AND(CE28="✓",CE$4&lt;&gt;""),CE$4&amp;"; ","")&amp;IF(AND(CF28="✓",CF$4&lt;&gt;""),CF$4&amp;"; ","")&amp;IF(AND(CG28="✓",CG$4&lt;&gt;""),CG$4&amp;"; ","")&amp;IF(AND(CH28="✓",CH$4&lt;&gt;""),CH$4&amp;"; ","")&amp;IF(AND(CI28="✓",CI$4&lt;&gt;""),CI$4&amp;"; ","")&amp;IF(AND(CJ28="✓",CJ$4&lt;&gt;""),CJ$4&amp;"; ","")&amp;IF(AND(CK28="✓",CK$4&lt;&gt;""),CK$4&amp;"; ","")&amp;IF(AND(CL28="✓",CL$4&lt;&gt;""),CL$4&amp;"; ","")&amp;IF(AND(CM28="✓",CM$4&lt;&gt;""),CM$4&amp;"; ","")&amp;IF(AND(CN28="✓",CN$4&lt;&gt;""),CN$4&amp;"; ","")&amp;IF(AND(CO28="✓",CO$4&lt;&gt;""),CO$4&amp;"; ","")</f>
        <v>OPP-26; </v>
      </c>
      <c r="CQ28" s="104" t="str">
        <f aca="false">IF($CP28="","",LEFT($CP28,LEN($CP28)-2))</f>
        <v>OPP-26</v>
      </c>
      <c r="CR28" s="234" t="n">
        <f aca="false">IF($A28="","",COUNTIF($D28:$CO28,"✓"))</f>
        <v>1</v>
      </c>
    </row>
    <row r="29" customFormat="false" ht="21.75" hidden="false" customHeight="true" outlineLevel="0" collapsed="false">
      <c r="A29" s="231" t="str">
        <f aca="false">IF(03_能力總表_Master!$A29="","",03_能力總表_Master!$A29)</f>
        <v>CAP-025</v>
      </c>
      <c r="B29" s="166" t="str">
        <f aca="false">IF(03_能力總表_Master!$A29="","",03_能力總表_Master!$B29)</f>
        <v>D04 數位基建與物聯網</v>
      </c>
      <c r="C29" s="95" t="str">
        <f aca="false">IF(03_能力總表_Master!$A29="","",03_能力總表_Master!$E29)</f>
        <v>智慧病房、護理呼叫與感測</v>
      </c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32"/>
      <c r="AA29" s="232"/>
      <c r="AB29" s="232"/>
      <c r="AC29" s="232" t="s">
        <v>1305</v>
      </c>
      <c r="AD29" s="232"/>
      <c r="AE29" s="232"/>
      <c r="AF29" s="232"/>
      <c r="AG29" s="232"/>
      <c r="AH29" s="232"/>
      <c r="AI29" s="232"/>
      <c r="AJ29" s="232"/>
      <c r="AK29" s="232"/>
      <c r="AL29" s="232"/>
      <c r="AM29" s="232"/>
      <c r="AN29" s="232"/>
      <c r="AO29" s="232"/>
      <c r="AP29" s="232"/>
      <c r="AQ29" s="232"/>
      <c r="AR29" s="232"/>
      <c r="AS29" s="232"/>
      <c r="AT29" s="232"/>
      <c r="AU29" s="232"/>
      <c r="AV29" s="232"/>
      <c r="AW29" s="232"/>
      <c r="AX29" s="232"/>
      <c r="AY29" s="232"/>
      <c r="AZ29" s="232"/>
      <c r="BA29" s="232"/>
      <c r="BB29" s="232"/>
      <c r="BC29" s="232" t="s">
        <v>1305</v>
      </c>
      <c r="BD29" s="232"/>
      <c r="BE29" s="232"/>
      <c r="BF29" s="232"/>
      <c r="BG29" s="232"/>
      <c r="BH29" s="232"/>
      <c r="BI29" s="232"/>
      <c r="BJ29" s="232"/>
      <c r="BK29" s="232"/>
      <c r="BL29" s="232"/>
      <c r="BM29" s="232"/>
      <c r="BN29" s="232"/>
      <c r="BO29" s="232"/>
      <c r="BP29" s="232"/>
      <c r="BQ29" s="232"/>
      <c r="BR29" s="232"/>
      <c r="BS29" s="232"/>
      <c r="BT29" s="232"/>
      <c r="BU29" s="232"/>
      <c r="BV29" s="232"/>
      <c r="BW29" s="232"/>
      <c r="BX29" s="232"/>
      <c r="BY29" s="232"/>
      <c r="BZ29" s="232"/>
      <c r="CA29" s="232"/>
      <c r="CB29" s="232"/>
      <c r="CC29" s="232"/>
      <c r="CD29" s="232"/>
      <c r="CE29" s="232"/>
      <c r="CF29" s="232"/>
      <c r="CG29" s="232"/>
      <c r="CH29" s="232"/>
      <c r="CI29" s="232"/>
      <c r="CJ29" s="232"/>
      <c r="CK29" s="232"/>
      <c r="CL29" s="232"/>
      <c r="CM29" s="232"/>
      <c r="CN29" s="232"/>
      <c r="CO29" s="232"/>
      <c r="CP29" s="233" t="str">
        <f aca="false">IF(AND(D29="✓",D$4&lt;&gt;""),D$4&amp;"; ","")&amp;IF(AND(E29="✓",E$4&lt;&gt;""),E$4&amp;"; ","")&amp;IF(AND(F29="✓",F$4&lt;&gt;""),F$4&amp;"; ","")&amp;IF(AND(G29="✓",G$4&lt;&gt;""),G$4&amp;"; ","")&amp;IF(AND(H29="✓",H$4&lt;&gt;""),H$4&amp;"; ","")&amp;IF(AND(I29="✓",I$4&lt;&gt;""),I$4&amp;"; ","")&amp;IF(AND(J29="✓",J$4&lt;&gt;""),J$4&amp;"; ","")&amp;IF(AND(K29="✓",K$4&lt;&gt;""),K$4&amp;"; ","")&amp;IF(AND(L29="✓",L$4&lt;&gt;""),L$4&amp;"; ","")&amp;IF(AND(M29="✓",M$4&lt;&gt;""),M$4&amp;"; ","")&amp;IF(AND(N29="✓",N$4&lt;&gt;""),N$4&amp;"; ","")&amp;IF(AND(O29="✓",O$4&lt;&gt;""),O$4&amp;"; ","")&amp;IF(AND(P29="✓",P$4&lt;&gt;""),P$4&amp;"; ","")&amp;IF(AND(Q29="✓",Q$4&lt;&gt;""),Q$4&amp;"; ","")&amp;IF(AND(R29="✓",R$4&lt;&gt;""),R$4&amp;"; ","")&amp;IF(AND(S29="✓",S$4&lt;&gt;""),S$4&amp;"; ","")&amp;IF(AND(T29="✓",T$4&lt;&gt;""),T$4&amp;"; ","")&amp;IF(AND(U29="✓",U$4&lt;&gt;""),U$4&amp;"; ","")&amp;IF(AND(V29="✓",V$4&lt;&gt;""),V$4&amp;"; ","")&amp;IF(AND(W29="✓",W$4&lt;&gt;""),W$4&amp;"; ","")&amp;IF(AND(X29="✓",X$4&lt;&gt;""),X$4&amp;"; ","")&amp;IF(AND(Y29="✓",Y$4&lt;&gt;""),Y$4&amp;"; ","")&amp;IF(AND(Z29="✓",Z$4&lt;&gt;""),Z$4&amp;"; ","")&amp;IF(AND(AA29="✓",AA$4&lt;&gt;""),AA$4&amp;"; ","")&amp;IF(AND(AB29="✓",AB$4&lt;&gt;""),AB$4&amp;"; ","")&amp;IF(AND(AC29="✓",AC$4&lt;&gt;""),AC$4&amp;"; ","")&amp;IF(AND(AD29="✓",AD$4&lt;&gt;""),AD$4&amp;"; ","")&amp;IF(AND(AE29="✓",AE$4&lt;&gt;""),AE$4&amp;"; ","")&amp;IF(AND(AF29="✓",AF$4&lt;&gt;""),AF$4&amp;"; ","")&amp;IF(AND(AG29="✓",AG$4&lt;&gt;""),AG$4&amp;"; ","")&amp;IF(AND(AH29="✓",AH$4&lt;&gt;""),AH$4&amp;"; ","")&amp;IF(AND(AI29="✓",AI$4&lt;&gt;""),AI$4&amp;"; ","")&amp;IF(AND(AJ29="✓",AJ$4&lt;&gt;""),AJ$4&amp;"; ","")&amp;IF(AND(AK29="✓",AK$4&lt;&gt;""),AK$4&amp;"; ","")&amp;IF(AND(AL29="✓",AL$4&lt;&gt;""),AL$4&amp;"; ","")&amp;IF(AND(AM29="✓",AM$4&lt;&gt;""),AM$4&amp;"; ","")&amp;IF(AND(AN29="✓",AN$4&lt;&gt;""),AN$4&amp;"; ","")&amp;IF(AND(AO29="✓",AO$4&lt;&gt;""),AO$4&amp;"; ","")&amp;IF(AND(AP29="✓",AP$4&lt;&gt;""),AP$4&amp;"; ","")&amp;IF(AND(AQ29="✓",AQ$4&lt;&gt;""),AQ$4&amp;"; ","")&amp;IF(AND(AR29="✓",AR$4&lt;&gt;""),AR$4&amp;"; ","")&amp;IF(AND(AS29="✓",AS$4&lt;&gt;""),AS$4&amp;"; ","")&amp;IF(AND(AT29="✓",AT$4&lt;&gt;""),AT$4&amp;"; ","")&amp;IF(AND(AU29="✓",AU$4&lt;&gt;""),AU$4&amp;"; ","")&amp;IF(AND(AV29="✓",AV$4&lt;&gt;""),AV$4&amp;"; ","")&amp;IF(AND(AW29="✓",AW$4&lt;&gt;""),AW$4&amp;"; ","")&amp;IF(AND(AX29="✓",AX$4&lt;&gt;""),AX$4&amp;"; ","")&amp;IF(AND(AY29="✓",AY$4&lt;&gt;""),AY$4&amp;"; ","")&amp;IF(AND(AZ29="✓",AZ$4&lt;&gt;""),AZ$4&amp;"; ","")&amp;IF(AND(BA29="✓",BA$4&lt;&gt;""),BA$4&amp;"; ","")&amp;IF(AND(BB29="✓",BB$4&lt;&gt;""),BB$4&amp;"; ","")&amp;IF(AND(BC29="✓",BC$4&lt;&gt;""),BC$4&amp;"; ","")&amp;IF(AND(BD29="✓",BD$4&lt;&gt;""),BD$4&amp;"; ","")&amp;IF(AND(BE29="✓",BE$4&lt;&gt;""),BE$4&amp;"; ","")&amp;IF(AND(BF29="✓",BF$4&lt;&gt;""),BF$4&amp;"; ","")&amp;IF(AND(BG29="✓",BG$4&lt;&gt;""),BG$4&amp;"; ","")&amp;IF(AND(BH29="✓",BH$4&lt;&gt;""),BH$4&amp;"; ","")&amp;IF(AND(BI29="✓",BI$4&lt;&gt;""),BI$4&amp;"; ","")&amp;IF(AND(BJ29="✓",BJ$4&lt;&gt;""),BJ$4&amp;"; ","")&amp;IF(AND(BK29="✓",BK$4&lt;&gt;""),BK$4&amp;"; ","")&amp;IF(AND(BL29="✓",BL$4&lt;&gt;""),BL$4&amp;"; ","")&amp;IF(AND(BM29="✓",BM$4&lt;&gt;""),BM$4&amp;"; ","")&amp;IF(AND(BN29="✓",BN$4&lt;&gt;""),BN$4&amp;"; ","")&amp;IF(AND(BO29="✓",BO$4&lt;&gt;""),BO$4&amp;"; ","")&amp;IF(AND(BP29="✓",BP$4&lt;&gt;""),BP$4&amp;"; ","")&amp;IF(AND(BQ29="✓",BQ$4&lt;&gt;""),BQ$4&amp;"; ","")&amp;IF(AND(BR29="✓",BR$4&lt;&gt;""),BR$4&amp;"; ","")&amp;IF(AND(BS29="✓",BS$4&lt;&gt;""),BS$4&amp;"; ","")&amp;IF(AND(BT29="✓",BT$4&lt;&gt;""),BT$4&amp;"; ","")&amp;IF(AND(BU29="✓",BU$4&lt;&gt;""),BU$4&amp;"; ","")&amp;IF(AND(BV29="✓",BV$4&lt;&gt;""),BV$4&amp;"; ","")&amp;IF(AND(BW29="✓",BW$4&lt;&gt;""),BW$4&amp;"; ","")&amp;IF(AND(BX29="✓",BX$4&lt;&gt;""),BX$4&amp;"; ","")&amp;IF(AND(BY29="✓",BY$4&lt;&gt;""),BY$4&amp;"; ","")&amp;IF(AND(BZ29="✓",BZ$4&lt;&gt;""),BZ$4&amp;"; ","")&amp;IF(AND(CA29="✓",CA$4&lt;&gt;""),CA$4&amp;"; ","")&amp;IF(AND(CB29="✓",CB$4&lt;&gt;""),CB$4&amp;"; ","")&amp;IF(AND(CC29="✓",CC$4&lt;&gt;""),CC$4&amp;"; ","")&amp;IF(AND(CD29="✓",CD$4&lt;&gt;""),CD$4&amp;"; ","")&amp;IF(AND(CE29="✓",CE$4&lt;&gt;""),CE$4&amp;"; ","")&amp;IF(AND(CF29="✓",CF$4&lt;&gt;""),CF$4&amp;"; ","")&amp;IF(AND(CG29="✓",CG$4&lt;&gt;""),CG$4&amp;"; ","")&amp;IF(AND(CH29="✓",CH$4&lt;&gt;""),CH$4&amp;"; ","")&amp;IF(AND(CI29="✓",CI$4&lt;&gt;""),CI$4&amp;"; ","")&amp;IF(AND(CJ29="✓",CJ$4&lt;&gt;""),CJ$4&amp;"; ","")&amp;IF(AND(CK29="✓",CK$4&lt;&gt;""),CK$4&amp;"; ","")&amp;IF(AND(CL29="✓",CL$4&lt;&gt;""),CL$4&amp;"; ","")&amp;IF(AND(CM29="✓",CM$4&lt;&gt;""),CM$4&amp;"; ","")&amp;IF(AND(CN29="✓",CN$4&lt;&gt;""),CN$4&amp;"; ","")&amp;IF(AND(CO29="✓",CO$4&lt;&gt;""),CO$4&amp;"; ","")</f>
        <v>OPP-26; OPP-52; </v>
      </c>
      <c r="CQ29" s="104" t="str">
        <f aca="false">IF($CP29="","",LEFT($CP29,LEN($CP29)-2))</f>
        <v>OPP-26; OPP-52</v>
      </c>
      <c r="CR29" s="234" t="n">
        <f aca="false">IF($A29="","",COUNTIF($D29:$CO29,"✓"))</f>
        <v>2</v>
      </c>
    </row>
    <row r="30" customFormat="false" ht="21.75" hidden="false" customHeight="true" outlineLevel="0" collapsed="false">
      <c r="A30" s="231" t="str">
        <f aca="false">IF(03_能力總表_Master!$A30="","",03_能力總表_Master!$A30)</f>
        <v>CAP-026</v>
      </c>
      <c r="B30" s="166" t="str">
        <f aca="false">IF(03_能力總表_Master!$A30="","",03_能力總表_Master!$B30)</f>
        <v>D04 數位基建與物聯網</v>
      </c>
      <c r="C30" s="95" t="str">
        <f aca="false">IF(03_能力總表_Master!$A30="","",03_能力總表_Master!$E30)</f>
        <v>災難復原與營運持續</v>
      </c>
      <c r="D30" s="232"/>
      <c r="E30" s="232"/>
      <c r="F30" s="232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32"/>
      <c r="AA30" s="232" t="s">
        <v>1305</v>
      </c>
      <c r="AB30" s="232" t="s">
        <v>1305</v>
      </c>
      <c r="AC30" s="232"/>
      <c r="AD30" s="232" t="s">
        <v>1305</v>
      </c>
      <c r="AE30" s="232"/>
      <c r="AF30" s="232" t="s">
        <v>1305</v>
      </c>
      <c r="AG30" s="232"/>
      <c r="AH30" s="232"/>
      <c r="AI30" s="232"/>
      <c r="AJ30" s="232"/>
      <c r="AK30" s="232"/>
      <c r="AL30" s="232"/>
      <c r="AM30" s="232"/>
      <c r="AN30" s="232"/>
      <c r="AO30" s="232"/>
      <c r="AP30" s="232" t="s">
        <v>1305</v>
      </c>
      <c r="AQ30" s="232"/>
      <c r="AR30" s="232"/>
      <c r="AS30" s="232"/>
      <c r="AT30" s="232"/>
      <c r="AU30" s="232"/>
      <c r="AV30" s="232"/>
      <c r="AW30" s="232"/>
      <c r="AX30" s="232"/>
      <c r="AY30" s="232"/>
      <c r="AZ30" s="232"/>
      <c r="BA30" s="232"/>
      <c r="BB30" s="232"/>
      <c r="BC30" s="232"/>
      <c r="BD30" s="232"/>
      <c r="BE30" s="232"/>
      <c r="BF30" s="232"/>
      <c r="BG30" s="232"/>
      <c r="BH30" s="232"/>
      <c r="BI30" s="232"/>
      <c r="BJ30" s="232" t="s">
        <v>1305</v>
      </c>
      <c r="BK30" s="232"/>
      <c r="BL30" s="232"/>
      <c r="BM30" s="232"/>
      <c r="BN30" s="232"/>
      <c r="BO30" s="232"/>
      <c r="BP30" s="232"/>
      <c r="BQ30" s="232"/>
      <c r="BR30" s="232"/>
      <c r="BS30" s="232"/>
      <c r="BT30" s="232"/>
      <c r="BU30" s="232"/>
      <c r="BV30" s="232"/>
      <c r="BW30" s="232"/>
      <c r="BX30" s="232"/>
      <c r="BY30" s="232"/>
      <c r="BZ30" s="232"/>
      <c r="CA30" s="232"/>
      <c r="CB30" s="232"/>
      <c r="CC30" s="232"/>
      <c r="CD30" s="232"/>
      <c r="CE30" s="232"/>
      <c r="CF30" s="232"/>
      <c r="CG30" s="232"/>
      <c r="CH30" s="232"/>
      <c r="CI30" s="232"/>
      <c r="CJ30" s="232"/>
      <c r="CK30" s="232"/>
      <c r="CL30" s="232"/>
      <c r="CM30" s="232"/>
      <c r="CN30" s="232"/>
      <c r="CO30" s="232"/>
      <c r="CP30" s="233" t="str">
        <f aca="false">IF(AND(D30="✓",D$4&lt;&gt;""),D$4&amp;"; ","")&amp;IF(AND(E30="✓",E$4&lt;&gt;""),E$4&amp;"; ","")&amp;IF(AND(F30="✓",F$4&lt;&gt;""),F$4&amp;"; ","")&amp;IF(AND(G30="✓",G$4&lt;&gt;""),G$4&amp;"; ","")&amp;IF(AND(H30="✓",H$4&lt;&gt;""),H$4&amp;"; ","")&amp;IF(AND(I30="✓",I$4&lt;&gt;""),I$4&amp;"; ","")&amp;IF(AND(J30="✓",J$4&lt;&gt;""),J$4&amp;"; ","")&amp;IF(AND(K30="✓",K$4&lt;&gt;""),K$4&amp;"; ","")&amp;IF(AND(L30="✓",L$4&lt;&gt;""),L$4&amp;"; ","")&amp;IF(AND(M30="✓",M$4&lt;&gt;""),M$4&amp;"; ","")&amp;IF(AND(N30="✓",N$4&lt;&gt;""),N$4&amp;"; ","")&amp;IF(AND(O30="✓",O$4&lt;&gt;""),O$4&amp;"; ","")&amp;IF(AND(P30="✓",P$4&lt;&gt;""),P$4&amp;"; ","")&amp;IF(AND(Q30="✓",Q$4&lt;&gt;""),Q$4&amp;"; ","")&amp;IF(AND(R30="✓",R$4&lt;&gt;""),R$4&amp;"; ","")&amp;IF(AND(S30="✓",S$4&lt;&gt;""),S$4&amp;"; ","")&amp;IF(AND(T30="✓",T$4&lt;&gt;""),T$4&amp;"; ","")&amp;IF(AND(U30="✓",U$4&lt;&gt;""),U$4&amp;"; ","")&amp;IF(AND(V30="✓",V$4&lt;&gt;""),V$4&amp;"; ","")&amp;IF(AND(W30="✓",W$4&lt;&gt;""),W$4&amp;"; ","")&amp;IF(AND(X30="✓",X$4&lt;&gt;""),X$4&amp;"; ","")&amp;IF(AND(Y30="✓",Y$4&lt;&gt;""),Y$4&amp;"; ","")&amp;IF(AND(Z30="✓",Z$4&lt;&gt;""),Z$4&amp;"; ","")&amp;IF(AND(AA30="✓",AA$4&lt;&gt;""),AA$4&amp;"; ","")&amp;IF(AND(AB30="✓",AB$4&lt;&gt;""),AB$4&amp;"; ","")&amp;IF(AND(AC30="✓",AC$4&lt;&gt;""),AC$4&amp;"; ","")&amp;IF(AND(AD30="✓",AD$4&lt;&gt;""),AD$4&amp;"; ","")&amp;IF(AND(AE30="✓",AE$4&lt;&gt;""),AE$4&amp;"; ","")&amp;IF(AND(AF30="✓",AF$4&lt;&gt;""),AF$4&amp;"; ","")&amp;IF(AND(AG30="✓",AG$4&lt;&gt;""),AG$4&amp;"; ","")&amp;IF(AND(AH30="✓",AH$4&lt;&gt;""),AH$4&amp;"; ","")&amp;IF(AND(AI30="✓",AI$4&lt;&gt;""),AI$4&amp;"; ","")&amp;IF(AND(AJ30="✓",AJ$4&lt;&gt;""),AJ$4&amp;"; ","")&amp;IF(AND(AK30="✓",AK$4&lt;&gt;""),AK$4&amp;"; ","")&amp;IF(AND(AL30="✓",AL$4&lt;&gt;""),AL$4&amp;"; ","")&amp;IF(AND(AM30="✓",AM$4&lt;&gt;""),AM$4&amp;"; ","")&amp;IF(AND(AN30="✓",AN$4&lt;&gt;""),AN$4&amp;"; ","")&amp;IF(AND(AO30="✓",AO$4&lt;&gt;""),AO$4&amp;"; ","")&amp;IF(AND(AP30="✓",AP$4&lt;&gt;""),AP$4&amp;"; ","")&amp;IF(AND(AQ30="✓",AQ$4&lt;&gt;""),AQ$4&amp;"; ","")&amp;IF(AND(AR30="✓",AR$4&lt;&gt;""),AR$4&amp;"; ","")&amp;IF(AND(AS30="✓",AS$4&lt;&gt;""),AS$4&amp;"; ","")&amp;IF(AND(AT30="✓",AT$4&lt;&gt;""),AT$4&amp;"; ","")&amp;IF(AND(AU30="✓",AU$4&lt;&gt;""),AU$4&amp;"; ","")&amp;IF(AND(AV30="✓",AV$4&lt;&gt;""),AV$4&amp;"; ","")&amp;IF(AND(AW30="✓",AW$4&lt;&gt;""),AW$4&amp;"; ","")&amp;IF(AND(AX30="✓",AX$4&lt;&gt;""),AX$4&amp;"; ","")&amp;IF(AND(AY30="✓",AY$4&lt;&gt;""),AY$4&amp;"; ","")&amp;IF(AND(AZ30="✓",AZ$4&lt;&gt;""),AZ$4&amp;"; ","")&amp;IF(AND(BA30="✓",BA$4&lt;&gt;""),BA$4&amp;"; ","")&amp;IF(AND(BB30="✓",BB$4&lt;&gt;""),BB$4&amp;"; ","")&amp;IF(AND(BC30="✓",BC$4&lt;&gt;""),BC$4&amp;"; ","")&amp;IF(AND(BD30="✓",BD$4&lt;&gt;""),BD$4&amp;"; ","")&amp;IF(AND(BE30="✓",BE$4&lt;&gt;""),BE$4&amp;"; ","")&amp;IF(AND(BF30="✓",BF$4&lt;&gt;""),BF$4&amp;"; ","")&amp;IF(AND(BG30="✓",BG$4&lt;&gt;""),BG$4&amp;"; ","")&amp;IF(AND(BH30="✓",BH$4&lt;&gt;""),BH$4&amp;"; ","")&amp;IF(AND(BI30="✓",BI$4&lt;&gt;""),BI$4&amp;"; ","")&amp;IF(AND(BJ30="✓",BJ$4&lt;&gt;""),BJ$4&amp;"; ","")&amp;IF(AND(BK30="✓",BK$4&lt;&gt;""),BK$4&amp;"; ","")&amp;IF(AND(BL30="✓",BL$4&lt;&gt;""),BL$4&amp;"; ","")&amp;IF(AND(BM30="✓",BM$4&lt;&gt;""),BM$4&amp;"; ","")&amp;IF(AND(BN30="✓",BN$4&lt;&gt;""),BN$4&amp;"; ","")&amp;IF(AND(BO30="✓",BO$4&lt;&gt;""),BO$4&amp;"; ","")&amp;IF(AND(BP30="✓",BP$4&lt;&gt;""),BP$4&amp;"; ","")&amp;IF(AND(BQ30="✓",BQ$4&lt;&gt;""),BQ$4&amp;"; ","")&amp;IF(AND(BR30="✓",BR$4&lt;&gt;""),BR$4&amp;"; ","")&amp;IF(AND(BS30="✓",BS$4&lt;&gt;""),BS$4&amp;"; ","")&amp;IF(AND(BT30="✓",BT$4&lt;&gt;""),BT$4&amp;"; ","")&amp;IF(AND(BU30="✓",BU$4&lt;&gt;""),BU$4&amp;"; ","")&amp;IF(AND(BV30="✓",BV$4&lt;&gt;""),BV$4&amp;"; ","")&amp;IF(AND(BW30="✓",BW$4&lt;&gt;""),BW$4&amp;"; ","")&amp;IF(AND(BX30="✓",BX$4&lt;&gt;""),BX$4&amp;"; ","")&amp;IF(AND(BY30="✓",BY$4&lt;&gt;""),BY$4&amp;"; ","")&amp;IF(AND(BZ30="✓",BZ$4&lt;&gt;""),BZ$4&amp;"; ","")&amp;IF(AND(CA30="✓",CA$4&lt;&gt;""),CA$4&amp;"; ","")&amp;IF(AND(CB30="✓",CB$4&lt;&gt;""),CB$4&amp;"; ","")&amp;IF(AND(CC30="✓",CC$4&lt;&gt;""),CC$4&amp;"; ","")&amp;IF(AND(CD30="✓",CD$4&lt;&gt;""),CD$4&amp;"; ","")&amp;IF(AND(CE30="✓",CE$4&lt;&gt;""),CE$4&amp;"; ","")&amp;IF(AND(CF30="✓",CF$4&lt;&gt;""),CF$4&amp;"; ","")&amp;IF(AND(CG30="✓",CG$4&lt;&gt;""),CG$4&amp;"; ","")&amp;IF(AND(CH30="✓",CH$4&lt;&gt;""),CH$4&amp;"; ","")&amp;IF(AND(CI30="✓",CI$4&lt;&gt;""),CI$4&amp;"; ","")&amp;IF(AND(CJ30="✓",CJ$4&lt;&gt;""),CJ$4&amp;"; ","")&amp;IF(AND(CK30="✓",CK$4&lt;&gt;""),CK$4&amp;"; ","")&amp;IF(AND(CL30="✓",CL$4&lt;&gt;""),CL$4&amp;"; ","")&amp;IF(AND(CM30="✓",CM$4&lt;&gt;""),CM$4&amp;"; ","")&amp;IF(AND(CN30="✓",CN$4&lt;&gt;""),CN$4&amp;"; ","")&amp;IF(AND(CO30="✓",CO$4&lt;&gt;""),CO$4&amp;"; ","")</f>
        <v>OPP-24; OPP-25; OPP-27; OPP-29; OPP-39; OPP-59; </v>
      </c>
      <c r="CQ30" s="104" t="str">
        <f aca="false">IF($CP30="","",LEFT($CP30,LEN($CP30)-2))</f>
        <v>OPP-24; OPP-25; OPP-27; OPP-29; OPP-39; OPP-59</v>
      </c>
      <c r="CR30" s="234" t="n">
        <f aca="false">IF($A30="","",COUNTIF($D30:$CO30,"✓"))</f>
        <v>6</v>
      </c>
    </row>
    <row r="31" customFormat="false" ht="21.75" hidden="false" customHeight="true" outlineLevel="0" collapsed="false">
      <c r="A31" s="231" t="str">
        <f aca="false">IF(03_能力總表_Master!$A31="","",03_能力總表_Master!$A31)</f>
        <v>CAP-027</v>
      </c>
      <c r="B31" s="166" t="str">
        <f aca="false">IF(03_能力總表_Master!$A31="","",03_能力總表_Master!$B31)</f>
        <v>D05 醫材與診斷</v>
      </c>
      <c r="C31" s="95" t="str">
        <f aca="false">IF(03_能力總表_Master!$A31="","",03_能力總表_Master!$E31)</f>
        <v>醫材需求與設備計畫</v>
      </c>
      <c r="D31" s="232"/>
      <c r="E31" s="232"/>
      <c r="F31" s="232"/>
      <c r="G31" s="232"/>
      <c r="H31" s="232" t="s">
        <v>1305</v>
      </c>
      <c r="I31" s="232"/>
      <c r="J31" s="232"/>
      <c r="K31" s="232"/>
      <c r="L31" s="232"/>
      <c r="M31" s="232"/>
      <c r="N31" s="232"/>
      <c r="O31" s="232"/>
      <c r="P31" s="232"/>
      <c r="Q31" s="232" t="s">
        <v>1305</v>
      </c>
      <c r="R31" s="232" t="s">
        <v>1305</v>
      </c>
      <c r="S31" s="232"/>
      <c r="T31" s="232" t="s">
        <v>1305</v>
      </c>
      <c r="U31" s="232"/>
      <c r="V31" s="232"/>
      <c r="W31" s="232" t="s">
        <v>1305</v>
      </c>
      <c r="X31" s="232"/>
      <c r="Y31" s="232"/>
      <c r="Z31" s="232" t="s">
        <v>1305</v>
      </c>
      <c r="AA31" s="232"/>
      <c r="AB31" s="232"/>
      <c r="AC31" s="232"/>
      <c r="AD31" s="232"/>
      <c r="AE31" s="232"/>
      <c r="AF31" s="232"/>
      <c r="AG31" s="232"/>
      <c r="AH31" s="232"/>
      <c r="AI31" s="232"/>
      <c r="AJ31" s="232"/>
      <c r="AK31" s="232"/>
      <c r="AL31" s="232"/>
      <c r="AM31" s="232"/>
      <c r="AN31" s="232"/>
      <c r="AO31" s="232"/>
      <c r="AP31" s="232"/>
      <c r="AQ31" s="232"/>
      <c r="AR31" s="232"/>
      <c r="AS31" s="232"/>
      <c r="AT31" s="232"/>
      <c r="AU31" s="232"/>
      <c r="AV31" s="232"/>
      <c r="AW31" s="232"/>
      <c r="AX31" s="232"/>
      <c r="AY31" s="232"/>
      <c r="AZ31" s="232"/>
      <c r="BA31" s="232"/>
      <c r="BB31" s="232"/>
      <c r="BC31" s="232"/>
      <c r="BD31" s="232"/>
      <c r="BE31" s="232"/>
      <c r="BF31" s="232"/>
      <c r="BG31" s="232"/>
      <c r="BH31" s="232"/>
      <c r="BI31" s="232"/>
      <c r="BJ31" s="232"/>
      <c r="BK31" s="232"/>
      <c r="BL31" s="232"/>
      <c r="BM31" s="232"/>
      <c r="BN31" s="232"/>
      <c r="BO31" s="232"/>
      <c r="BP31" s="232"/>
      <c r="BQ31" s="232"/>
      <c r="BR31" s="232"/>
      <c r="BS31" s="232"/>
      <c r="BT31" s="232"/>
      <c r="BU31" s="232"/>
      <c r="BV31" s="232" t="s">
        <v>1305</v>
      </c>
      <c r="BW31" s="232"/>
      <c r="BX31" s="232" t="s">
        <v>1305</v>
      </c>
      <c r="BY31" s="232"/>
      <c r="BZ31" s="232"/>
      <c r="CA31" s="232"/>
      <c r="CB31" s="232"/>
      <c r="CC31" s="232"/>
      <c r="CD31" s="232"/>
      <c r="CE31" s="232"/>
      <c r="CF31" s="232"/>
      <c r="CG31" s="232"/>
      <c r="CH31" s="232"/>
      <c r="CI31" s="232"/>
      <c r="CJ31" s="232"/>
      <c r="CK31" s="232"/>
      <c r="CL31" s="232"/>
      <c r="CM31" s="232"/>
      <c r="CN31" s="232"/>
      <c r="CO31" s="232"/>
      <c r="CP31" s="233" t="str">
        <f aca="false">IF(AND(D31="✓",D$4&lt;&gt;""),D$4&amp;"; ","")&amp;IF(AND(E31="✓",E$4&lt;&gt;""),E$4&amp;"; ","")&amp;IF(AND(F31="✓",F$4&lt;&gt;""),F$4&amp;"; ","")&amp;IF(AND(G31="✓",G$4&lt;&gt;""),G$4&amp;"; ","")&amp;IF(AND(H31="✓",H$4&lt;&gt;""),H$4&amp;"; ","")&amp;IF(AND(I31="✓",I$4&lt;&gt;""),I$4&amp;"; ","")&amp;IF(AND(J31="✓",J$4&lt;&gt;""),J$4&amp;"; ","")&amp;IF(AND(K31="✓",K$4&lt;&gt;""),K$4&amp;"; ","")&amp;IF(AND(L31="✓",L$4&lt;&gt;""),L$4&amp;"; ","")&amp;IF(AND(M31="✓",M$4&lt;&gt;""),M$4&amp;"; ","")&amp;IF(AND(N31="✓",N$4&lt;&gt;""),N$4&amp;"; ","")&amp;IF(AND(O31="✓",O$4&lt;&gt;""),O$4&amp;"; ","")&amp;IF(AND(P31="✓",P$4&lt;&gt;""),P$4&amp;"; ","")&amp;IF(AND(Q31="✓",Q$4&lt;&gt;""),Q$4&amp;"; ","")&amp;IF(AND(R31="✓",R$4&lt;&gt;""),R$4&amp;"; ","")&amp;IF(AND(S31="✓",S$4&lt;&gt;""),S$4&amp;"; ","")&amp;IF(AND(T31="✓",T$4&lt;&gt;""),T$4&amp;"; ","")&amp;IF(AND(U31="✓",U$4&lt;&gt;""),U$4&amp;"; ","")&amp;IF(AND(V31="✓",V$4&lt;&gt;""),V$4&amp;"; ","")&amp;IF(AND(W31="✓",W$4&lt;&gt;""),W$4&amp;"; ","")&amp;IF(AND(X31="✓",X$4&lt;&gt;""),X$4&amp;"; ","")&amp;IF(AND(Y31="✓",Y$4&lt;&gt;""),Y$4&amp;"; ","")&amp;IF(AND(Z31="✓",Z$4&lt;&gt;""),Z$4&amp;"; ","")&amp;IF(AND(AA31="✓",AA$4&lt;&gt;""),AA$4&amp;"; ","")&amp;IF(AND(AB31="✓",AB$4&lt;&gt;""),AB$4&amp;"; ","")&amp;IF(AND(AC31="✓",AC$4&lt;&gt;""),AC$4&amp;"; ","")&amp;IF(AND(AD31="✓",AD$4&lt;&gt;""),AD$4&amp;"; ","")&amp;IF(AND(AE31="✓",AE$4&lt;&gt;""),AE$4&amp;"; ","")&amp;IF(AND(AF31="✓",AF$4&lt;&gt;""),AF$4&amp;"; ","")&amp;IF(AND(AG31="✓",AG$4&lt;&gt;""),AG$4&amp;"; ","")&amp;IF(AND(AH31="✓",AH$4&lt;&gt;""),AH$4&amp;"; ","")&amp;IF(AND(AI31="✓",AI$4&lt;&gt;""),AI$4&amp;"; ","")&amp;IF(AND(AJ31="✓",AJ$4&lt;&gt;""),AJ$4&amp;"; ","")&amp;IF(AND(AK31="✓",AK$4&lt;&gt;""),AK$4&amp;"; ","")&amp;IF(AND(AL31="✓",AL$4&lt;&gt;""),AL$4&amp;"; ","")&amp;IF(AND(AM31="✓",AM$4&lt;&gt;""),AM$4&amp;"; ","")&amp;IF(AND(AN31="✓",AN$4&lt;&gt;""),AN$4&amp;"; ","")&amp;IF(AND(AO31="✓",AO$4&lt;&gt;""),AO$4&amp;"; ","")&amp;IF(AND(AP31="✓",AP$4&lt;&gt;""),AP$4&amp;"; ","")&amp;IF(AND(AQ31="✓",AQ$4&lt;&gt;""),AQ$4&amp;"; ","")&amp;IF(AND(AR31="✓",AR$4&lt;&gt;""),AR$4&amp;"; ","")&amp;IF(AND(AS31="✓",AS$4&lt;&gt;""),AS$4&amp;"; ","")&amp;IF(AND(AT31="✓",AT$4&lt;&gt;""),AT$4&amp;"; ","")&amp;IF(AND(AU31="✓",AU$4&lt;&gt;""),AU$4&amp;"; ","")&amp;IF(AND(AV31="✓",AV$4&lt;&gt;""),AV$4&amp;"; ","")&amp;IF(AND(AW31="✓",AW$4&lt;&gt;""),AW$4&amp;"; ","")&amp;IF(AND(AX31="✓",AX$4&lt;&gt;""),AX$4&amp;"; ","")&amp;IF(AND(AY31="✓",AY$4&lt;&gt;""),AY$4&amp;"; ","")&amp;IF(AND(AZ31="✓",AZ$4&lt;&gt;""),AZ$4&amp;"; ","")&amp;IF(AND(BA31="✓",BA$4&lt;&gt;""),BA$4&amp;"; ","")&amp;IF(AND(BB31="✓",BB$4&lt;&gt;""),BB$4&amp;"; ","")&amp;IF(AND(BC31="✓",BC$4&lt;&gt;""),BC$4&amp;"; ","")&amp;IF(AND(BD31="✓",BD$4&lt;&gt;""),BD$4&amp;"; ","")&amp;IF(AND(BE31="✓",BE$4&lt;&gt;""),BE$4&amp;"; ","")&amp;IF(AND(BF31="✓",BF$4&lt;&gt;""),BF$4&amp;"; ","")&amp;IF(AND(BG31="✓",BG$4&lt;&gt;""),BG$4&amp;"; ","")&amp;IF(AND(BH31="✓",BH$4&lt;&gt;""),BH$4&amp;"; ","")&amp;IF(AND(BI31="✓",BI$4&lt;&gt;""),BI$4&amp;"; ","")&amp;IF(AND(BJ31="✓",BJ$4&lt;&gt;""),BJ$4&amp;"; ","")&amp;IF(AND(BK31="✓",BK$4&lt;&gt;""),BK$4&amp;"; ","")&amp;IF(AND(BL31="✓",BL$4&lt;&gt;""),BL$4&amp;"; ","")&amp;IF(AND(BM31="✓",BM$4&lt;&gt;""),BM$4&amp;"; ","")&amp;IF(AND(BN31="✓",BN$4&lt;&gt;""),BN$4&amp;"; ","")&amp;IF(AND(BO31="✓",BO$4&lt;&gt;""),BO$4&amp;"; ","")&amp;IF(AND(BP31="✓",BP$4&lt;&gt;""),BP$4&amp;"; ","")&amp;IF(AND(BQ31="✓",BQ$4&lt;&gt;""),BQ$4&amp;"; ","")&amp;IF(AND(BR31="✓",BR$4&lt;&gt;""),BR$4&amp;"; ","")&amp;IF(AND(BS31="✓",BS$4&lt;&gt;""),BS$4&amp;"; ","")&amp;IF(AND(BT31="✓",BT$4&lt;&gt;""),BT$4&amp;"; ","")&amp;IF(AND(BU31="✓",BU$4&lt;&gt;""),BU$4&amp;"; ","")&amp;IF(AND(BV31="✓",BV$4&lt;&gt;""),BV$4&amp;"; ","")&amp;IF(AND(BW31="✓",BW$4&lt;&gt;""),BW$4&amp;"; ","")&amp;IF(AND(BX31="✓",BX$4&lt;&gt;""),BX$4&amp;"; ","")&amp;IF(AND(BY31="✓",BY$4&lt;&gt;""),BY$4&amp;"; ","")&amp;IF(AND(BZ31="✓",BZ$4&lt;&gt;""),BZ$4&amp;"; ","")&amp;IF(AND(CA31="✓",CA$4&lt;&gt;""),CA$4&amp;"; ","")&amp;IF(AND(CB31="✓",CB$4&lt;&gt;""),CB$4&amp;"; ","")&amp;IF(AND(CC31="✓",CC$4&lt;&gt;""),CC$4&amp;"; ","")&amp;IF(AND(CD31="✓",CD$4&lt;&gt;""),CD$4&amp;"; ","")&amp;IF(AND(CE31="✓",CE$4&lt;&gt;""),CE$4&amp;"; ","")&amp;IF(AND(CF31="✓",CF$4&lt;&gt;""),CF$4&amp;"; ","")&amp;IF(AND(CG31="✓",CG$4&lt;&gt;""),CG$4&amp;"; ","")&amp;IF(AND(CH31="✓",CH$4&lt;&gt;""),CH$4&amp;"; ","")&amp;IF(AND(CI31="✓",CI$4&lt;&gt;""),CI$4&amp;"; ","")&amp;IF(AND(CJ31="✓",CJ$4&lt;&gt;""),CJ$4&amp;"; ","")&amp;IF(AND(CK31="✓",CK$4&lt;&gt;""),CK$4&amp;"; ","")&amp;IF(AND(CL31="✓",CL$4&lt;&gt;""),CL$4&amp;"; ","")&amp;IF(AND(CM31="✓",CM$4&lt;&gt;""),CM$4&amp;"; ","")&amp;IF(AND(CN31="✓",CN$4&lt;&gt;""),CN$4&amp;"; ","")&amp;IF(AND(CO31="✓",CO$4&lt;&gt;""),CO$4&amp;"; ","")</f>
        <v>OPP-05; OPP-14; OPP-15; OPP-17; OPP-20; OPP-23; OPP-71; OPP-73; </v>
      </c>
      <c r="CQ31" s="104" t="str">
        <f aca="false">IF($CP31="","",LEFT($CP31,LEN($CP31)-2))</f>
        <v>OPP-05; OPP-14; OPP-15; OPP-17; OPP-20; OPP-23; OPP-71; OPP-73</v>
      </c>
      <c r="CR31" s="234" t="n">
        <f aca="false">IF($A31="","",COUNTIF($D31:$CO31,"✓"))</f>
        <v>8</v>
      </c>
    </row>
    <row r="32" customFormat="false" ht="21.75" hidden="false" customHeight="true" outlineLevel="0" collapsed="false">
      <c r="A32" s="231" t="str">
        <f aca="false">IF(03_能力總表_Master!$A32="","",03_能力總表_Master!$A32)</f>
        <v>CAP-028</v>
      </c>
      <c r="B32" s="166" t="str">
        <f aca="false">IF(03_能力總表_Master!$A32="","",03_能力總表_Master!$B32)</f>
        <v>D05 醫材與診斷</v>
      </c>
      <c r="C32" s="95" t="str">
        <f aca="false">IF(03_能力總表_Master!$A32="","",03_能力總表_Master!$E32)</f>
        <v>影像設備、PACS與報告流程</v>
      </c>
      <c r="D32" s="232"/>
      <c r="E32" s="232"/>
      <c r="F32" s="232"/>
      <c r="G32" s="232"/>
      <c r="H32" s="232"/>
      <c r="I32" s="232"/>
      <c r="J32" s="232"/>
      <c r="K32" s="232"/>
      <c r="L32" s="232"/>
      <c r="M32" s="232"/>
      <c r="N32" s="232"/>
      <c r="O32" s="232"/>
      <c r="P32" s="232"/>
      <c r="Q32" s="232" t="s">
        <v>1305</v>
      </c>
      <c r="R32" s="232"/>
      <c r="S32" s="232"/>
      <c r="T32" s="232"/>
      <c r="U32" s="232"/>
      <c r="V32" s="232"/>
      <c r="W32" s="232"/>
      <c r="X32" s="232"/>
      <c r="Y32" s="232"/>
      <c r="Z32" s="232" t="s">
        <v>1305</v>
      </c>
      <c r="AA32" s="232"/>
      <c r="AB32" s="232"/>
      <c r="AC32" s="232"/>
      <c r="AD32" s="232"/>
      <c r="AE32" s="232"/>
      <c r="AF32" s="232"/>
      <c r="AG32" s="232"/>
      <c r="AH32" s="232"/>
      <c r="AI32" s="232" t="s">
        <v>1305</v>
      </c>
      <c r="AJ32" s="232"/>
      <c r="AK32" s="232"/>
      <c r="AL32" s="232"/>
      <c r="AM32" s="232"/>
      <c r="AN32" s="232"/>
      <c r="AO32" s="232"/>
      <c r="AP32" s="232" t="s">
        <v>1305</v>
      </c>
      <c r="AQ32" s="232"/>
      <c r="AR32" s="232"/>
      <c r="AS32" s="232"/>
      <c r="AT32" s="232"/>
      <c r="AU32" s="232" t="s">
        <v>1305</v>
      </c>
      <c r="AV32" s="232" t="s">
        <v>1305</v>
      </c>
      <c r="AW32" s="232"/>
      <c r="AX32" s="232"/>
      <c r="AY32" s="232"/>
      <c r="AZ32" s="232"/>
      <c r="BA32" s="232"/>
      <c r="BB32" s="232"/>
      <c r="BC32" s="232"/>
      <c r="BD32" s="232"/>
      <c r="BE32" s="232"/>
      <c r="BF32" s="232"/>
      <c r="BG32" s="232"/>
      <c r="BH32" s="232"/>
      <c r="BI32" s="232"/>
      <c r="BJ32" s="232"/>
      <c r="BK32" s="232"/>
      <c r="BL32" s="232"/>
      <c r="BM32" s="232"/>
      <c r="BN32" s="232"/>
      <c r="BO32" s="232"/>
      <c r="BP32" s="232"/>
      <c r="BQ32" s="232"/>
      <c r="BR32" s="232"/>
      <c r="BS32" s="232"/>
      <c r="BT32" s="232"/>
      <c r="BU32" s="232"/>
      <c r="BV32" s="232"/>
      <c r="BW32" s="232"/>
      <c r="BX32" s="232"/>
      <c r="BY32" s="232"/>
      <c r="BZ32" s="232"/>
      <c r="CA32" s="232"/>
      <c r="CB32" s="232"/>
      <c r="CC32" s="232"/>
      <c r="CD32" s="232"/>
      <c r="CE32" s="232"/>
      <c r="CF32" s="232"/>
      <c r="CG32" s="232"/>
      <c r="CH32" s="232"/>
      <c r="CI32" s="232"/>
      <c r="CJ32" s="232"/>
      <c r="CK32" s="232"/>
      <c r="CL32" s="232"/>
      <c r="CM32" s="232"/>
      <c r="CN32" s="232"/>
      <c r="CO32" s="232"/>
      <c r="CP32" s="233" t="str">
        <f aca="false">IF(AND(D32="✓",D$4&lt;&gt;""),D$4&amp;"; ","")&amp;IF(AND(E32="✓",E$4&lt;&gt;""),E$4&amp;"; ","")&amp;IF(AND(F32="✓",F$4&lt;&gt;""),F$4&amp;"; ","")&amp;IF(AND(G32="✓",G$4&lt;&gt;""),G$4&amp;"; ","")&amp;IF(AND(H32="✓",H$4&lt;&gt;""),H$4&amp;"; ","")&amp;IF(AND(I32="✓",I$4&lt;&gt;""),I$4&amp;"; ","")&amp;IF(AND(J32="✓",J$4&lt;&gt;""),J$4&amp;"; ","")&amp;IF(AND(K32="✓",K$4&lt;&gt;""),K$4&amp;"; ","")&amp;IF(AND(L32="✓",L$4&lt;&gt;""),L$4&amp;"; ","")&amp;IF(AND(M32="✓",M$4&lt;&gt;""),M$4&amp;"; ","")&amp;IF(AND(N32="✓",N$4&lt;&gt;""),N$4&amp;"; ","")&amp;IF(AND(O32="✓",O$4&lt;&gt;""),O$4&amp;"; ","")&amp;IF(AND(P32="✓",P$4&lt;&gt;""),P$4&amp;"; ","")&amp;IF(AND(Q32="✓",Q$4&lt;&gt;""),Q$4&amp;"; ","")&amp;IF(AND(R32="✓",R$4&lt;&gt;""),R$4&amp;"; ","")&amp;IF(AND(S32="✓",S$4&lt;&gt;""),S$4&amp;"; ","")&amp;IF(AND(T32="✓",T$4&lt;&gt;""),T$4&amp;"; ","")&amp;IF(AND(U32="✓",U$4&lt;&gt;""),U$4&amp;"; ","")&amp;IF(AND(V32="✓",V$4&lt;&gt;""),V$4&amp;"; ","")&amp;IF(AND(W32="✓",W$4&lt;&gt;""),W$4&amp;"; ","")&amp;IF(AND(X32="✓",X$4&lt;&gt;""),X$4&amp;"; ","")&amp;IF(AND(Y32="✓",Y$4&lt;&gt;""),Y$4&amp;"; ","")&amp;IF(AND(Z32="✓",Z$4&lt;&gt;""),Z$4&amp;"; ","")&amp;IF(AND(AA32="✓",AA$4&lt;&gt;""),AA$4&amp;"; ","")&amp;IF(AND(AB32="✓",AB$4&lt;&gt;""),AB$4&amp;"; ","")&amp;IF(AND(AC32="✓",AC$4&lt;&gt;""),AC$4&amp;"; ","")&amp;IF(AND(AD32="✓",AD$4&lt;&gt;""),AD$4&amp;"; ","")&amp;IF(AND(AE32="✓",AE$4&lt;&gt;""),AE$4&amp;"; ","")&amp;IF(AND(AF32="✓",AF$4&lt;&gt;""),AF$4&amp;"; ","")&amp;IF(AND(AG32="✓",AG$4&lt;&gt;""),AG$4&amp;"; ","")&amp;IF(AND(AH32="✓",AH$4&lt;&gt;""),AH$4&amp;"; ","")&amp;IF(AND(AI32="✓",AI$4&lt;&gt;""),AI$4&amp;"; ","")&amp;IF(AND(AJ32="✓",AJ$4&lt;&gt;""),AJ$4&amp;"; ","")&amp;IF(AND(AK32="✓",AK$4&lt;&gt;""),AK$4&amp;"; ","")&amp;IF(AND(AL32="✓",AL$4&lt;&gt;""),AL$4&amp;"; ","")&amp;IF(AND(AM32="✓",AM$4&lt;&gt;""),AM$4&amp;"; ","")&amp;IF(AND(AN32="✓",AN$4&lt;&gt;""),AN$4&amp;"; ","")&amp;IF(AND(AO32="✓",AO$4&lt;&gt;""),AO$4&amp;"; ","")&amp;IF(AND(AP32="✓",AP$4&lt;&gt;""),AP$4&amp;"; ","")&amp;IF(AND(AQ32="✓",AQ$4&lt;&gt;""),AQ$4&amp;"; ","")&amp;IF(AND(AR32="✓",AR$4&lt;&gt;""),AR$4&amp;"; ","")&amp;IF(AND(AS32="✓",AS$4&lt;&gt;""),AS$4&amp;"; ","")&amp;IF(AND(AT32="✓",AT$4&lt;&gt;""),AT$4&amp;"; ","")&amp;IF(AND(AU32="✓",AU$4&lt;&gt;""),AU$4&amp;"; ","")&amp;IF(AND(AV32="✓",AV$4&lt;&gt;""),AV$4&amp;"; ","")&amp;IF(AND(AW32="✓",AW$4&lt;&gt;""),AW$4&amp;"; ","")&amp;IF(AND(AX32="✓",AX$4&lt;&gt;""),AX$4&amp;"; ","")&amp;IF(AND(AY32="✓",AY$4&lt;&gt;""),AY$4&amp;"; ","")&amp;IF(AND(AZ32="✓",AZ$4&lt;&gt;""),AZ$4&amp;"; ","")&amp;IF(AND(BA32="✓",BA$4&lt;&gt;""),BA$4&amp;"; ","")&amp;IF(AND(BB32="✓",BB$4&lt;&gt;""),BB$4&amp;"; ","")&amp;IF(AND(BC32="✓",BC$4&lt;&gt;""),BC$4&amp;"; ","")&amp;IF(AND(BD32="✓",BD$4&lt;&gt;""),BD$4&amp;"; ","")&amp;IF(AND(BE32="✓",BE$4&lt;&gt;""),BE$4&amp;"; ","")&amp;IF(AND(BF32="✓",BF$4&lt;&gt;""),BF$4&amp;"; ","")&amp;IF(AND(BG32="✓",BG$4&lt;&gt;""),BG$4&amp;"; ","")&amp;IF(AND(BH32="✓",BH$4&lt;&gt;""),BH$4&amp;"; ","")&amp;IF(AND(BI32="✓",BI$4&lt;&gt;""),BI$4&amp;"; ","")&amp;IF(AND(BJ32="✓",BJ$4&lt;&gt;""),BJ$4&amp;"; ","")&amp;IF(AND(BK32="✓",BK$4&lt;&gt;""),BK$4&amp;"; ","")&amp;IF(AND(BL32="✓",BL$4&lt;&gt;""),BL$4&amp;"; ","")&amp;IF(AND(BM32="✓",BM$4&lt;&gt;""),BM$4&amp;"; ","")&amp;IF(AND(BN32="✓",BN$4&lt;&gt;""),BN$4&amp;"; ","")&amp;IF(AND(BO32="✓",BO$4&lt;&gt;""),BO$4&amp;"; ","")&amp;IF(AND(BP32="✓",BP$4&lt;&gt;""),BP$4&amp;"; ","")&amp;IF(AND(BQ32="✓",BQ$4&lt;&gt;""),BQ$4&amp;"; ","")&amp;IF(AND(BR32="✓",BR$4&lt;&gt;""),BR$4&amp;"; ","")&amp;IF(AND(BS32="✓",BS$4&lt;&gt;""),BS$4&amp;"; ","")&amp;IF(AND(BT32="✓",BT$4&lt;&gt;""),BT$4&amp;"; ","")&amp;IF(AND(BU32="✓",BU$4&lt;&gt;""),BU$4&amp;"; ","")&amp;IF(AND(BV32="✓",BV$4&lt;&gt;""),BV$4&amp;"; ","")&amp;IF(AND(BW32="✓",BW$4&lt;&gt;""),BW$4&amp;"; ","")&amp;IF(AND(BX32="✓",BX$4&lt;&gt;""),BX$4&amp;"; ","")&amp;IF(AND(BY32="✓",BY$4&lt;&gt;""),BY$4&amp;"; ","")&amp;IF(AND(BZ32="✓",BZ$4&lt;&gt;""),BZ$4&amp;"; ","")&amp;IF(AND(CA32="✓",CA$4&lt;&gt;""),CA$4&amp;"; ","")&amp;IF(AND(CB32="✓",CB$4&lt;&gt;""),CB$4&amp;"; ","")&amp;IF(AND(CC32="✓",CC$4&lt;&gt;""),CC$4&amp;"; ","")&amp;IF(AND(CD32="✓",CD$4&lt;&gt;""),CD$4&amp;"; ","")&amp;IF(AND(CE32="✓",CE$4&lt;&gt;""),CE$4&amp;"; ","")&amp;IF(AND(CF32="✓",CF$4&lt;&gt;""),CF$4&amp;"; ","")&amp;IF(AND(CG32="✓",CG$4&lt;&gt;""),CG$4&amp;"; ","")&amp;IF(AND(CH32="✓",CH$4&lt;&gt;""),CH$4&amp;"; ","")&amp;IF(AND(CI32="✓",CI$4&lt;&gt;""),CI$4&amp;"; ","")&amp;IF(AND(CJ32="✓",CJ$4&lt;&gt;""),CJ$4&amp;"; ","")&amp;IF(AND(CK32="✓",CK$4&lt;&gt;""),CK$4&amp;"; ","")&amp;IF(AND(CL32="✓",CL$4&lt;&gt;""),CL$4&amp;"; ","")&amp;IF(AND(CM32="✓",CM$4&lt;&gt;""),CM$4&amp;"; ","")&amp;IF(AND(CN32="✓",CN$4&lt;&gt;""),CN$4&amp;"; ","")&amp;IF(AND(CO32="✓",CO$4&lt;&gt;""),CO$4&amp;"; ","")</f>
        <v>OPP-14; OPP-23; OPP-32; OPP-39; OPP-44; OPP-45; </v>
      </c>
      <c r="CQ32" s="104" t="str">
        <f aca="false">IF($CP32="","",LEFT($CP32,LEN($CP32)-2))</f>
        <v>OPP-14; OPP-23; OPP-32; OPP-39; OPP-44; OPP-45</v>
      </c>
      <c r="CR32" s="234" t="n">
        <f aca="false">IF($A32="","",COUNTIF($D32:$CO32,"✓"))</f>
        <v>6</v>
      </c>
    </row>
    <row r="33" customFormat="false" ht="21.75" hidden="false" customHeight="true" outlineLevel="0" collapsed="false">
      <c r="A33" s="231" t="str">
        <f aca="false">IF(03_能力總表_Master!$A33="","",03_能力總表_Master!$A33)</f>
        <v>CAP-029</v>
      </c>
      <c r="B33" s="166" t="str">
        <f aca="false">IF(03_能力總表_Master!$A33="","",03_能力總表_Master!$B33)</f>
        <v>D05 醫材與診斷</v>
      </c>
      <c r="C33" s="95" t="str">
        <f aca="false">IF(03_能力總表_Master!$A33="","",03_能力總表_Master!$E33)</f>
        <v>實驗室自動化與LIS</v>
      </c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2"/>
      <c r="W33" s="232"/>
      <c r="X33" s="232" t="s">
        <v>1305</v>
      </c>
      <c r="Y33" s="232"/>
      <c r="Z33" s="232"/>
      <c r="AA33" s="232"/>
      <c r="AB33" s="232"/>
      <c r="AC33" s="232"/>
      <c r="AD33" s="232"/>
      <c r="AE33" s="232"/>
      <c r="AF33" s="232"/>
      <c r="AG33" s="232"/>
      <c r="AH33" s="232"/>
      <c r="AI33" s="232"/>
      <c r="AJ33" s="232"/>
      <c r="AK33" s="232"/>
      <c r="AL33" s="232"/>
      <c r="AM33" s="232"/>
      <c r="AN33" s="232"/>
      <c r="AO33" s="232"/>
      <c r="AP33" s="232"/>
      <c r="AQ33" s="232"/>
      <c r="AR33" s="232"/>
      <c r="AS33" s="232"/>
      <c r="AT33" s="232"/>
      <c r="AU33" s="232"/>
      <c r="AV33" s="232"/>
      <c r="AW33" s="232"/>
      <c r="AX33" s="232"/>
      <c r="AY33" s="232"/>
      <c r="AZ33" s="232"/>
      <c r="BA33" s="232"/>
      <c r="BB33" s="232"/>
      <c r="BC33" s="232"/>
      <c r="BD33" s="232"/>
      <c r="BE33" s="232"/>
      <c r="BF33" s="232"/>
      <c r="BG33" s="232"/>
      <c r="BH33" s="232"/>
      <c r="BI33" s="232"/>
      <c r="BJ33" s="232"/>
      <c r="BK33" s="232"/>
      <c r="BL33" s="232" t="s">
        <v>1305</v>
      </c>
      <c r="BM33" s="232"/>
      <c r="BN33" s="232"/>
      <c r="BO33" s="232"/>
      <c r="BP33" s="232"/>
      <c r="BQ33" s="232"/>
      <c r="BR33" s="232"/>
      <c r="BS33" s="232"/>
      <c r="BT33" s="232"/>
      <c r="BU33" s="232"/>
      <c r="BV33" s="232"/>
      <c r="BW33" s="232"/>
      <c r="BX33" s="232"/>
      <c r="BY33" s="232"/>
      <c r="BZ33" s="232"/>
      <c r="CA33" s="232" t="s">
        <v>1305</v>
      </c>
      <c r="CB33" s="232"/>
      <c r="CC33" s="232"/>
      <c r="CD33" s="232"/>
      <c r="CE33" s="232"/>
      <c r="CF33" s="232"/>
      <c r="CG33" s="232"/>
      <c r="CH33" s="232"/>
      <c r="CI33" s="232"/>
      <c r="CJ33" s="232"/>
      <c r="CK33" s="232"/>
      <c r="CL33" s="232"/>
      <c r="CM33" s="232"/>
      <c r="CN33" s="232"/>
      <c r="CO33" s="232"/>
      <c r="CP33" s="233" t="str">
        <f aca="false">IF(AND(D33="✓",D$4&lt;&gt;""),D$4&amp;"; ","")&amp;IF(AND(E33="✓",E$4&lt;&gt;""),E$4&amp;"; ","")&amp;IF(AND(F33="✓",F$4&lt;&gt;""),F$4&amp;"; ","")&amp;IF(AND(G33="✓",G$4&lt;&gt;""),G$4&amp;"; ","")&amp;IF(AND(H33="✓",H$4&lt;&gt;""),H$4&amp;"; ","")&amp;IF(AND(I33="✓",I$4&lt;&gt;""),I$4&amp;"; ","")&amp;IF(AND(J33="✓",J$4&lt;&gt;""),J$4&amp;"; ","")&amp;IF(AND(K33="✓",K$4&lt;&gt;""),K$4&amp;"; ","")&amp;IF(AND(L33="✓",L$4&lt;&gt;""),L$4&amp;"; ","")&amp;IF(AND(M33="✓",M$4&lt;&gt;""),M$4&amp;"; ","")&amp;IF(AND(N33="✓",N$4&lt;&gt;""),N$4&amp;"; ","")&amp;IF(AND(O33="✓",O$4&lt;&gt;""),O$4&amp;"; ","")&amp;IF(AND(P33="✓",P$4&lt;&gt;""),P$4&amp;"; ","")&amp;IF(AND(Q33="✓",Q$4&lt;&gt;""),Q$4&amp;"; ","")&amp;IF(AND(R33="✓",R$4&lt;&gt;""),R$4&amp;"; ","")&amp;IF(AND(S33="✓",S$4&lt;&gt;""),S$4&amp;"; ","")&amp;IF(AND(T33="✓",T$4&lt;&gt;""),T$4&amp;"; ","")&amp;IF(AND(U33="✓",U$4&lt;&gt;""),U$4&amp;"; ","")&amp;IF(AND(V33="✓",V$4&lt;&gt;""),V$4&amp;"; ","")&amp;IF(AND(W33="✓",W$4&lt;&gt;""),W$4&amp;"; ","")&amp;IF(AND(X33="✓",X$4&lt;&gt;""),X$4&amp;"; ","")&amp;IF(AND(Y33="✓",Y$4&lt;&gt;""),Y$4&amp;"; ","")&amp;IF(AND(Z33="✓",Z$4&lt;&gt;""),Z$4&amp;"; ","")&amp;IF(AND(AA33="✓",AA$4&lt;&gt;""),AA$4&amp;"; ","")&amp;IF(AND(AB33="✓",AB$4&lt;&gt;""),AB$4&amp;"; ","")&amp;IF(AND(AC33="✓",AC$4&lt;&gt;""),AC$4&amp;"; ","")&amp;IF(AND(AD33="✓",AD$4&lt;&gt;""),AD$4&amp;"; ","")&amp;IF(AND(AE33="✓",AE$4&lt;&gt;""),AE$4&amp;"; ","")&amp;IF(AND(AF33="✓",AF$4&lt;&gt;""),AF$4&amp;"; ","")&amp;IF(AND(AG33="✓",AG$4&lt;&gt;""),AG$4&amp;"; ","")&amp;IF(AND(AH33="✓",AH$4&lt;&gt;""),AH$4&amp;"; ","")&amp;IF(AND(AI33="✓",AI$4&lt;&gt;""),AI$4&amp;"; ","")&amp;IF(AND(AJ33="✓",AJ$4&lt;&gt;""),AJ$4&amp;"; ","")&amp;IF(AND(AK33="✓",AK$4&lt;&gt;""),AK$4&amp;"; ","")&amp;IF(AND(AL33="✓",AL$4&lt;&gt;""),AL$4&amp;"; ","")&amp;IF(AND(AM33="✓",AM$4&lt;&gt;""),AM$4&amp;"; ","")&amp;IF(AND(AN33="✓",AN$4&lt;&gt;""),AN$4&amp;"; ","")&amp;IF(AND(AO33="✓",AO$4&lt;&gt;""),AO$4&amp;"; ","")&amp;IF(AND(AP33="✓",AP$4&lt;&gt;""),AP$4&amp;"; ","")&amp;IF(AND(AQ33="✓",AQ$4&lt;&gt;""),AQ$4&amp;"; ","")&amp;IF(AND(AR33="✓",AR$4&lt;&gt;""),AR$4&amp;"; ","")&amp;IF(AND(AS33="✓",AS$4&lt;&gt;""),AS$4&amp;"; ","")&amp;IF(AND(AT33="✓",AT$4&lt;&gt;""),AT$4&amp;"; ","")&amp;IF(AND(AU33="✓",AU$4&lt;&gt;""),AU$4&amp;"; ","")&amp;IF(AND(AV33="✓",AV$4&lt;&gt;""),AV$4&amp;"; ","")&amp;IF(AND(AW33="✓",AW$4&lt;&gt;""),AW$4&amp;"; ","")&amp;IF(AND(AX33="✓",AX$4&lt;&gt;""),AX$4&amp;"; ","")&amp;IF(AND(AY33="✓",AY$4&lt;&gt;""),AY$4&amp;"; ","")&amp;IF(AND(AZ33="✓",AZ$4&lt;&gt;""),AZ$4&amp;"; ","")&amp;IF(AND(BA33="✓",BA$4&lt;&gt;""),BA$4&amp;"; ","")&amp;IF(AND(BB33="✓",BB$4&lt;&gt;""),BB$4&amp;"; ","")&amp;IF(AND(BC33="✓",BC$4&lt;&gt;""),BC$4&amp;"; ","")&amp;IF(AND(BD33="✓",BD$4&lt;&gt;""),BD$4&amp;"; ","")&amp;IF(AND(BE33="✓",BE$4&lt;&gt;""),BE$4&amp;"; ","")&amp;IF(AND(BF33="✓",BF$4&lt;&gt;""),BF$4&amp;"; ","")&amp;IF(AND(BG33="✓",BG$4&lt;&gt;""),BG$4&amp;"; ","")&amp;IF(AND(BH33="✓",BH$4&lt;&gt;""),BH$4&amp;"; ","")&amp;IF(AND(BI33="✓",BI$4&lt;&gt;""),BI$4&amp;"; ","")&amp;IF(AND(BJ33="✓",BJ$4&lt;&gt;""),BJ$4&amp;"; ","")&amp;IF(AND(BK33="✓",BK$4&lt;&gt;""),BK$4&amp;"; ","")&amp;IF(AND(BL33="✓",BL$4&lt;&gt;""),BL$4&amp;"; ","")&amp;IF(AND(BM33="✓",BM$4&lt;&gt;""),BM$4&amp;"; ","")&amp;IF(AND(BN33="✓",BN$4&lt;&gt;""),BN$4&amp;"; ","")&amp;IF(AND(BO33="✓",BO$4&lt;&gt;""),BO$4&amp;"; ","")&amp;IF(AND(BP33="✓",BP$4&lt;&gt;""),BP$4&amp;"; ","")&amp;IF(AND(BQ33="✓",BQ$4&lt;&gt;""),BQ$4&amp;"; ","")&amp;IF(AND(BR33="✓",BR$4&lt;&gt;""),BR$4&amp;"; ","")&amp;IF(AND(BS33="✓",BS$4&lt;&gt;""),BS$4&amp;"; ","")&amp;IF(AND(BT33="✓",BT$4&lt;&gt;""),BT$4&amp;"; ","")&amp;IF(AND(BU33="✓",BU$4&lt;&gt;""),BU$4&amp;"; ","")&amp;IF(AND(BV33="✓",BV$4&lt;&gt;""),BV$4&amp;"; ","")&amp;IF(AND(BW33="✓",BW$4&lt;&gt;""),BW$4&amp;"; ","")&amp;IF(AND(BX33="✓",BX$4&lt;&gt;""),BX$4&amp;"; ","")&amp;IF(AND(BY33="✓",BY$4&lt;&gt;""),BY$4&amp;"; ","")&amp;IF(AND(BZ33="✓",BZ$4&lt;&gt;""),BZ$4&amp;"; ","")&amp;IF(AND(CA33="✓",CA$4&lt;&gt;""),CA$4&amp;"; ","")&amp;IF(AND(CB33="✓",CB$4&lt;&gt;""),CB$4&amp;"; ","")&amp;IF(AND(CC33="✓",CC$4&lt;&gt;""),CC$4&amp;"; ","")&amp;IF(AND(CD33="✓",CD$4&lt;&gt;""),CD$4&amp;"; ","")&amp;IF(AND(CE33="✓",CE$4&lt;&gt;""),CE$4&amp;"; ","")&amp;IF(AND(CF33="✓",CF$4&lt;&gt;""),CF$4&amp;"; ","")&amp;IF(AND(CG33="✓",CG$4&lt;&gt;""),CG$4&amp;"; ","")&amp;IF(AND(CH33="✓",CH$4&lt;&gt;""),CH$4&amp;"; ","")&amp;IF(AND(CI33="✓",CI$4&lt;&gt;""),CI$4&amp;"; ","")&amp;IF(AND(CJ33="✓",CJ$4&lt;&gt;""),CJ$4&amp;"; ","")&amp;IF(AND(CK33="✓",CK$4&lt;&gt;""),CK$4&amp;"; ","")&amp;IF(AND(CL33="✓",CL$4&lt;&gt;""),CL$4&amp;"; ","")&amp;IF(AND(CM33="✓",CM$4&lt;&gt;""),CM$4&amp;"; ","")&amp;IF(AND(CN33="✓",CN$4&lt;&gt;""),CN$4&amp;"; ","")&amp;IF(AND(CO33="✓",CO$4&lt;&gt;""),CO$4&amp;"; ","")</f>
        <v>OPP-21; OPP-61; OPP-76; </v>
      </c>
      <c r="CQ33" s="104" t="str">
        <f aca="false">IF($CP33="","",LEFT($CP33,LEN($CP33)-2))</f>
        <v>OPP-21; OPP-61; OPP-76</v>
      </c>
      <c r="CR33" s="234" t="n">
        <f aca="false">IF($A33="","",COUNTIF($D33:$CO33,"✓"))</f>
        <v>3</v>
      </c>
    </row>
    <row r="34" customFormat="false" ht="21.75" hidden="false" customHeight="true" outlineLevel="0" collapsed="false">
      <c r="A34" s="231" t="str">
        <f aca="false">IF(03_能力總表_Master!$A34="","",03_能力總表_Master!$A34)</f>
        <v>CAP-030</v>
      </c>
      <c r="B34" s="166" t="str">
        <f aca="false">IF(03_能力總表_Master!$A34="","",03_能力總表_Master!$B34)</f>
        <v>D05 醫材與診斷</v>
      </c>
      <c r="C34" s="95" t="str">
        <f aca="false">IF(03_能力總表_Master!$A34="","",03_能力總表_Master!$E34)</f>
        <v>手術室與重症整合</v>
      </c>
      <c r="D34" s="232"/>
      <c r="E34" s="232"/>
      <c r="F34" s="232"/>
      <c r="G34" s="232"/>
      <c r="H34" s="232" t="s">
        <v>1305</v>
      </c>
      <c r="I34" s="232"/>
      <c r="J34" s="232"/>
      <c r="K34" s="232" t="s">
        <v>1305</v>
      </c>
      <c r="L34" s="232"/>
      <c r="M34" s="232"/>
      <c r="N34" s="232"/>
      <c r="O34" s="232"/>
      <c r="P34" s="232"/>
      <c r="Q34" s="232"/>
      <c r="R34" s="232" t="s">
        <v>1305</v>
      </c>
      <c r="S34" s="232" t="s">
        <v>1305</v>
      </c>
      <c r="T34" s="232"/>
      <c r="U34" s="232"/>
      <c r="V34" s="232" t="s">
        <v>1305</v>
      </c>
      <c r="W34" s="232"/>
      <c r="X34" s="232"/>
      <c r="Y34" s="232"/>
      <c r="Z34" s="232"/>
      <c r="AA34" s="232"/>
      <c r="AB34" s="232"/>
      <c r="AC34" s="232"/>
      <c r="AD34" s="232"/>
      <c r="AE34" s="232"/>
      <c r="AF34" s="232"/>
      <c r="AG34" s="232"/>
      <c r="AH34" s="232"/>
      <c r="AI34" s="232"/>
      <c r="AJ34" s="232"/>
      <c r="AK34" s="232"/>
      <c r="AL34" s="232"/>
      <c r="AM34" s="232"/>
      <c r="AN34" s="232"/>
      <c r="AO34" s="232"/>
      <c r="AP34" s="232"/>
      <c r="AQ34" s="232"/>
      <c r="AR34" s="232"/>
      <c r="AS34" s="232"/>
      <c r="AT34" s="232"/>
      <c r="AU34" s="232"/>
      <c r="AV34" s="232"/>
      <c r="AW34" s="232"/>
      <c r="AX34" s="232"/>
      <c r="AY34" s="232"/>
      <c r="AZ34" s="232"/>
      <c r="BA34" s="232"/>
      <c r="BB34" s="232"/>
      <c r="BC34" s="232"/>
      <c r="BD34" s="232"/>
      <c r="BE34" s="232"/>
      <c r="BF34" s="232"/>
      <c r="BG34" s="232"/>
      <c r="BH34" s="232"/>
      <c r="BI34" s="232"/>
      <c r="BJ34" s="232"/>
      <c r="BK34" s="232"/>
      <c r="BL34" s="232"/>
      <c r="BM34" s="232"/>
      <c r="BN34" s="232"/>
      <c r="BO34" s="232"/>
      <c r="BP34" s="232"/>
      <c r="BQ34" s="232"/>
      <c r="BR34" s="232"/>
      <c r="BS34" s="232"/>
      <c r="BT34" s="232"/>
      <c r="BU34" s="232"/>
      <c r="BV34" s="232"/>
      <c r="BW34" s="232" t="s">
        <v>1305</v>
      </c>
      <c r="BX34" s="232" t="s">
        <v>1305</v>
      </c>
      <c r="BY34" s="232"/>
      <c r="BZ34" s="232"/>
      <c r="CA34" s="232"/>
      <c r="CB34" s="232"/>
      <c r="CC34" s="232"/>
      <c r="CD34" s="232"/>
      <c r="CE34" s="232"/>
      <c r="CF34" s="232"/>
      <c r="CG34" s="232"/>
      <c r="CH34" s="232"/>
      <c r="CI34" s="232"/>
      <c r="CJ34" s="232"/>
      <c r="CK34" s="232"/>
      <c r="CL34" s="232"/>
      <c r="CM34" s="232"/>
      <c r="CN34" s="232"/>
      <c r="CO34" s="232"/>
      <c r="CP34" s="233" t="str">
        <f aca="false">IF(AND(D34="✓",D$4&lt;&gt;""),D$4&amp;"; ","")&amp;IF(AND(E34="✓",E$4&lt;&gt;""),E$4&amp;"; ","")&amp;IF(AND(F34="✓",F$4&lt;&gt;""),F$4&amp;"; ","")&amp;IF(AND(G34="✓",G$4&lt;&gt;""),G$4&amp;"; ","")&amp;IF(AND(H34="✓",H$4&lt;&gt;""),H$4&amp;"; ","")&amp;IF(AND(I34="✓",I$4&lt;&gt;""),I$4&amp;"; ","")&amp;IF(AND(J34="✓",J$4&lt;&gt;""),J$4&amp;"; ","")&amp;IF(AND(K34="✓",K$4&lt;&gt;""),K$4&amp;"; ","")&amp;IF(AND(L34="✓",L$4&lt;&gt;""),L$4&amp;"; ","")&amp;IF(AND(M34="✓",M$4&lt;&gt;""),M$4&amp;"; ","")&amp;IF(AND(N34="✓",N$4&lt;&gt;""),N$4&amp;"; ","")&amp;IF(AND(O34="✓",O$4&lt;&gt;""),O$4&amp;"; ","")&amp;IF(AND(P34="✓",P$4&lt;&gt;""),P$4&amp;"; ","")&amp;IF(AND(Q34="✓",Q$4&lt;&gt;""),Q$4&amp;"; ","")&amp;IF(AND(R34="✓",R$4&lt;&gt;""),R$4&amp;"; ","")&amp;IF(AND(S34="✓",S$4&lt;&gt;""),S$4&amp;"; ","")&amp;IF(AND(T34="✓",T$4&lt;&gt;""),T$4&amp;"; ","")&amp;IF(AND(U34="✓",U$4&lt;&gt;""),U$4&amp;"; ","")&amp;IF(AND(V34="✓",V$4&lt;&gt;""),V$4&amp;"; ","")&amp;IF(AND(W34="✓",W$4&lt;&gt;""),W$4&amp;"; ","")&amp;IF(AND(X34="✓",X$4&lt;&gt;""),X$4&amp;"; ","")&amp;IF(AND(Y34="✓",Y$4&lt;&gt;""),Y$4&amp;"; ","")&amp;IF(AND(Z34="✓",Z$4&lt;&gt;""),Z$4&amp;"; ","")&amp;IF(AND(AA34="✓",AA$4&lt;&gt;""),AA$4&amp;"; ","")&amp;IF(AND(AB34="✓",AB$4&lt;&gt;""),AB$4&amp;"; ","")&amp;IF(AND(AC34="✓",AC$4&lt;&gt;""),AC$4&amp;"; ","")&amp;IF(AND(AD34="✓",AD$4&lt;&gt;""),AD$4&amp;"; ","")&amp;IF(AND(AE34="✓",AE$4&lt;&gt;""),AE$4&amp;"; ","")&amp;IF(AND(AF34="✓",AF$4&lt;&gt;""),AF$4&amp;"; ","")&amp;IF(AND(AG34="✓",AG$4&lt;&gt;""),AG$4&amp;"; ","")&amp;IF(AND(AH34="✓",AH$4&lt;&gt;""),AH$4&amp;"; ","")&amp;IF(AND(AI34="✓",AI$4&lt;&gt;""),AI$4&amp;"; ","")&amp;IF(AND(AJ34="✓",AJ$4&lt;&gt;""),AJ$4&amp;"; ","")&amp;IF(AND(AK34="✓",AK$4&lt;&gt;""),AK$4&amp;"; ","")&amp;IF(AND(AL34="✓",AL$4&lt;&gt;""),AL$4&amp;"; ","")&amp;IF(AND(AM34="✓",AM$4&lt;&gt;""),AM$4&amp;"; ","")&amp;IF(AND(AN34="✓",AN$4&lt;&gt;""),AN$4&amp;"; ","")&amp;IF(AND(AO34="✓",AO$4&lt;&gt;""),AO$4&amp;"; ","")&amp;IF(AND(AP34="✓",AP$4&lt;&gt;""),AP$4&amp;"; ","")&amp;IF(AND(AQ34="✓",AQ$4&lt;&gt;""),AQ$4&amp;"; ","")&amp;IF(AND(AR34="✓",AR$4&lt;&gt;""),AR$4&amp;"; ","")&amp;IF(AND(AS34="✓",AS$4&lt;&gt;""),AS$4&amp;"; ","")&amp;IF(AND(AT34="✓",AT$4&lt;&gt;""),AT$4&amp;"; ","")&amp;IF(AND(AU34="✓",AU$4&lt;&gt;""),AU$4&amp;"; ","")&amp;IF(AND(AV34="✓",AV$4&lt;&gt;""),AV$4&amp;"; ","")&amp;IF(AND(AW34="✓",AW$4&lt;&gt;""),AW$4&amp;"; ","")&amp;IF(AND(AX34="✓",AX$4&lt;&gt;""),AX$4&amp;"; ","")&amp;IF(AND(AY34="✓",AY$4&lt;&gt;""),AY$4&amp;"; ","")&amp;IF(AND(AZ34="✓",AZ$4&lt;&gt;""),AZ$4&amp;"; ","")&amp;IF(AND(BA34="✓",BA$4&lt;&gt;""),BA$4&amp;"; ","")&amp;IF(AND(BB34="✓",BB$4&lt;&gt;""),BB$4&amp;"; ","")&amp;IF(AND(BC34="✓",BC$4&lt;&gt;""),BC$4&amp;"; ","")&amp;IF(AND(BD34="✓",BD$4&lt;&gt;""),BD$4&amp;"; ","")&amp;IF(AND(BE34="✓",BE$4&lt;&gt;""),BE$4&amp;"; ","")&amp;IF(AND(BF34="✓",BF$4&lt;&gt;""),BF$4&amp;"; ","")&amp;IF(AND(BG34="✓",BG$4&lt;&gt;""),BG$4&amp;"; ","")&amp;IF(AND(BH34="✓",BH$4&lt;&gt;""),BH$4&amp;"; ","")&amp;IF(AND(BI34="✓",BI$4&lt;&gt;""),BI$4&amp;"; ","")&amp;IF(AND(BJ34="✓",BJ$4&lt;&gt;""),BJ$4&amp;"; ","")&amp;IF(AND(BK34="✓",BK$4&lt;&gt;""),BK$4&amp;"; ","")&amp;IF(AND(BL34="✓",BL$4&lt;&gt;""),BL$4&amp;"; ","")&amp;IF(AND(BM34="✓",BM$4&lt;&gt;""),BM$4&amp;"; ","")&amp;IF(AND(BN34="✓",BN$4&lt;&gt;""),BN$4&amp;"; ","")&amp;IF(AND(BO34="✓",BO$4&lt;&gt;""),BO$4&amp;"; ","")&amp;IF(AND(BP34="✓",BP$4&lt;&gt;""),BP$4&amp;"; ","")&amp;IF(AND(BQ34="✓",BQ$4&lt;&gt;""),BQ$4&amp;"; ","")&amp;IF(AND(BR34="✓",BR$4&lt;&gt;""),BR$4&amp;"; ","")&amp;IF(AND(BS34="✓",BS$4&lt;&gt;""),BS$4&amp;"; ","")&amp;IF(AND(BT34="✓",BT$4&lt;&gt;""),BT$4&amp;"; ","")&amp;IF(AND(BU34="✓",BU$4&lt;&gt;""),BU$4&amp;"; ","")&amp;IF(AND(BV34="✓",BV$4&lt;&gt;""),BV$4&amp;"; ","")&amp;IF(AND(BW34="✓",BW$4&lt;&gt;""),BW$4&amp;"; ","")&amp;IF(AND(BX34="✓",BX$4&lt;&gt;""),BX$4&amp;"; ","")&amp;IF(AND(BY34="✓",BY$4&lt;&gt;""),BY$4&amp;"; ","")&amp;IF(AND(BZ34="✓",BZ$4&lt;&gt;""),BZ$4&amp;"; ","")&amp;IF(AND(CA34="✓",CA$4&lt;&gt;""),CA$4&amp;"; ","")&amp;IF(AND(CB34="✓",CB$4&lt;&gt;""),CB$4&amp;"; ","")&amp;IF(AND(CC34="✓",CC$4&lt;&gt;""),CC$4&amp;"; ","")&amp;IF(AND(CD34="✓",CD$4&lt;&gt;""),CD$4&amp;"; ","")&amp;IF(AND(CE34="✓",CE$4&lt;&gt;""),CE$4&amp;"; ","")&amp;IF(AND(CF34="✓",CF$4&lt;&gt;""),CF$4&amp;"; ","")&amp;IF(AND(CG34="✓",CG$4&lt;&gt;""),CG$4&amp;"; ","")&amp;IF(AND(CH34="✓",CH$4&lt;&gt;""),CH$4&amp;"; ","")&amp;IF(AND(CI34="✓",CI$4&lt;&gt;""),CI$4&amp;"; ","")&amp;IF(AND(CJ34="✓",CJ$4&lt;&gt;""),CJ$4&amp;"; ","")&amp;IF(AND(CK34="✓",CK$4&lt;&gt;""),CK$4&amp;"; ","")&amp;IF(AND(CL34="✓",CL$4&lt;&gt;""),CL$4&amp;"; ","")&amp;IF(AND(CM34="✓",CM$4&lt;&gt;""),CM$4&amp;"; ","")&amp;IF(AND(CN34="✓",CN$4&lt;&gt;""),CN$4&amp;"; ","")&amp;IF(AND(CO34="✓",CO$4&lt;&gt;""),CO$4&amp;"; ","")</f>
        <v>OPP-05; OPP-08; OPP-15; OPP-16; OPP-19; OPP-72; OPP-73; </v>
      </c>
      <c r="CQ34" s="104" t="str">
        <f aca="false">IF($CP34="","",LEFT($CP34,LEN($CP34)-2))</f>
        <v>OPP-05; OPP-08; OPP-15; OPP-16; OPP-19; OPP-72; OPP-73</v>
      </c>
      <c r="CR34" s="234" t="n">
        <f aca="false">IF($A34="","",COUNTIF($D34:$CO34,"✓"))</f>
        <v>7</v>
      </c>
    </row>
    <row r="35" customFormat="false" ht="21.75" hidden="false" customHeight="true" outlineLevel="0" collapsed="false">
      <c r="A35" s="231" t="str">
        <f aca="false">IF(03_能力總表_Master!$A35="","",03_能力總表_Master!$A35)</f>
        <v>CAP-031</v>
      </c>
      <c r="B35" s="166" t="str">
        <f aca="false">IF(03_能力總表_Master!$A35="","",03_能力總表_Master!$B35)</f>
        <v>D05 醫材與診斷</v>
      </c>
      <c r="C35" s="95" t="str">
        <f aca="false">IF(03_能力總表_Master!$A35="","",03_能力總表_Master!$E35)</f>
        <v>醫材介接與裝置身分</v>
      </c>
      <c r="D35" s="232"/>
      <c r="E35" s="232"/>
      <c r="F35" s="232"/>
      <c r="G35" s="232"/>
      <c r="H35" s="232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 t="s">
        <v>1305</v>
      </c>
      <c r="W35" s="232"/>
      <c r="X35" s="232" t="s">
        <v>1305</v>
      </c>
      <c r="Y35" s="232"/>
      <c r="Z35" s="232"/>
      <c r="AA35" s="232"/>
      <c r="AB35" s="232"/>
      <c r="AC35" s="232"/>
      <c r="AD35" s="232"/>
      <c r="AE35" s="232"/>
      <c r="AF35" s="232"/>
      <c r="AG35" s="232"/>
      <c r="AH35" s="232"/>
      <c r="AI35" s="232"/>
      <c r="AJ35" s="232"/>
      <c r="AK35" s="232"/>
      <c r="AL35" s="232"/>
      <c r="AM35" s="232"/>
      <c r="AN35" s="232"/>
      <c r="AO35" s="232" t="s">
        <v>1305</v>
      </c>
      <c r="AP35" s="232"/>
      <c r="AQ35" s="232"/>
      <c r="AR35" s="232"/>
      <c r="AS35" s="232"/>
      <c r="AT35" s="232"/>
      <c r="AU35" s="232"/>
      <c r="AV35" s="232"/>
      <c r="AW35" s="232"/>
      <c r="AX35" s="232"/>
      <c r="AY35" s="232"/>
      <c r="AZ35" s="232"/>
      <c r="BA35" s="232"/>
      <c r="BB35" s="232"/>
      <c r="BC35" s="232"/>
      <c r="BD35" s="232"/>
      <c r="BE35" s="232"/>
      <c r="BF35" s="232"/>
      <c r="BG35" s="232"/>
      <c r="BH35" s="232"/>
      <c r="BI35" s="232"/>
      <c r="BJ35" s="232"/>
      <c r="BK35" s="232"/>
      <c r="BL35" s="232"/>
      <c r="BM35" s="232"/>
      <c r="BN35" s="232"/>
      <c r="BO35" s="232"/>
      <c r="BP35" s="232"/>
      <c r="BQ35" s="232"/>
      <c r="BR35" s="232"/>
      <c r="BS35" s="232"/>
      <c r="BT35" s="232"/>
      <c r="BU35" s="232"/>
      <c r="BV35" s="232"/>
      <c r="BW35" s="232"/>
      <c r="BX35" s="232"/>
      <c r="BY35" s="232"/>
      <c r="BZ35" s="232"/>
      <c r="CA35" s="232"/>
      <c r="CB35" s="232"/>
      <c r="CC35" s="232"/>
      <c r="CD35" s="232"/>
      <c r="CE35" s="232"/>
      <c r="CF35" s="232"/>
      <c r="CG35" s="232"/>
      <c r="CH35" s="232"/>
      <c r="CI35" s="232"/>
      <c r="CJ35" s="232"/>
      <c r="CK35" s="232"/>
      <c r="CL35" s="232"/>
      <c r="CM35" s="232"/>
      <c r="CN35" s="232"/>
      <c r="CO35" s="232"/>
      <c r="CP35" s="233" t="str">
        <f aca="false">IF(AND(D35="✓",D$4&lt;&gt;""),D$4&amp;"; ","")&amp;IF(AND(E35="✓",E$4&lt;&gt;""),E$4&amp;"; ","")&amp;IF(AND(F35="✓",F$4&lt;&gt;""),F$4&amp;"; ","")&amp;IF(AND(G35="✓",G$4&lt;&gt;""),G$4&amp;"; ","")&amp;IF(AND(H35="✓",H$4&lt;&gt;""),H$4&amp;"; ","")&amp;IF(AND(I35="✓",I$4&lt;&gt;""),I$4&amp;"; ","")&amp;IF(AND(J35="✓",J$4&lt;&gt;""),J$4&amp;"; ","")&amp;IF(AND(K35="✓",K$4&lt;&gt;""),K$4&amp;"; ","")&amp;IF(AND(L35="✓",L$4&lt;&gt;""),L$4&amp;"; ","")&amp;IF(AND(M35="✓",M$4&lt;&gt;""),M$4&amp;"; ","")&amp;IF(AND(N35="✓",N$4&lt;&gt;""),N$4&amp;"; ","")&amp;IF(AND(O35="✓",O$4&lt;&gt;""),O$4&amp;"; ","")&amp;IF(AND(P35="✓",P$4&lt;&gt;""),P$4&amp;"; ","")&amp;IF(AND(Q35="✓",Q$4&lt;&gt;""),Q$4&amp;"; ","")&amp;IF(AND(R35="✓",R$4&lt;&gt;""),R$4&amp;"; ","")&amp;IF(AND(S35="✓",S$4&lt;&gt;""),S$4&amp;"; ","")&amp;IF(AND(T35="✓",T$4&lt;&gt;""),T$4&amp;"; ","")&amp;IF(AND(U35="✓",U$4&lt;&gt;""),U$4&amp;"; ","")&amp;IF(AND(V35="✓",V$4&lt;&gt;""),V$4&amp;"; ","")&amp;IF(AND(W35="✓",W$4&lt;&gt;""),W$4&amp;"; ","")&amp;IF(AND(X35="✓",X$4&lt;&gt;""),X$4&amp;"; ","")&amp;IF(AND(Y35="✓",Y$4&lt;&gt;""),Y$4&amp;"; ","")&amp;IF(AND(Z35="✓",Z$4&lt;&gt;""),Z$4&amp;"; ","")&amp;IF(AND(AA35="✓",AA$4&lt;&gt;""),AA$4&amp;"; ","")&amp;IF(AND(AB35="✓",AB$4&lt;&gt;""),AB$4&amp;"; ","")&amp;IF(AND(AC35="✓",AC$4&lt;&gt;""),AC$4&amp;"; ","")&amp;IF(AND(AD35="✓",AD$4&lt;&gt;""),AD$4&amp;"; ","")&amp;IF(AND(AE35="✓",AE$4&lt;&gt;""),AE$4&amp;"; ","")&amp;IF(AND(AF35="✓",AF$4&lt;&gt;""),AF$4&amp;"; ","")&amp;IF(AND(AG35="✓",AG$4&lt;&gt;""),AG$4&amp;"; ","")&amp;IF(AND(AH35="✓",AH$4&lt;&gt;""),AH$4&amp;"; ","")&amp;IF(AND(AI35="✓",AI$4&lt;&gt;""),AI$4&amp;"; ","")&amp;IF(AND(AJ35="✓",AJ$4&lt;&gt;""),AJ$4&amp;"; ","")&amp;IF(AND(AK35="✓",AK$4&lt;&gt;""),AK$4&amp;"; ","")&amp;IF(AND(AL35="✓",AL$4&lt;&gt;""),AL$4&amp;"; ","")&amp;IF(AND(AM35="✓",AM$4&lt;&gt;""),AM$4&amp;"; ","")&amp;IF(AND(AN35="✓",AN$4&lt;&gt;""),AN$4&amp;"; ","")&amp;IF(AND(AO35="✓",AO$4&lt;&gt;""),AO$4&amp;"; ","")&amp;IF(AND(AP35="✓",AP$4&lt;&gt;""),AP$4&amp;"; ","")&amp;IF(AND(AQ35="✓",AQ$4&lt;&gt;""),AQ$4&amp;"; ","")&amp;IF(AND(AR35="✓",AR$4&lt;&gt;""),AR$4&amp;"; ","")&amp;IF(AND(AS35="✓",AS$4&lt;&gt;""),AS$4&amp;"; ","")&amp;IF(AND(AT35="✓",AT$4&lt;&gt;""),AT$4&amp;"; ","")&amp;IF(AND(AU35="✓",AU$4&lt;&gt;""),AU$4&amp;"; ","")&amp;IF(AND(AV35="✓",AV$4&lt;&gt;""),AV$4&amp;"; ","")&amp;IF(AND(AW35="✓",AW$4&lt;&gt;""),AW$4&amp;"; ","")&amp;IF(AND(AX35="✓",AX$4&lt;&gt;""),AX$4&amp;"; ","")&amp;IF(AND(AY35="✓",AY$4&lt;&gt;""),AY$4&amp;"; ","")&amp;IF(AND(AZ35="✓",AZ$4&lt;&gt;""),AZ$4&amp;"; ","")&amp;IF(AND(BA35="✓",BA$4&lt;&gt;""),BA$4&amp;"; ","")&amp;IF(AND(BB35="✓",BB$4&lt;&gt;""),BB$4&amp;"; ","")&amp;IF(AND(BC35="✓",BC$4&lt;&gt;""),BC$4&amp;"; ","")&amp;IF(AND(BD35="✓",BD$4&lt;&gt;""),BD$4&amp;"; ","")&amp;IF(AND(BE35="✓",BE$4&lt;&gt;""),BE$4&amp;"; ","")&amp;IF(AND(BF35="✓",BF$4&lt;&gt;""),BF$4&amp;"; ","")&amp;IF(AND(BG35="✓",BG$4&lt;&gt;""),BG$4&amp;"; ","")&amp;IF(AND(BH35="✓",BH$4&lt;&gt;""),BH$4&amp;"; ","")&amp;IF(AND(BI35="✓",BI$4&lt;&gt;""),BI$4&amp;"; ","")&amp;IF(AND(BJ35="✓",BJ$4&lt;&gt;""),BJ$4&amp;"; ","")&amp;IF(AND(BK35="✓",BK$4&lt;&gt;""),BK$4&amp;"; ","")&amp;IF(AND(BL35="✓",BL$4&lt;&gt;""),BL$4&amp;"; ","")&amp;IF(AND(BM35="✓",BM$4&lt;&gt;""),BM$4&amp;"; ","")&amp;IF(AND(BN35="✓",BN$4&lt;&gt;""),BN$4&amp;"; ","")&amp;IF(AND(BO35="✓",BO$4&lt;&gt;""),BO$4&amp;"; ","")&amp;IF(AND(BP35="✓",BP$4&lt;&gt;""),BP$4&amp;"; ","")&amp;IF(AND(BQ35="✓",BQ$4&lt;&gt;""),BQ$4&amp;"; ","")&amp;IF(AND(BR35="✓",BR$4&lt;&gt;""),BR$4&amp;"; ","")&amp;IF(AND(BS35="✓",BS$4&lt;&gt;""),BS$4&amp;"; ","")&amp;IF(AND(BT35="✓",BT$4&lt;&gt;""),BT$4&amp;"; ","")&amp;IF(AND(BU35="✓",BU$4&lt;&gt;""),BU$4&amp;"; ","")&amp;IF(AND(BV35="✓",BV$4&lt;&gt;""),BV$4&amp;"; ","")&amp;IF(AND(BW35="✓",BW$4&lt;&gt;""),BW$4&amp;"; ","")&amp;IF(AND(BX35="✓",BX$4&lt;&gt;""),BX$4&amp;"; ","")&amp;IF(AND(BY35="✓",BY$4&lt;&gt;""),BY$4&amp;"; ","")&amp;IF(AND(BZ35="✓",BZ$4&lt;&gt;""),BZ$4&amp;"; ","")&amp;IF(AND(CA35="✓",CA$4&lt;&gt;""),CA$4&amp;"; ","")&amp;IF(AND(CB35="✓",CB$4&lt;&gt;""),CB$4&amp;"; ","")&amp;IF(AND(CC35="✓",CC$4&lt;&gt;""),CC$4&amp;"; ","")&amp;IF(AND(CD35="✓",CD$4&lt;&gt;""),CD$4&amp;"; ","")&amp;IF(AND(CE35="✓",CE$4&lt;&gt;""),CE$4&amp;"; ","")&amp;IF(AND(CF35="✓",CF$4&lt;&gt;""),CF$4&amp;"; ","")&amp;IF(AND(CG35="✓",CG$4&lt;&gt;""),CG$4&amp;"; ","")&amp;IF(AND(CH35="✓",CH$4&lt;&gt;""),CH$4&amp;"; ","")&amp;IF(AND(CI35="✓",CI$4&lt;&gt;""),CI$4&amp;"; ","")&amp;IF(AND(CJ35="✓",CJ$4&lt;&gt;""),CJ$4&amp;"; ","")&amp;IF(AND(CK35="✓",CK$4&lt;&gt;""),CK$4&amp;"; ","")&amp;IF(AND(CL35="✓",CL$4&lt;&gt;""),CL$4&amp;"; ","")&amp;IF(AND(CM35="✓",CM$4&lt;&gt;""),CM$4&amp;"; ","")&amp;IF(AND(CN35="✓",CN$4&lt;&gt;""),CN$4&amp;"; ","")&amp;IF(AND(CO35="✓",CO$4&lt;&gt;""),CO$4&amp;"; ","")</f>
        <v>OPP-19; OPP-21; OPP-38; </v>
      </c>
      <c r="CQ35" s="104" t="str">
        <f aca="false">IF($CP35="","",LEFT($CP35,LEN($CP35)-2))</f>
        <v>OPP-19; OPP-21; OPP-38</v>
      </c>
      <c r="CR35" s="234" t="n">
        <f aca="false">IF($A35="","",COUNTIF($D35:$CO35,"✓"))</f>
        <v>3</v>
      </c>
    </row>
    <row r="36" customFormat="false" ht="21.75" hidden="false" customHeight="true" outlineLevel="0" collapsed="false">
      <c r="A36" s="231" t="str">
        <f aca="false">IF(03_能力總表_Master!$A36="","",03_能力總表_Master!$A36)</f>
        <v>CAP-032</v>
      </c>
      <c r="B36" s="166" t="str">
        <f aca="false">IF(03_能力總表_Master!$A36="","",03_能力總表_Master!$B36)</f>
        <v>D05 醫材與診斷</v>
      </c>
      <c r="C36" s="95" t="str">
        <f aca="false">IF(03_能力總表_Master!$A36="","",03_能力總表_Master!$E36)</f>
        <v>醫療工程與設備生命週期</v>
      </c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2"/>
      <c r="P36" s="232" t="s">
        <v>1305</v>
      </c>
      <c r="Q36" s="232"/>
      <c r="R36" s="232" t="s">
        <v>1305</v>
      </c>
      <c r="S36" s="232"/>
      <c r="T36" s="232" t="s">
        <v>1305</v>
      </c>
      <c r="U36" s="232" t="s">
        <v>1305</v>
      </c>
      <c r="V36" s="232"/>
      <c r="W36" s="232" t="s">
        <v>1305</v>
      </c>
      <c r="X36" s="232"/>
      <c r="Y36" s="232"/>
      <c r="Z36" s="232"/>
      <c r="AA36" s="232"/>
      <c r="AB36" s="232"/>
      <c r="AC36" s="232"/>
      <c r="AD36" s="232"/>
      <c r="AE36" s="232"/>
      <c r="AF36" s="232"/>
      <c r="AG36" s="232"/>
      <c r="AH36" s="232"/>
      <c r="AI36" s="232"/>
      <c r="AJ36" s="232"/>
      <c r="AK36" s="232"/>
      <c r="AL36" s="232"/>
      <c r="AM36" s="232"/>
      <c r="AN36" s="232"/>
      <c r="AO36" s="232"/>
      <c r="AP36" s="232"/>
      <c r="AQ36" s="232"/>
      <c r="AR36" s="232"/>
      <c r="AS36" s="232"/>
      <c r="AT36" s="232"/>
      <c r="AU36" s="232"/>
      <c r="AV36" s="232"/>
      <c r="AW36" s="232" t="s">
        <v>1305</v>
      </c>
      <c r="AX36" s="232"/>
      <c r="AY36" s="232"/>
      <c r="AZ36" s="232"/>
      <c r="BA36" s="232"/>
      <c r="BB36" s="232"/>
      <c r="BC36" s="232"/>
      <c r="BD36" s="232"/>
      <c r="BE36" s="232" t="s">
        <v>1305</v>
      </c>
      <c r="BF36" s="232"/>
      <c r="BG36" s="232"/>
      <c r="BH36" s="232"/>
      <c r="BI36" s="232"/>
      <c r="BJ36" s="232"/>
      <c r="BK36" s="232"/>
      <c r="BL36" s="232"/>
      <c r="BM36" s="232"/>
      <c r="BN36" s="232"/>
      <c r="BO36" s="232"/>
      <c r="BP36" s="232" t="s">
        <v>1305</v>
      </c>
      <c r="BQ36" s="232" t="s">
        <v>1305</v>
      </c>
      <c r="BR36" s="232"/>
      <c r="BS36" s="232"/>
      <c r="BT36" s="232"/>
      <c r="BU36" s="232"/>
      <c r="BV36" s="232"/>
      <c r="BW36" s="232"/>
      <c r="BX36" s="232"/>
      <c r="BY36" s="232"/>
      <c r="BZ36" s="232"/>
      <c r="CA36" s="232"/>
      <c r="CB36" s="232"/>
      <c r="CC36" s="232"/>
      <c r="CD36" s="232"/>
      <c r="CE36" s="232"/>
      <c r="CF36" s="232"/>
      <c r="CG36" s="232"/>
      <c r="CH36" s="232"/>
      <c r="CI36" s="232"/>
      <c r="CJ36" s="232"/>
      <c r="CK36" s="232"/>
      <c r="CL36" s="232"/>
      <c r="CM36" s="232"/>
      <c r="CN36" s="232"/>
      <c r="CO36" s="232"/>
      <c r="CP36" s="233" t="str">
        <f aca="false">IF(AND(D36="✓",D$4&lt;&gt;""),D$4&amp;"; ","")&amp;IF(AND(E36="✓",E$4&lt;&gt;""),E$4&amp;"; ","")&amp;IF(AND(F36="✓",F$4&lt;&gt;""),F$4&amp;"; ","")&amp;IF(AND(G36="✓",G$4&lt;&gt;""),G$4&amp;"; ","")&amp;IF(AND(H36="✓",H$4&lt;&gt;""),H$4&amp;"; ","")&amp;IF(AND(I36="✓",I$4&lt;&gt;""),I$4&amp;"; ","")&amp;IF(AND(J36="✓",J$4&lt;&gt;""),J$4&amp;"; ","")&amp;IF(AND(K36="✓",K$4&lt;&gt;""),K$4&amp;"; ","")&amp;IF(AND(L36="✓",L$4&lt;&gt;""),L$4&amp;"; ","")&amp;IF(AND(M36="✓",M$4&lt;&gt;""),M$4&amp;"; ","")&amp;IF(AND(N36="✓",N$4&lt;&gt;""),N$4&amp;"; ","")&amp;IF(AND(O36="✓",O$4&lt;&gt;""),O$4&amp;"; ","")&amp;IF(AND(P36="✓",P$4&lt;&gt;""),P$4&amp;"; ","")&amp;IF(AND(Q36="✓",Q$4&lt;&gt;""),Q$4&amp;"; ","")&amp;IF(AND(R36="✓",R$4&lt;&gt;""),R$4&amp;"; ","")&amp;IF(AND(S36="✓",S$4&lt;&gt;""),S$4&amp;"; ","")&amp;IF(AND(T36="✓",T$4&lt;&gt;""),T$4&amp;"; ","")&amp;IF(AND(U36="✓",U$4&lt;&gt;""),U$4&amp;"; ","")&amp;IF(AND(V36="✓",V$4&lt;&gt;""),V$4&amp;"; ","")&amp;IF(AND(W36="✓",W$4&lt;&gt;""),W$4&amp;"; ","")&amp;IF(AND(X36="✓",X$4&lt;&gt;""),X$4&amp;"; ","")&amp;IF(AND(Y36="✓",Y$4&lt;&gt;""),Y$4&amp;"; ","")&amp;IF(AND(Z36="✓",Z$4&lt;&gt;""),Z$4&amp;"; ","")&amp;IF(AND(AA36="✓",AA$4&lt;&gt;""),AA$4&amp;"; ","")&amp;IF(AND(AB36="✓",AB$4&lt;&gt;""),AB$4&amp;"; ","")&amp;IF(AND(AC36="✓",AC$4&lt;&gt;""),AC$4&amp;"; ","")&amp;IF(AND(AD36="✓",AD$4&lt;&gt;""),AD$4&amp;"; ","")&amp;IF(AND(AE36="✓",AE$4&lt;&gt;""),AE$4&amp;"; ","")&amp;IF(AND(AF36="✓",AF$4&lt;&gt;""),AF$4&amp;"; ","")&amp;IF(AND(AG36="✓",AG$4&lt;&gt;""),AG$4&amp;"; ","")&amp;IF(AND(AH36="✓",AH$4&lt;&gt;""),AH$4&amp;"; ","")&amp;IF(AND(AI36="✓",AI$4&lt;&gt;""),AI$4&amp;"; ","")&amp;IF(AND(AJ36="✓",AJ$4&lt;&gt;""),AJ$4&amp;"; ","")&amp;IF(AND(AK36="✓",AK$4&lt;&gt;""),AK$4&amp;"; ","")&amp;IF(AND(AL36="✓",AL$4&lt;&gt;""),AL$4&amp;"; ","")&amp;IF(AND(AM36="✓",AM$4&lt;&gt;""),AM$4&amp;"; ","")&amp;IF(AND(AN36="✓",AN$4&lt;&gt;""),AN$4&amp;"; ","")&amp;IF(AND(AO36="✓",AO$4&lt;&gt;""),AO$4&amp;"; ","")&amp;IF(AND(AP36="✓",AP$4&lt;&gt;""),AP$4&amp;"; ","")&amp;IF(AND(AQ36="✓",AQ$4&lt;&gt;""),AQ$4&amp;"; ","")&amp;IF(AND(AR36="✓",AR$4&lt;&gt;""),AR$4&amp;"; ","")&amp;IF(AND(AS36="✓",AS$4&lt;&gt;""),AS$4&amp;"; ","")&amp;IF(AND(AT36="✓",AT$4&lt;&gt;""),AT$4&amp;"; ","")&amp;IF(AND(AU36="✓",AU$4&lt;&gt;""),AU$4&amp;"; ","")&amp;IF(AND(AV36="✓",AV$4&lt;&gt;""),AV$4&amp;"; ","")&amp;IF(AND(AW36="✓",AW$4&lt;&gt;""),AW$4&amp;"; ","")&amp;IF(AND(AX36="✓",AX$4&lt;&gt;""),AX$4&amp;"; ","")&amp;IF(AND(AY36="✓",AY$4&lt;&gt;""),AY$4&amp;"; ","")&amp;IF(AND(AZ36="✓",AZ$4&lt;&gt;""),AZ$4&amp;"; ","")&amp;IF(AND(BA36="✓",BA$4&lt;&gt;""),BA$4&amp;"; ","")&amp;IF(AND(BB36="✓",BB$4&lt;&gt;""),BB$4&amp;"; ","")&amp;IF(AND(BC36="✓",BC$4&lt;&gt;""),BC$4&amp;"; ","")&amp;IF(AND(BD36="✓",BD$4&lt;&gt;""),BD$4&amp;"; ","")&amp;IF(AND(BE36="✓",BE$4&lt;&gt;""),BE$4&amp;"; ","")&amp;IF(AND(BF36="✓",BF$4&lt;&gt;""),BF$4&amp;"; ","")&amp;IF(AND(BG36="✓",BG$4&lt;&gt;""),BG$4&amp;"; ","")&amp;IF(AND(BH36="✓",BH$4&lt;&gt;""),BH$4&amp;"; ","")&amp;IF(AND(BI36="✓",BI$4&lt;&gt;""),BI$4&amp;"; ","")&amp;IF(AND(BJ36="✓",BJ$4&lt;&gt;""),BJ$4&amp;"; ","")&amp;IF(AND(BK36="✓",BK$4&lt;&gt;""),BK$4&amp;"; ","")&amp;IF(AND(BL36="✓",BL$4&lt;&gt;""),BL$4&amp;"; ","")&amp;IF(AND(BM36="✓",BM$4&lt;&gt;""),BM$4&amp;"; ","")&amp;IF(AND(BN36="✓",BN$4&lt;&gt;""),BN$4&amp;"; ","")&amp;IF(AND(BO36="✓",BO$4&lt;&gt;""),BO$4&amp;"; ","")&amp;IF(AND(BP36="✓",BP$4&lt;&gt;""),BP$4&amp;"; ","")&amp;IF(AND(BQ36="✓",BQ$4&lt;&gt;""),BQ$4&amp;"; ","")&amp;IF(AND(BR36="✓",BR$4&lt;&gt;""),BR$4&amp;"; ","")&amp;IF(AND(BS36="✓",BS$4&lt;&gt;""),BS$4&amp;"; ","")&amp;IF(AND(BT36="✓",BT$4&lt;&gt;""),BT$4&amp;"; ","")&amp;IF(AND(BU36="✓",BU$4&lt;&gt;""),BU$4&amp;"; ","")&amp;IF(AND(BV36="✓",BV$4&lt;&gt;""),BV$4&amp;"; ","")&amp;IF(AND(BW36="✓",BW$4&lt;&gt;""),BW$4&amp;"; ","")&amp;IF(AND(BX36="✓",BX$4&lt;&gt;""),BX$4&amp;"; ","")&amp;IF(AND(BY36="✓",BY$4&lt;&gt;""),BY$4&amp;"; ","")&amp;IF(AND(BZ36="✓",BZ$4&lt;&gt;""),BZ$4&amp;"; ","")&amp;IF(AND(CA36="✓",CA$4&lt;&gt;""),CA$4&amp;"; ","")&amp;IF(AND(CB36="✓",CB$4&lt;&gt;""),CB$4&amp;"; ","")&amp;IF(AND(CC36="✓",CC$4&lt;&gt;""),CC$4&amp;"; ","")&amp;IF(AND(CD36="✓",CD$4&lt;&gt;""),CD$4&amp;"; ","")&amp;IF(AND(CE36="✓",CE$4&lt;&gt;""),CE$4&amp;"; ","")&amp;IF(AND(CF36="✓",CF$4&lt;&gt;""),CF$4&amp;"; ","")&amp;IF(AND(CG36="✓",CG$4&lt;&gt;""),CG$4&amp;"; ","")&amp;IF(AND(CH36="✓",CH$4&lt;&gt;""),CH$4&amp;"; ","")&amp;IF(AND(CI36="✓",CI$4&lt;&gt;""),CI$4&amp;"; ","")&amp;IF(AND(CJ36="✓",CJ$4&lt;&gt;""),CJ$4&amp;"; ","")&amp;IF(AND(CK36="✓",CK$4&lt;&gt;""),CK$4&amp;"; ","")&amp;IF(AND(CL36="✓",CL$4&lt;&gt;""),CL$4&amp;"; ","")&amp;IF(AND(CM36="✓",CM$4&lt;&gt;""),CM$4&amp;"; ","")&amp;IF(AND(CN36="✓",CN$4&lt;&gt;""),CN$4&amp;"; ","")&amp;IF(AND(CO36="✓",CO$4&lt;&gt;""),CO$4&amp;"; ","")</f>
        <v>OPP-13; OPP-15; OPP-17; OPP-18; OPP-20; OPP-46; OPP-54; OPP-65; OPP-66; </v>
      </c>
      <c r="CQ36" s="104" t="str">
        <f aca="false">IF($CP36="","",LEFT($CP36,LEN($CP36)-2))</f>
        <v>OPP-13; OPP-15; OPP-17; OPP-18; OPP-20; OPP-46; OPP-54; OPP-65; OPP-66</v>
      </c>
      <c r="CR36" s="234" t="n">
        <f aca="false">IF($A36="","",COUNTIF($D36:$CO36,"✓"))</f>
        <v>9</v>
      </c>
    </row>
    <row r="37" customFormat="false" ht="21.75" hidden="false" customHeight="true" outlineLevel="0" collapsed="false">
      <c r="A37" s="231" t="str">
        <f aca="false">IF(03_能力總表_Master!$A37="","",03_能力總表_Master!$A37)</f>
        <v>CAP-033</v>
      </c>
      <c r="B37" s="166" t="str">
        <f aca="false">IF(03_能力總表_Master!$A37="","",03_能力總表_Master!$B37)</f>
        <v>D06 醫療資訊與資料</v>
      </c>
      <c r="C37" s="95" t="str">
        <f aca="false">IF(03_能力總表_Master!$A37="","",03_能力總表_Master!$E37)</f>
        <v>HIS／EMR核心平台</v>
      </c>
      <c r="D37" s="232"/>
      <c r="E37" s="232"/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Q37" s="232"/>
      <c r="R37" s="232"/>
      <c r="S37" s="232"/>
      <c r="T37" s="232"/>
      <c r="U37" s="232"/>
      <c r="V37" s="232"/>
      <c r="W37" s="232"/>
      <c r="X37" s="232"/>
      <c r="Y37" s="232"/>
      <c r="Z37" s="232"/>
      <c r="AA37" s="232"/>
      <c r="AB37" s="232"/>
      <c r="AC37" s="232"/>
      <c r="AD37" s="232"/>
      <c r="AE37" s="232"/>
      <c r="AF37" s="232"/>
      <c r="AG37" s="232" t="s">
        <v>1305</v>
      </c>
      <c r="AH37" s="232" t="s">
        <v>1305</v>
      </c>
      <c r="AI37" s="232"/>
      <c r="AJ37" s="232"/>
      <c r="AK37" s="232"/>
      <c r="AL37" s="232"/>
      <c r="AM37" s="232"/>
      <c r="AN37" s="232"/>
      <c r="AO37" s="232"/>
      <c r="AP37" s="232"/>
      <c r="AQ37" s="232" t="s">
        <v>1305</v>
      </c>
      <c r="AR37" s="232"/>
      <c r="AS37" s="232"/>
      <c r="AT37" s="232"/>
      <c r="AU37" s="232"/>
      <c r="AV37" s="232"/>
      <c r="AW37" s="232"/>
      <c r="AX37" s="232"/>
      <c r="AY37" s="232"/>
      <c r="AZ37" s="232"/>
      <c r="BA37" s="232"/>
      <c r="BB37" s="232"/>
      <c r="BC37" s="232"/>
      <c r="BD37" s="232"/>
      <c r="BE37" s="232"/>
      <c r="BF37" s="232"/>
      <c r="BG37" s="232"/>
      <c r="BH37" s="232"/>
      <c r="BI37" s="232"/>
      <c r="BJ37" s="232"/>
      <c r="BK37" s="232"/>
      <c r="BL37" s="232"/>
      <c r="BM37" s="232"/>
      <c r="BN37" s="232"/>
      <c r="BO37" s="232"/>
      <c r="BP37" s="232"/>
      <c r="BQ37" s="232"/>
      <c r="BR37" s="232"/>
      <c r="BS37" s="232"/>
      <c r="BT37" s="232"/>
      <c r="BU37" s="232"/>
      <c r="BV37" s="232"/>
      <c r="BW37" s="232"/>
      <c r="BX37" s="232"/>
      <c r="BY37" s="232"/>
      <c r="BZ37" s="232"/>
      <c r="CA37" s="232"/>
      <c r="CB37" s="232"/>
      <c r="CC37" s="232"/>
      <c r="CD37" s="232"/>
      <c r="CE37" s="232"/>
      <c r="CF37" s="232"/>
      <c r="CG37" s="232"/>
      <c r="CH37" s="232"/>
      <c r="CI37" s="232"/>
      <c r="CJ37" s="232"/>
      <c r="CK37" s="232"/>
      <c r="CL37" s="232"/>
      <c r="CM37" s="232"/>
      <c r="CN37" s="232"/>
      <c r="CO37" s="232"/>
      <c r="CP37" s="233" t="str">
        <f aca="false">IF(AND(D37="✓",D$4&lt;&gt;""),D$4&amp;"; ","")&amp;IF(AND(E37="✓",E$4&lt;&gt;""),E$4&amp;"; ","")&amp;IF(AND(F37="✓",F$4&lt;&gt;""),F$4&amp;"; ","")&amp;IF(AND(G37="✓",G$4&lt;&gt;""),G$4&amp;"; ","")&amp;IF(AND(H37="✓",H$4&lt;&gt;""),H$4&amp;"; ","")&amp;IF(AND(I37="✓",I$4&lt;&gt;""),I$4&amp;"; ","")&amp;IF(AND(J37="✓",J$4&lt;&gt;""),J$4&amp;"; ","")&amp;IF(AND(K37="✓",K$4&lt;&gt;""),K$4&amp;"; ","")&amp;IF(AND(L37="✓",L$4&lt;&gt;""),L$4&amp;"; ","")&amp;IF(AND(M37="✓",M$4&lt;&gt;""),M$4&amp;"; ","")&amp;IF(AND(N37="✓",N$4&lt;&gt;""),N$4&amp;"; ","")&amp;IF(AND(O37="✓",O$4&lt;&gt;""),O$4&amp;"; ","")&amp;IF(AND(P37="✓",P$4&lt;&gt;""),P$4&amp;"; ","")&amp;IF(AND(Q37="✓",Q$4&lt;&gt;""),Q$4&amp;"; ","")&amp;IF(AND(R37="✓",R$4&lt;&gt;""),R$4&amp;"; ","")&amp;IF(AND(S37="✓",S$4&lt;&gt;""),S$4&amp;"; ","")&amp;IF(AND(T37="✓",T$4&lt;&gt;""),T$4&amp;"; ","")&amp;IF(AND(U37="✓",U$4&lt;&gt;""),U$4&amp;"; ","")&amp;IF(AND(V37="✓",V$4&lt;&gt;""),V$4&amp;"; ","")&amp;IF(AND(W37="✓",W$4&lt;&gt;""),W$4&amp;"; ","")&amp;IF(AND(X37="✓",X$4&lt;&gt;""),X$4&amp;"; ","")&amp;IF(AND(Y37="✓",Y$4&lt;&gt;""),Y$4&amp;"; ","")&amp;IF(AND(Z37="✓",Z$4&lt;&gt;""),Z$4&amp;"; ","")&amp;IF(AND(AA37="✓",AA$4&lt;&gt;""),AA$4&amp;"; ","")&amp;IF(AND(AB37="✓",AB$4&lt;&gt;""),AB$4&amp;"; ","")&amp;IF(AND(AC37="✓",AC$4&lt;&gt;""),AC$4&amp;"; ","")&amp;IF(AND(AD37="✓",AD$4&lt;&gt;""),AD$4&amp;"; ","")&amp;IF(AND(AE37="✓",AE$4&lt;&gt;""),AE$4&amp;"; ","")&amp;IF(AND(AF37="✓",AF$4&lt;&gt;""),AF$4&amp;"; ","")&amp;IF(AND(AG37="✓",AG$4&lt;&gt;""),AG$4&amp;"; ","")&amp;IF(AND(AH37="✓",AH$4&lt;&gt;""),AH$4&amp;"; ","")&amp;IF(AND(AI37="✓",AI$4&lt;&gt;""),AI$4&amp;"; ","")&amp;IF(AND(AJ37="✓",AJ$4&lt;&gt;""),AJ$4&amp;"; ","")&amp;IF(AND(AK37="✓",AK$4&lt;&gt;""),AK$4&amp;"; ","")&amp;IF(AND(AL37="✓",AL$4&lt;&gt;""),AL$4&amp;"; ","")&amp;IF(AND(AM37="✓",AM$4&lt;&gt;""),AM$4&amp;"; ","")&amp;IF(AND(AN37="✓",AN$4&lt;&gt;""),AN$4&amp;"; ","")&amp;IF(AND(AO37="✓",AO$4&lt;&gt;""),AO$4&amp;"; ","")&amp;IF(AND(AP37="✓",AP$4&lt;&gt;""),AP$4&amp;"; ","")&amp;IF(AND(AQ37="✓",AQ$4&lt;&gt;""),AQ$4&amp;"; ","")&amp;IF(AND(AR37="✓",AR$4&lt;&gt;""),AR$4&amp;"; ","")&amp;IF(AND(AS37="✓",AS$4&lt;&gt;""),AS$4&amp;"; ","")&amp;IF(AND(AT37="✓",AT$4&lt;&gt;""),AT$4&amp;"; ","")&amp;IF(AND(AU37="✓",AU$4&lt;&gt;""),AU$4&amp;"; ","")&amp;IF(AND(AV37="✓",AV$4&lt;&gt;""),AV$4&amp;"; ","")&amp;IF(AND(AW37="✓",AW$4&lt;&gt;""),AW$4&amp;"; ","")&amp;IF(AND(AX37="✓",AX$4&lt;&gt;""),AX$4&amp;"; ","")&amp;IF(AND(AY37="✓",AY$4&lt;&gt;""),AY$4&amp;"; ","")&amp;IF(AND(AZ37="✓",AZ$4&lt;&gt;""),AZ$4&amp;"; ","")&amp;IF(AND(BA37="✓",BA$4&lt;&gt;""),BA$4&amp;"; ","")&amp;IF(AND(BB37="✓",BB$4&lt;&gt;""),BB$4&amp;"; ","")&amp;IF(AND(BC37="✓",BC$4&lt;&gt;""),BC$4&amp;"; ","")&amp;IF(AND(BD37="✓",BD$4&lt;&gt;""),BD$4&amp;"; ","")&amp;IF(AND(BE37="✓",BE$4&lt;&gt;""),BE$4&amp;"; ","")&amp;IF(AND(BF37="✓",BF$4&lt;&gt;""),BF$4&amp;"; ","")&amp;IF(AND(BG37="✓",BG$4&lt;&gt;""),BG$4&amp;"; ","")&amp;IF(AND(BH37="✓",BH$4&lt;&gt;""),BH$4&amp;"; ","")&amp;IF(AND(BI37="✓",BI$4&lt;&gt;""),BI$4&amp;"; ","")&amp;IF(AND(BJ37="✓",BJ$4&lt;&gt;""),BJ$4&amp;"; ","")&amp;IF(AND(BK37="✓",BK$4&lt;&gt;""),BK$4&amp;"; ","")&amp;IF(AND(BL37="✓",BL$4&lt;&gt;""),BL$4&amp;"; ","")&amp;IF(AND(BM37="✓",BM$4&lt;&gt;""),BM$4&amp;"; ","")&amp;IF(AND(BN37="✓",BN$4&lt;&gt;""),BN$4&amp;"; ","")&amp;IF(AND(BO37="✓",BO$4&lt;&gt;""),BO$4&amp;"; ","")&amp;IF(AND(BP37="✓",BP$4&lt;&gt;""),BP$4&amp;"; ","")&amp;IF(AND(BQ37="✓",BQ$4&lt;&gt;""),BQ$4&amp;"; ","")&amp;IF(AND(BR37="✓",BR$4&lt;&gt;""),BR$4&amp;"; ","")&amp;IF(AND(BS37="✓",BS$4&lt;&gt;""),BS$4&amp;"; ","")&amp;IF(AND(BT37="✓",BT$4&lt;&gt;""),BT$4&amp;"; ","")&amp;IF(AND(BU37="✓",BU$4&lt;&gt;""),BU$4&amp;"; ","")&amp;IF(AND(BV37="✓",BV$4&lt;&gt;""),BV$4&amp;"; ","")&amp;IF(AND(BW37="✓",BW$4&lt;&gt;""),BW$4&amp;"; ","")&amp;IF(AND(BX37="✓",BX$4&lt;&gt;""),BX$4&amp;"; ","")&amp;IF(AND(BY37="✓",BY$4&lt;&gt;""),BY$4&amp;"; ","")&amp;IF(AND(BZ37="✓",BZ$4&lt;&gt;""),BZ$4&amp;"; ","")&amp;IF(AND(CA37="✓",CA$4&lt;&gt;""),CA$4&amp;"; ","")&amp;IF(AND(CB37="✓",CB$4&lt;&gt;""),CB$4&amp;"; ","")&amp;IF(AND(CC37="✓",CC$4&lt;&gt;""),CC$4&amp;"; ","")&amp;IF(AND(CD37="✓",CD$4&lt;&gt;""),CD$4&amp;"; ","")&amp;IF(AND(CE37="✓",CE$4&lt;&gt;""),CE$4&amp;"; ","")&amp;IF(AND(CF37="✓",CF$4&lt;&gt;""),CF$4&amp;"; ","")&amp;IF(AND(CG37="✓",CG$4&lt;&gt;""),CG$4&amp;"; ","")&amp;IF(AND(CH37="✓",CH$4&lt;&gt;""),CH$4&amp;"; ","")&amp;IF(AND(CI37="✓",CI$4&lt;&gt;""),CI$4&amp;"; ","")&amp;IF(AND(CJ37="✓",CJ$4&lt;&gt;""),CJ$4&amp;"; ","")&amp;IF(AND(CK37="✓",CK$4&lt;&gt;""),CK$4&amp;"; ","")&amp;IF(AND(CL37="✓",CL$4&lt;&gt;""),CL$4&amp;"; ","")&amp;IF(AND(CM37="✓",CM$4&lt;&gt;""),CM$4&amp;"; ","")&amp;IF(AND(CN37="✓",CN$4&lt;&gt;""),CN$4&amp;"; ","")&amp;IF(AND(CO37="✓",CO$4&lt;&gt;""),CO$4&amp;"; ","")</f>
        <v>OPP-30; OPP-31; OPP-40; </v>
      </c>
      <c r="CQ37" s="104" t="str">
        <f aca="false">IF($CP37="","",LEFT($CP37,LEN($CP37)-2))</f>
        <v>OPP-30; OPP-31; OPP-40</v>
      </c>
      <c r="CR37" s="234" t="n">
        <f aca="false">IF($A37="","",COUNTIF($D37:$CO37,"✓"))</f>
        <v>3</v>
      </c>
    </row>
    <row r="38" customFormat="false" ht="21.75" hidden="false" customHeight="true" outlineLevel="0" collapsed="false">
      <c r="A38" s="231" t="str">
        <f aca="false">IF(03_能力總表_Master!$A38="","",03_能力總表_Master!$A38)</f>
        <v>CAP-034</v>
      </c>
      <c r="B38" s="166" t="str">
        <f aca="false">IF(03_能力總表_Master!$A38="","",03_能力總表_Master!$B38)</f>
        <v>D06 醫療資訊與資料</v>
      </c>
      <c r="C38" s="95" t="str">
        <f aca="false">IF(03_能力總表_Master!$A38="","",03_能力總表_Master!$E38)</f>
        <v>FHIR介接與API管理</v>
      </c>
      <c r="D38" s="232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232"/>
      <c r="S38" s="232"/>
      <c r="T38" s="232"/>
      <c r="U38" s="232"/>
      <c r="V38" s="232"/>
      <c r="W38" s="232"/>
      <c r="X38" s="232" t="s">
        <v>1305</v>
      </c>
      <c r="Y38" s="232"/>
      <c r="Z38" s="232"/>
      <c r="AA38" s="232"/>
      <c r="AB38" s="232"/>
      <c r="AC38" s="232"/>
      <c r="AD38" s="232"/>
      <c r="AE38" s="232"/>
      <c r="AF38" s="232"/>
      <c r="AG38" s="232"/>
      <c r="AH38" s="232"/>
      <c r="AI38" s="232" t="s">
        <v>1305</v>
      </c>
      <c r="AJ38" s="232" t="s">
        <v>1305</v>
      </c>
      <c r="AK38" s="232"/>
      <c r="AL38" s="232"/>
      <c r="AM38" s="232"/>
      <c r="AN38" s="232"/>
      <c r="AO38" s="232"/>
      <c r="AP38" s="232"/>
      <c r="AQ38" s="232"/>
      <c r="AR38" s="232"/>
      <c r="AS38" s="232"/>
      <c r="AT38" s="232"/>
      <c r="AU38" s="232" t="s">
        <v>1305</v>
      </c>
      <c r="AV38" s="232"/>
      <c r="AW38" s="232"/>
      <c r="AX38" s="232"/>
      <c r="AY38" s="232"/>
      <c r="AZ38" s="232"/>
      <c r="BA38" s="232"/>
      <c r="BB38" s="232"/>
      <c r="BC38" s="232"/>
      <c r="BD38" s="232"/>
      <c r="BE38" s="232"/>
      <c r="BF38" s="232"/>
      <c r="BG38" s="232"/>
      <c r="BH38" s="232"/>
      <c r="BI38" s="232"/>
      <c r="BJ38" s="232"/>
      <c r="BK38" s="232"/>
      <c r="BL38" s="232"/>
      <c r="BM38" s="232"/>
      <c r="BN38" s="232"/>
      <c r="BO38" s="232"/>
      <c r="BP38" s="232"/>
      <c r="BQ38" s="232"/>
      <c r="BR38" s="232"/>
      <c r="BS38" s="232"/>
      <c r="BT38" s="232"/>
      <c r="BU38" s="232"/>
      <c r="BV38" s="232"/>
      <c r="BW38" s="232"/>
      <c r="BX38" s="232"/>
      <c r="BY38" s="232"/>
      <c r="BZ38" s="232"/>
      <c r="CA38" s="232"/>
      <c r="CB38" s="232"/>
      <c r="CC38" s="232"/>
      <c r="CD38" s="232"/>
      <c r="CE38" s="232"/>
      <c r="CF38" s="232"/>
      <c r="CG38" s="232"/>
      <c r="CH38" s="232"/>
      <c r="CI38" s="232"/>
      <c r="CJ38" s="232"/>
      <c r="CK38" s="232"/>
      <c r="CL38" s="232"/>
      <c r="CM38" s="232"/>
      <c r="CN38" s="232"/>
      <c r="CO38" s="232"/>
      <c r="CP38" s="233" t="str">
        <f aca="false">IF(AND(D38="✓",D$4&lt;&gt;""),D$4&amp;"; ","")&amp;IF(AND(E38="✓",E$4&lt;&gt;""),E$4&amp;"; ","")&amp;IF(AND(F38="✓",F$4&lt;&gt;""),F$4&amp;"; ","")&amp;IF(AND(G38="✓",G$4&lt;&gt;""),G$4&amp;"; ","")&amp;IF(AND(H38="✓",H$4&lt;&gt;""),H$4&amp;"; ","")&amp;IF(AND(I38="✓",I$4&lt;&gt;""),I$4&amp;"; ","")&amp;IF(AND(J38="✓",J$4&lt;&gt;""),J$4&amp;"; ","")&amp;IF(AND(K38="✓",K$4&lt;&gt;""),K$4&amp;"; ","")&amp;IF(AND(L38="✓",L$4&lt;&gt;""),L$4&amp;"; ","")&amp;IF(AND(M38="✓",M$4&lt;&gt;""),M$4&amp;"; ","")&amp;IF(AND(N38="✓",N$4&lt;&gt;""),N$4&amp;"; ","")&amp;IF(AND(O38="✓",O$4&lt;&gt;""),O$4&amp;"; ","")&amp;IF(AND(P38="✓",P$4&lt;&gt;""),P$4&amp;"; ","")&amp;IF(AND(Q38="✓",Q$4&lt;&gt;""),Q$4&amp;"; ","")&amp;IF(AND(R38="✓",R$4&lt;&gt;""),R$4&amp;"; ","")&amp;IF(AND(S38="✓",S$4&lt;&gt;""),S$4&amp;"; ","")&amp;IF(AND(T38="✓",T$4&lt;&gt;""),T$4&amp;"; ","")&amp;IF(AND(U38="✓",U$4&lt;&gt;""),U$4&amp;"; ","")&amp;IF(AND(V38="✓",V$4&lt;&gt;""),V$4&amp;"; ","")&amp;IF(AND(W38="✓",W$4&lt;&gt;""),W$4&amp;"; ","")&amp;IF(AND(X38="✓",X$4&lt;&gt;""),X$4&amp;"; ","")&amp;IF(AND(Y38="✓",Y$4&lt;&gt;""),Y$4&amp;"; ","")&amp;IF(AND(Z38="✓",Z$4&lt;&gt;""),Z$4&amp;"; ","")&amp;IF(AND(AA38="✓",AA$4&lt;&gt;""),AA$4&amp;"; ","")&amp;IF(AND(AB38="✓",AB$4&lt;&gt;""),AB$4&amp;"; ","")&amp;IF(AND(AC38="✓",AC$4&lt;&gt;""),AC$4&amp;"; ","")&amp;IF(AND(AD38="✓",AD$4&lt;&gt;""),AD$4&amp;"; ","")&amp;IF(AND(AE38="✓",AE$4&lt;&gt;""),AE$4&amp;"; ","")&amp;IF(AND(AF38="✓",AF$4&lt;&gt;""),AF$4&amp;"; ","")&amp;IF(AND(AG38="✓",AG$4&lt;&gt;""),AG$4&amp;"; ","")&amp;IF(AND(AH38="✓",AH$4&lt;&gt;""),AH$4&amp;"; ","")&amp;IF(AND(AI38="✓",AI$4&lt;&gt;""),AI$4&amp;"; ","")&amp;IF(AND(AJ38="✓",AJ$4&lt;&gt;""),AJ$4&amp;"; ","")&amp;IF(AND(AK38="✓",AK$4&lt;&gt;""),AK$4&amp;"; ","")&amp;IF(AND(AL38="✓",AL$4&lt;&gt;""),AL$4&amp;"; ","")&amp;IF(AND(AM38="✓",AM$4&lt;&gt;""),AM$4&amp;"; ","")&amp;IF(AND(AN38="✓",AN$4&lt;&gt;""),AN$4&amp;"; ","")&amp;IF(AND(AO38="✓",AO$4&lt;&gt;""),AO$4&amp;"; ","")&amp;IF(AND(AP38="✓",AP$4&lt;&gt;""),AP$4&amp;"; ","")&amp;IF(AND(AQ38="✓",AQ$4&lt;&gt;""),AQ$4&amp;"; ","")&amp;IF(AND(AR38="✓",AR$4&lt;&gt;""),AR$4&amp;"; ","")&amp;IF(AND(AS38="✓",AS$4&lt;&gt;""),AS$4&amp;"; ","")&amp;IF(AND(AT38="✓",AT$4&lt;&gt;""),AT$4&amp;"; ","")&amp;IF(AND(AU38="✓",AU$4&lt;&gt;""),AU$4&amp;"; ","")&amp;IF(AND(AV38="✓",AV$4&lt;&gt;""),AV$4&amp;"; ","")&amp;IF(AND(AW38="✓",AW$4&lt;&gt;""),AW$4&amp;"; ","")&amp;IF(AND(AX38="✓",AX$4&lt;&gt;""),AX$4&amp;"; ","")&amp;IF(AND(AY38="✓",AY$4&lt;&gt;""),AY$4&amp;"; ","")&amp;IF(AND(AZ38="✓",AZ$4&lt;&gt;""),AZ$4&amp;"; ","")&amp;IF(AND(BA38="✓",BA$4&lt;&gt;""),BA$4&amp;"; ","")&amp;IF(AND(BB38="✓",BB$4&lt;&gt;""),BB$4&amp;"; ","")&amp;IF(AND(BC38="✓",BC$4&lt;&gt;""),BC$4&amp;"; ","")&amp;IF(AND(BD38="✓",BD$4&lt;&gt;""),BD$4&amp;"; ","")&amp;IF(AND(BE38="✓",BE$4&lt;&gt;""),BE$4&amp;"; ","")&amp;IF(AND(BF38="✓",BF$4&lt;&gt;""),BF$4&amp;"; ","")&amp;IF(AND(BG38="✓",BG$4&lt;&gt;""),BG$4&amp;"; ","")&amp;IF(AND(BH38="✓",BH$4&lt;&gt;""),BH$4&amp;"; ","")&amp;IF(AND(BI38="✓",BI$4&lt;&gt;""),BI$4&amp;"; ","")&amp;IF(AND(BJ38="✓",BJ$4&lt;&gt;""),BJ$4&amp;"; ","")&amp;IF(AND(BK38="✓",BK$4&lt;&gt;""),BK$4&amp;"; ","")&amp;IF(AND(BL38="✓",BL$4&lt;&gt;""),BL$4&amp;"; ","")&amp;IF(AND(BM38="✓",BM$4&lt;&gt;""),BM$4&amp;"; ","")&amp;IF(AND(BN38="✓",BN$4&lt;&gt;""),BN$4&amp;"; ","")&amp;IF(AND(BO38="✓",BO$4&lt;&gt;""),BO$4&amp;"; ","")&amp;IF(AND(BP38="✓",BP$4&lt;&gt;""),BP$4&amp;"; ","")&amp;IF(AND(BQ38="✓",BQ$4&lt;&gt;""),BQ$4&amp;"; ","")&amp;IF(AND(BR38="✓",BR$4&lt;&gt;""),BR$4&amp;"; ","")&amp;IF(AND(BS38="✓",BS$4&lt;&gt;""),BS$4&amp;"; ","")&amp;IF(AND(BT38="✓",BT$4&lt;&gt;""),BT$4&amp;"; ","")&amp;IF(AND(BU38="✓",BU$4&lt;&gt;""),BU$4&amp;"; ","")&amp;IF(AND(BV38="✓",BV$4&lt;&gt;""),BV$4&amp;"; ","")&amp;IF(AND(BW38="✓",BW$4&lt;&gt;""),BW$4&amp;"; ","")&amp;IF(AND(BX38="✓",BX$4&lt;&gt;""),BX$4&amp;"; ","")&amp;IF(AND(BY38="✓",BY$4&lt;&gt;""),BY$4&amp;"; ","")&amp;IF(AND(BZ38="✓",BZ$4&lt;&gt;""),BZ$4&amp;"; ","")&amp;IF(AND(CA38="✓",CA$4&lt;&gt;""),CA$4&amp;"; ","")&amp;IF(AND(CB38="✓",CB$4&lt;&gt;""),CB$4&amp;"; ","")&amp;IF(AND(CC38="✓",CC$4&lt;&gt;""),CC$4&amp;"; ","")&amp;IF(AND(CD38="✓",CD$4&lt;&gt;""),CD$4&amp;"; ","")&amp;IF(AND(CE38="✓",CE$4&lt;&gt;""),CE$4&amp;"; ","")&amp;IF(AND(CF38="✓",CF$4&lt;&gt;""),CF$4&amp;"; ","")&amp;IF(AND(CG38="✓",CG$4&lt;&gt;""),CG$4&amp;"; ","")&amp;IF(AND(CH38="✓",CH$4&lt;&gt;""),CH$4&amp;"; ","")&amp;IF(AND(CI38="✓",CI$4&lt;&gt;""),CI$4&amp;"; ","")&amp;IF(AND(CJ38="✓",CJ$4&lt;&gt;""),CJ$4&amp;"; ","")&amp;IF(AND(CK38="✓",CK$4&lt;&gt;""),CK$4&amp;"; ","")&amp;IF(AND(CL38="✓",CL$4&lt;&gt;""),CL$4&amp;"; ","")&amp;IF(AND(CM38="✓",CM$4&lt;&gt;""),CM$4&amp;"; ","")&amp;IF(AND(CN38="✓",CN$4&lt;&gt;""),CN$4&amp;"; ","")&amp;IF(AND(CO38="✓",CO$4&lt;&gt;""),CO$4&amp;"; ","")</f>
        <v>OPP-21; OPP-32; OPP-33; OPP-44; </v>
      </c>
      <c r="CQ38" s="104" t="str">
        <f aca="false">IF($CP38="","",LEFT($CP38,LEN($CP38)-2))</f>
        <v>OPP-21; OPP-32; OPP-33; OPP-44</v>
      </c>
      <c r="CR38" s="234" t="n">
        <f aca="false">IF($A38="","",COUNTIF($D38:$CO38,"✓"))</f>
        <v>4</v>
      </c>
    </row>
    <row r="39" customFormat="false" ht="21.75" hidden="false" customHeight="true" outlineLevel="0" collapsed="false">
      <c r="A39" s="231" t="str">
        <f aca="false">IF(03_能力總表_Master!$A39="","",03_能力總表_Master!$A39)</f>
        <v>CAP-035</v>
      </c>
      <c r="B39" s="166" t="str">
        <f aca="false">IF(03_能力總表_Master!$A39="","",03_能力總表_Master!$B39)</f>
        <v>D06 醫療資訊與資料</v>
      </c>
      <c r="C39" s="95" t="str">
        <f aca="false">IF(03_能力總表_Master!$A39="","",03_能力總表_Master!$E39)</f>
        <v>主病人索引與身分整合</v>
      </c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2"/>
      <c r="P39" s="232"/>
      <c r="Q39" s="232"/>
      <c r="R39" s="232"/>
      <c r="S39" s="232"/>
      <c r="T39" s="232"/>
      <c r="U39" s="232"/>
      <c r="V39" s="232"/>
      <c r="W39" s="232"/>
      <c r="X39" s="232"/>
      <c r="Y39" s="232"/>
      <c r="Z39" s="232"/>
      <c r="AA39" s="232"/>
      <c r="AB39" s="232"/>
      <c r="AC39" s="232"/>
      <c r="AD39" s="232"/>
      <c r="AE39" s="232"/>
      <c r="AF39" s="232"/>
      <c r="AG39" s="232"/>
      <c r="AH39" s="232"/>
      <c r="AI39" s="232"/>
      <c r="AJ39" s="232"/>
      <c r="AK39" s="232" t="s">
        <v>1305</v>
      </c>
      <c r="AL39" s="232"/>
      <c r="AM39" s="232"/>
      <c r="AN39" s="232"/>
      <c r="AO39" s="232"/>
      <c r="AP39" s="232"/>
      <c r="AQ39" s="232"/>
      <c r="AR39" s="232"/>
      <c r="AS39" s="232"/>
      <c r="AT39" s="232"/>
      <c r="AU39" s="232"/>
      <c r="AV39" s="232"/>
      <c r="AW39" s="232"/>
      <c r="AX39" s="232"/>
      <c r="AY39" s="232"/>
      <c r="AZ39" s="232"/>
      <c r="BA39" s="232"/>
      <c r="BB39" s="232"/>
      <c r="BC39" s="232"/>
      <c r="BD39" s="232"/>
      <c r="BE39" s="232"/>
      <c r="BF39" s="232"/>
      <c r="BG39" s="232"/>
      <c r="BH39" s="232"/>
      <c r="BI39" s="232"/>
      <c r="BJ39" s="232"/>
      <c r="BK39" s="232"/>
      <c r="BL39" s="232"/>
      <c r="BM39" s="232"/>
      <c r="BN39" s="232"/>
      <c r="BO39" s="232"/>
      <c r="BP39" s="232"/>
      <c r="BQ39" s="232"/>
      <c r="BR39" s="232"/>
      <c r="BS39" s="232"/>
      <c r="BT39" s="232"/>
      <c r="BU39" s="232"/>
      <c r="BV39" s="232"/>
      <c r="BW39" s="232"/>
      <c r="BX39" s="232"/>
      <c r="BY39" s="232"/>
      <c r="BZ39" s="232"/>
      <c r="CA39" s="232"/>
      <c r="CB39" s="232"/>
      <c r="CC39" s="232"/>
      <c r="CD39" s="232"/>
      <c r="CE39" s="232"/>
      <c r="CF39" s="232"/>
      <c r="CG39" s="232"/>
      <c r="CH39" s="232"/>
      <c r="CI39" s="232"/>
      <c r="CJ39" s="232"/>
      <c r="CK39" s="232"/>
      <c r="CL39" s="232"/>
      <c r="CM39" s="232"/>
      <c r="CN39" s="232"/>
      <c r="CO39" s="232"/>
      <c r="CP39" s="233" t="str">
        <f aca="false">IF(AND(D39="✓",D$4&lt;&gt;""),D$4&amp;"; ","")&amp;IF(AND(E39="✓",E$4&lt;&gt;""),E$4&amp;"; ","")&amp;IF(AND(F39="✓",F$4&lt;&gt;""),F$4&amp;"; ","")&amp;IF(AND(G39="✓",G$4&lt;&gt;""),G$4&amp;"; ","")&amp;IF(AND(H39="✓",H$4&lt;&gt;""),H$4&amp;"; ","")&amp;IF(AND(I39="✓",I$4&lt;&gt;""),I$4&amp;"; ","")&amp;IF(AND(J39="✓",J$4&lt;&gt;""),J$4&amp;"; ","")&amp;IF(AND(K39="✓",K$4&lt;&gt;""),K$4&amp;"; ","")&amp;IF(AND(L39="✓",L$4&lt;&gt;""),L$4&amp;"; ","")&amp;IF(AND(M39="✓",M$4&lt;&gt;""),M$4&amp;"; ","")&amp;IF(AND(N39="✓",N$4&lt;&gt;""),N$4&amp;"; ","")&amp;IF(AND(O39="✓",O$4&lt;&gt;""),O$4&amp;"; ","")&amp;IF(AND(P39="✓",P$4&lt;&gt;""),P$4&amp;"; ","")&amp;IF(AND(Q39="✓",Q$4&lt;&gt;""),Q$4&amp;"; ","")&amp;IF(AND(R39="✓",R$4&lt;&gt;""),R$4&amp;"; ","")&amp;IF(AND(S39="✓",S$4&lt;&gt;""),S$4&amp;"; ","")&amp;IF(AND(T39="✓",T$4&lt;&gt;""),T$4&amp;"; ","")&amp;IF(AND(U39="✓",U$4&lt;&gt;""),U$4&amp;"; ","")&amp;IF(AND(V39="✓",V$4&lt;&gt;""),V$4&amp;"; ","")&amp;IF(AND(W39="✓",W$4&lt;&gt;""),W$4&amp;"; ","")&amp;IF(AND(X39="✓",X$4&lt;&gt;""),X$4&amp;"; ","")&amp;IF(AND(Y39="✓",Y$4&lt;&gt;""),Y$4&amp;"; ","")&amp;IF(AND(Z39="✓",Z$4&lt;&gt;""),Z$4&amp;"; ","")&amp;IF(AND(AA39="✓",AA$4&lt;&gt;""),AA$4&amp;"; ","")&amp;IF(AND(AB39="✓",AB$4&lt;&gt;""),AB$4&amp;"; ","")&amp;IF(AND(AC39="✓",AC$4&lt;&gt;""),AC$4&amp;"; ","")&amp;IF(AND(AD39="✓",AD$4&lt;&gt;""),AD$4&amp;"; ","")&amp;IF(AND(AE39="✓",AE$4&lt;&gt;""),AE$4&amp;"; ","")&amp;IF(AND(AF39="✓",AF$4&lt;&gt;""),AF$4&amp;"; ","")&amp;IF(AND(AG39="✓",AG$4&lt;&gt;""),AG$4&amp;"; ","")&amp;IF(AND(AH39="✓",AH$4&lt;&gt;""),AH$4&amp;"; ","")&amp;IF(AND(AI39="✓",AI$4&lt;&gt;""),AI$4&amp;"; ","")&amp;IF(AND(AJ39="✓",AJ$4&lt;&gt;""),AJ$4&amp;"; ","")&amp;IF(AND(AK39="✓",AK$4&lt;&gt;""),AK$4&amp;"; ","")&amp;IF(AND(AL39="✓",AL$4&lt;&gt;""),AL$4&amp;"; ","")&amp;IF(AND(AM39="✓",AM$4&lt;&gt;""),AM$4&amp;"; ","")&amp;IF(AND(AN39="✓",AN$4&lt;&gt;""),AN$4&amp;"; ","")&amp;IF(AND(AO39="✓",AO$4&lt;&gt;""),AO$4&amp;"; ","")&amp;IF(AND(AP39="✓",AP$4&lt;&gt;""),AP$4&amp;"; ","")&amp;IF(AND(AQ39="✓",AQ$4&lt;&gt;""),AQ$4&amp;"; ","")&amp;IF(AND(AR39="✓",AR$4&lt;&gt;""),AR$4&amp;"; ","")&amp;IF(AND(AS39="✓",AS$4&lt;&gt;""),AS$4&amp;"; ","")&amp;IF(AND(AT39="✓",AT$4&lt;&gt;""),AT$4&amp;"; ","")&amp;IF(AND(AU39="✓",AU$4&lt;&gt;""),AU$4&amp;"; ","")&amp;IF(AND(AV39="✓",AV$4&lt;&gt;""),AV$4&amp;"; ","")&amp;IF(AND(AW39="✓",AW$4&lt;&gt;""),AW$4&amp;"; ","")&amp;IF(AND(AX39="✓",AX$4&lt;&gt;""),AX$4&amp;"; ","")&amp;IF(AND(AY39="✓",AY$4&lt;&gt;""),AY$4&amp;"; ","")&amp;IF(AND(AZ39="✓",AZ$4&lt;&gt;""),AZ$4&amp;"; ","")&amp;IF(AND(BA39="✓",BA$4&lt;&gt;""),BA$4&amp;"; ","")&amp;IF(AND(BB39="✓",BB$4&lt;&gt;""),BB$4&amp;"; ","")&amp;IF(AND(BC39="✓",BC$4&lt;&gt;""),BC$4&amp;"; ","")&amp;IF(AND(BD39="✓",BD$4&lt;&gt;""),BD$4&amp;"; ","")&amp;IF(AND(BE39="✓",BE$4&lt;&gt;""),BE$4&amp;"; ","")&amp;IF(AND(BF39="✓",BF$4&lt;&gt;""),BF$4&amp;"; ","")&amp;IF(AND(BG39="✓",BG$4&lt;&gt;""),BG$4&amp;"; ","")&amp;IF(AND(BH39="✓",BH$4&lt;&gt;""),BH$4&amp;"; ","")&amp;IF(AND(BI39="✓",BI$4&lt;&gt;""),BI$4&amp;"; ","")&amp;IF(AND(BJ39="✓",BJ$4&lt;&gt;""),BJ$4&amp;"; ","")&amp;IF(AND(BK39="✓",BK$4&lt;&gt;""),BK$4&amp;"; ","")&amp;IF(AND(BL39="✓",BL$4&lt;&gt;""),BL$4&amp;"; ","")&amp;IF(AND(BM39="✓",BM$4&lt;&gt;""),BM$4&amp;"; ","")&amp;IF(AND(BN39="✓",BN$4&lt;&gt;""),BN$4&amp;"; ","")&amp;IF(AND(BO39="✓",BO$4&lt;&gt;""),BO$4&amp;"; ","")&amp;IF(AND(BP39="✓",BP$4&lt;&gt;""),BP$4&amp;"; ","")&amp;IF(AND(BQ39="✓",BQ$4&lt;&gt;""),BQ$4&amp;"; ","")&amp;IF(AND(BR39="✓",BR$4&lt;&gt;""),BR$4&amp;"; ","")&amp;IF(AND(BS39="✓",BS$4&lt;&gt;""),BS$4&amp;"; ","")&amp;IF(AND(BT39="✓",BT$4&lt;&gt;""),BT$4&amp;"; ","")&amp;IF(AND(BU39="✓",BU$4&lt;&gt;""),BU$4&amp;"; ","")&amp;IF(AND(BV39="✓",BV$4&lt;&gt;""),BV$4&amp;"; ","")&amp;IF(AND(BW39="✓",BW$4&lt;&gt;""),BW$4&amp;"; ","")&amp;IF(AND(BX39="✓",BX$4&lt;&gt;""),BX$4&amp;"; ","")&amp;IF(AND(BY39="✓",BY$4&lt;&gt;""),BY$4&amp;"; ","")&amp;IF(AND(BZ39="✓",BZ$4&lt;&gt;""),BZ$4&amp;"; ","")&amp;IF(AND(CA39="✓",CA$4&lt;&gt;""),CA$4&amp;"; ","")&amp;IF(AND(CB39="✓",CB$4&lt;&gt;""),CB$4&amp;"; ","")&amp;IF(AND(CC39="✓",CC$4&lt;&gt;""),CC$4&amp;"; ","")&amp;IF(AND(CD39="✓",CD$4&lt;&gt;""),CD$4&amp;"; ","")&amp;IF(AND(CE39="✓",CE$4&lt;&gt;""),CE$4&amp;"; ","")&amp;IF(AND(CF39="✓",CF$4&lt;&gt;""),CF$4&amp;"; ","")&amp;IF(AND(CG39="✓",CG$4&lt;&gt;""),CG$4&amp;"; ","")&amp;IF(AND(CH39="✓",CH$4&lt;&gt;""),CH$4&amp;"; ","")&amp;IF(AND(CI39="✓",CI$4&lt;&gt;""),CI$4&amp;"; ","")&amp;IF(AND(CJ39="✓",CJ$4&lt;&gt;""),CJ$4&amp;"; ","")&amp;IF(AND(CK39="✓",CK$4&lt;&gt;""),CK$4&amp;"; ","")&amp;IF(AND(CL39="✓",CL$4&lt;&gt;""),CL$4&amp;"; ","")&amp;IF(AND(CM39="✓",CM$4&lt;&gt;""),CM$4&amp;"; ","")&amp;IF(AND(CN39="✓",CN$4&lt;&gt;""),CN$4&amp;"; ","")&amp;IF(AND(CO39="✓",CO$4&lt;&gt;""),CO$4&amp;"; ","")</f>
        <v>OPP-34; </v>
      </c>
      <c r="CQ39" s="104" t="str">
        <f aca="false">IF($CP39="","",LEFT($CP39,LEN($CP39)-2))</f>
        <v>OPP-34</v>
      </c>
      <c r="CR39" s="234" t="n">
        <f aca="false">IF($A39="","",COUNTIF($D39:$CO39,"✓"))</f>
        <v>1</v>
      </c>
    </row>
    <row r="40" customFormat="false" ht="21.75" hidden="false" customHeight="true" outlineLevel="0" collapsed="false">
      <c r="A40" s="231" t="str">
        <f aca="false">IF(03_能力總表_Master!$A40="","",03_能力總表_Master!$A40)</f>
        <v>CAP-036</v>
      </c>
      <c r="B40" s="166" t="str">
        <f aca="false">IF(03_能力總表_Master!$A40="","",03_能力總表_Master!$B40)</f>
        <v>D06 醫療資訊與資料</v>
      </c>
      <c r="C40" s="95" t="str">
        <f aca="false">IF(03_能力總表_Master!$A40="","",03_能力總表_Master!$E40)</f>
        <v>臨床術語與主資料治理</v>
      </c>
      <c r="D40" s="232"/>
      <c r="E40" s="232"/>
      <c r="F40" s="232"/>
      <c r="G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232"/>
      <c r="AC40" s="232"/>
      <c r="AD40" s="232"/>
      <c r="AE40" s="232"/>
      <c r="AF40" s="232"/>
      <c r="AG40" s="232"/>
      <c r="AH40" s="232"/>
      <c r="AI40" s="232"/>
      <c r="AJ40" s="232" t="s">
        <v>1305</v>
      </c>
      <c r="AK40" s="232" t="s">
        <v>1305</v>
      </c>
      <c r="AL40" s="232" t="s">
        <v>1305</v>
      </c>
      <c r="AM40" s="232"/>
      <c r="AN40" s="232"/>
      <c r="AO40" s="232"/>
      <c r="AP40" s="232"/>
      <c r="AQ40" s="232"/>
      <c r="AR40" s="232"/>
      <c r="AS40" s="232"/>
      <c r="AT40" s="232"/>
      <c r="AU40" s="232"/>
      <c r="AV40" s="232"/>
      <c r="AW40" s="232"/>
      <c r="AX40" s="232"/>
      <c r="AY40" s="232"/>
      <c r="AZ40" s="232"/>
      <c r="BA40" s="232"/>
      <c r="BB40" s="232"/>
      <c r="BC40" s="232"/>
      <c r="BD40" s="232"/>
      <c r="BE40" s="232"/>
      <c r="BF40" s="232"/>
      <c r="BG40" s="232"/>
      <c r="BH40" s="232"/>
      <c r="BI40" s="232" t="s">
        <v>1305</v>
      </c>
      <c r="BJ40" s="232"/>
      <c r="BK40" s="232"/>
      <c r="BL40" s="232"/>
      <c r="BM40" s="232"/>
      <c r="BN40" s="232"/>
      <c r="BO40" s="232"/>
      <c r="BP40" s="232"/>
      <c r="BQ40" s="232"/>
      <c r="BR40" s="232"/>
      <c r="BS40" s="232"/>
      <c r="BT40" s="232"/>
      <c r="BU40" s="232"/>
      <c r="BV40" s="232"/>
      <c r="BW40" s="232"/>
      <c r="BX40" s="232"/>
      <c r="BY40" s="232"/>
      <c r="BZ40" s="232"/>
      <c r="CA40" s="232"/>
      <c r="CB40" s="232"/>
      <c r="CC40" s="232"/>
      <c r="CD40" s="232"/>
      <c r="CE40" s="232"/>
      <c r="CF40" s="232"/>
      <c r="CG40" s="232"/>
      <c r="CH40" s="232"/>
      <c r="CI40" s="232"/>
      <c r="CJ40" s="232"/>
      <c r="CK40" s="232"/>
      <c r="CL40" s="232"/>
      <c r="CM40" s="232"/>
      <c r="CN40" s="232"/>
      <c r="CO40" s="232"/>
      <c r="CP40" s="233" t="str">
        <f aca="false">IF(AND(D40="✓",D$4&lt;&gt;""),D$4&amp;"; ","")&amp;IF(AND(E40="✓",E$4&lt;&gt;""),E$4&amp;"; ","")&amp;IF(AND(F40="✓",F$4&lt;&gt;""),F$4&amp;"; ","")&amp;IF(AND(G40="✓",G$4&lt;&gt;""),G$4&amp;"; ","")&amp;IF(AND(H40="✓",H$4&lt;&gt;""),H$4&amp;"; ","")&amp;IF(AND(I40="✓",I$4&lt;&gt;""),I$4&amp;"; ","")&amp;IF(AND(J40="✓",J$4&lt;&gt;""),J$4&amp;"; ","")&amp;IF(AND(K40="✓",K$4&lt;&gt;""),K$4&amp;"; ","")&amp;IF(AND(L40="✓",L$4&lt;&gt;""),L$4&amp;"; ","")&amp;IF(AND(M40="✓",M$4&lt;&gt;""),M$4&amp;"; ","")&amp;IF(AND(N40="✓",N$4&lt;&gt;""),N$4&amp;"; ","")&amp;IF(AND(O40="✓",O$4&lt;&gt;""),O$4&amp;"; ","")&amp;IF(AND(P40="✓",P$4&lt;&gt;""),P$4&amp;"; ","")&amp;IF(AND(Q40="✓",Q$4&lt;&gt;""),Q$4&amp;"; ","")&amp;IF(AND(R40="✓",R$4&lt;&gt;""),R$4&amp;"; ","")&amp;IF(AND(S40="✓",S$4&lt;&gt;""),S$4&amp;"; ","")&amp;IF(AND(T40="✓",T$4&lt;&gt;""),T$4&amp;"; ","")&amp;IF(AND(U40="✓",U$4&lt;&gt;""),U$4&amp;"; ","")&amp;IF(AND(V40="✓",V$4&lt;&gt;""),V$4&amp;"; ","")&amp;IF(AND(W40="✓",W$4&lt;&gt;""),W$4&amp;"; ","")&amp;IF(AND(X40="✓",X$4&lt;&gt;""),X$4&amp;"; ","")&amp;IF(AND(Y40="✓",Y$4&lt;&gt;""),Y$4&amp;"; ","")&amp;IF(AND(Z40="✓",Z$4&lt;&gt;""),Z$4&amp;"; ","")&amp;IF(AND(AA40="✓",AA$4&lt;&gt;""),AA$4&amp;"; ","")&amp;IF(AND(AB40="✓",AB$4&lt;&gt;""),AB$4&amp;"; ","")&amp;IF(AND(AC40="✓",AC$4&lt;&gt;""),AC$4&amp;"; ","")&amp;IF(AND(AD40="✓",AD$4&lt;&gt;""),AD$4&amp;"; ","")&amp;IF(AND(AE40="✓",AE$4&lt;&gt;""),AE$4&amp;"; ","")&amp;IF(AND(AF40="✓",AF$4&lt;&gt;""),AF$4&amp;"; ","")&amp;IF(AND(AG40="✓",AG$4&lt;&gt;""),AG$4&amp;"; ","")&amp;IF(AND(AH40="✓",AH$4&lt;&gt;""),AH$4&amp;"; ","")&amp;IF(AND(AI40="✓",AI$4&lt;&gt;""),AI$4&amp;"; ","")&amp;IF(AND(AJ40="✓",AJ$4&lt;&gt;""),AJ$4&amp;"; ","")&amp;IF(AND(AK40="✓",AK$4&lt;&gt;""),AK$4&amp;"; ","")&amp;IF(AND(AL40="✓",AL$4&lt;&gt;""),AL$4&amp;"; ","")&amp;IF(AND(AM40="✓",AM$4&lt;&gt;""),AM$4&amp;"; ","")&amp;IF(AND(AN40="✓",AN$4&lt;&gt;""),AN$4&amp;"; ","")&amp;IF(AND(AO40="✓",AO$4&lt;&gt;""),AO$4&amp;"; ","")&amp;IF(AND(AP40="✓",AP$4&lt;&gt;""),AP$4&amp;"; ","")&amp;IF(AND(AQ40="✓",AQ$4&lt;&gt;""),AQ$4&amp;"; ","")&amp;IF(AND(AR40="✓",AR$4&lt;&gt;""),AR$4&amp;"; ","")&amp;IF(AND(AS40="✓",AS$4&lt;&gt;""),AS$4&amp;"; ","")&amp;IF(AND(AT40="✓",AT$4&lt;&gt;""),AT$4&amp;"; ","")&amp;IF(AND(AU40="✓",AU$4&lt;&gt;""),AU$4&amp;"; ","")&amp;IF(AND(AV40="✓",AV$4&lt;&gt;""),AV$4&amp;"; ","")&amp;IF(AND(AW40="✓",AW$4&lt;&gt;""),AW$4&amp;"; ","")&amp;IF(AND(AX40="✓",AX$4&lt;&gt;""),AX$4&amp;"; ","")&amp;IF(AND(AY40="✓",AY$4&lt;&gt;""),AY$4&amp;"; ","")&amp;IF(AND(AZ40="✓",AZ$4&lt;&gt;""),AZ$4&amp;"; ","")&amp;IF(AND(BA40="✓",BA$4&lt;&gt;""),BA$4&amp;"; ","")&amp;IF(AND(BB40="✓",BB$4&lt;&gt;""),BB$4&amp;"; ","")&amp;IF(AND(BC40="✓",BC$4&lt;&gt;""),BC$4&amp;"; ","")&amp;IF(AND(BD40="✓",BD$4&lt;&gt;""),BD$4&amp;"; ","")&amp;IF(AND(BE40="✓",BE$4&lt;&gt;""),BE$4&amp;"; ","")&amp;IF(AND(BF40="✓",BF$4&lt;&gt;""),BF$4&amp;"; ","")&amp;IF(AND(BG40="✓",BG$4&lt;&gt;""),BG$4&amp;"; ","")&amp;IF(AND(BH40="✓",BH$4&lt;&gt;""),BH$4&amp;"; ","")&amp;IF(AND(BI40="✓",BI$4&lt;&gt;""),BI$4&amp;"; ","")&amp;IF(AND(BJ40="✓",BJ$4&lt;&gt;""),BJ$4&amp;"; ","")&amp;IF(AND(BK40="✓",BK$4&lt;&gt;""),BK$4&amp;"; ","")&amp;IF(AND(BL40="✓",BL$4&lt;&gt;""),BL$4&amp;"; ","")&amp;IF(AND(BM40="✓",BM$4&lt;&gt;""),BM$4&amp;"; ","")&amp;IF(AND(BN40="✓",BN$4&lt;&gt;""),BN$4&amp;"; ","")&amp;IF(AND(BO40="✓",BO$4&lt;&gt;""),BO$4&amp;"; ","")&amp;IF(AND(BP40="✓",BP$4&lt;&gt;""),BP$4&amp;"; ","")&amp;IF(AND(BQ40="✓",BQ$4&lt;&gt;""),BQ$4&amp;"; ","")&amp;IF(AND(BR40="✓",BR$4&lt;&gt;""),BR$4&amp;"; ","")&amp;IF(AND(BS40="✓",BS$4&lt;&gt;""),BS$4&amp;"; ","")&amp;IF(AND(BT40="✓",BT$4&lt;&gt;""),BT$4&amp;"; ","")&amp;IF(AND(BU40="✓",BU$4&lt;&gt;""),BU$4&amp;"; ","")&amp;IF(AND(BV40="✓",BV$4&lt;&gt;""),BV$4&amp;"; ","")&amp;IF(AND(BW40="✓",BW$4&lt;&gt;""),BW$4&amp;"; ","")&amp;IF(AND(BX40="✓",BX$4&lt;&gt;""),BX$4&amp;"; ","")&amp;IF(AND(BY40="✓",BY$4&lt;&gt;""),BY$4&amp;"; ","")&amp;IF(AND(BZ40="✓",BZ$4&lt;&gt;""),BZ$4&amp;"; ","")&amp;IF(AND(CA40="✓",CA$4&lt;&gt;""),CA$4&amp;"; ","")&amp;IF(AND(CB40="✓",CB$4&lt;&gt;""),CB$4&amp;"; ","")&amp;IF(AND(CC40="✓",CC$4&lt;&gt;""),CC$4&amp;"; ","")&amp;IF(AND(CD40="✓",CD$4&lt;&gt;""),CD$4&amp;"; ","")&amp;IF(AND(CE40="✓",CE$4&lt;&gt;""),CE$4&amp;"; ","")&amp;IF(AND(CF40="✓",CF$4&lt;&gt;""),CF$4&amp;"; ","")&amp;IF(AND(CG40="✓",CG$4&lt;&gt;""),CG$4&amp;"; ","")&amp;IF(AND(CH40="✓",CH$4&lt;&gt;""),CH$4&amp;"; ","")&amp;IF(AND(CI40="✓",CI$4&lt;&gt;""),CI$4&amp;"; ","")&amp;IF(AND(CJ40="✓",CJ$4&lt;&gt;""),CJ$4&amp;"; ","")&amp;IF(AND(CK40="✓",CK$4&lt;&gt;""),CK$4&amp;"; ","")&amp;IF(AND(CL40="✓",CL$4&lt;&gt;""),CL$4&amp;"; ","")&amp;IF(AND(CM40="✓",CM$4&lt;&gt;""),CM$4&amp;"; ","")&amp;IF(AND(CN40="✓",CN$4&lt;&gt;""),CN$4&amp;"; ","")&amp;IF(AND(CO40="✓",CO$4&lt;&gt;""),CO$4&amp;"; ","")</f>
        <v>OPP-33; OPP-34; OPP-35; OPP-58; </v>
      </c>
      <c r="CQ40" s="104" t="str">
        <f aca="false">IF($CP40="","",LEFT($CP40,LEN($CP40)-2))</f>
        <v>OPP-33; OPP-34; OPP-35; OPP-58</v>
      </c>
      <c r="CR40" s="234" t="n">
        <f aca="false">IF($A40="","",COUNTIF($D40:$CO40,"✓"))</f>
        <v>4</v>
      </c>
    </row>
    <row r="41" customFormat="false" ht="21.75" hidden="false" customHeight="true" outlineLevel="0" collapsed="false">
      <c r="A41" s="231" t="str">
        <f aca="false">IF(03_能力總表_Master!$A41="","",03_能力總表_Master!$A41)</f>
        <v>CAP-037</v>
      </c>
      <c r="B41" s="166" t="str">
        <f aca="false">IF(03_能力總表_Master!$A41="","",03_能力總表_Master!$B41)</f>
        <v>D06 醫療資訊與資料</v>
      </c>
      <c r="C41" s="95" t="str">
        <f aca="false">IF(03_能力總表_Master!$A41="","",03_能力總表_Master!$E41)</f>
        <v>電子醫囑、用藥與決策支援</v>
      </c>
      <c r="D41" s="232"/>
      <c r="E41" s="232"/>
      <c r="F41" s="232"/>
      <c r="G41" s="232"/>
      <c r="H41" s="232"/>
      <c r="I41" s="232"/>
      <c r="J41" s="232"/>
      <c r="K41" s="232"/>
      <c r="L41" s="232"/>
      <c r="M41" s="232"/>
      <c r="N41" s="232"/>
      <c r="O41" s="232"/>
      <c r="P41" s="232"/>
      <c r="Q41" s="232"/>
      <c r="R41" s="232"/>
      <c r="S41" s="232"/>
      <c r="T41" s="232"/>
      <c r="U41" s="232"/>
      <c r="V41" s="232"/>
      <c r="W41" s="232"/>
      <c r="X41" s="232"/>
      <c r="Y41" s="232"/>
      <c r="Z41" s="232"/>
      <c r="AA41" s="232"/>
      <c r="AB41" s="232"/>
      <c r="AC41" s="232"/>
      <c r="AD41" s="232"/>
      <c r="AE41" s="232"/>
      <c r="AF41" s="232"/>
      <c r="AG41" s="232"/>
      <c r="AH41" s="232" t="s">
        <v>1305</v>
      </c>
      <c r="AI41" s="232"/>
      <c r="AJ41" s="232"/>
      <c r="AK41" s="232"/>
      <c r="AL41" s="232"/>
      <c r="AM41" s="232"/>
      <c r="AN41" s="232"/>
      <c r="AO41" s="232" t="s">
        <v>1305</v>
      </c>
      <c r="AP41" s="232"/>
      <c r="AQ41" s="232"/>
      <c r="AR41" s="232" t="s">
        <v>1305</v>
      </c>
      <c r="AS41" s="232" t="s">
        <v>1305</v>
      </c>
      <c r="AT41" s="232"/>
      <c r="AU41" s="232"/>
      <c r="AV41" s="232"/>
      <c r="AW41" s="232"/>
      <c r="AX41" s="232"/>
      <c r="AY41" s="232"/>
      <c r="AZ41" s="232"/>
      <c r="BA41" s="232"/>
      <c r="BB41" s="232"/>
      <c r="BC41" s="232"/>
      <c r="BD41" s="232"/>
      <c r="BE41" s="232"/>
      <c r="BF41" s="232"/>
      <c r="BG41" s="232"/>
      <c r="BH41" s="232"/>
      <c r="BI41" s="232"/>
      <c r="BJ41" s="232"/>
      <c r="BK41" s="232"/>
      <c r="BL41" s="232"/>
      <c r="BM41" s="232"/>
      <c r="BN41" s="232"/>
      <c r="BO41" s="232"/>
      <c r="BP41" s="232"/>
      <c r="BQ41" s="232"/>
      <c r="BR41" s="232"/>
      <c r="BS41" s="232"/>
      <c r="BT41" s="232"/>
      <c r="BU41" s="232"/>
      <c r="BV41" s="232"/>
      <c r="BW41" s="232"/>
      <c r="BX41" s="232"/>
      <c r="BY41" s="232"/>
      <c r="BZ41" s="232"/>
      <c r="CA41" s="232"/>
      <c r="CB41" s="232"/>
      <c r="CC41" s="232"/>
      <c r="CD41" s="232"/>
      <c r="CE41" s="232"/>
      <c r="CF41" s="232"/>
      <c r="CG41" s="232"/>
      <c r="CH41" s="232"/>
      <c r="CI41" s="232"/>
      <c r="CJ41" s="232"/>
      <c r="CK41" s="232"/>
      <c r="CL41" s="232"/>
      <c r="CM41" s="232"/>
      <c r="CN41" s="232"/>
      <c r="CO41" s="232"/>
      <c r="CP41" s="233" t="str">
        <f aca="false">IF(AND(D41="✓",D$4&lt;&gt;""),D$4&amp;"; ","")&amp;IF(AND(E41="✓",E$4&lt;&gt;""),E$4&amp;"; ","")&amp;IF(AND(F41="✓",F$4&lt;&gt;""),F$4&amp;"; ","")&amp;IF(AND(G41="✓",G$4&lt;&gt;""),G$4&amp;"; ","")&amp;IF(AND(H41="✓",H$4&lt;&gt;""),H$4&amp;"; ","")&amp;IF(AND(I41="✓",I$4&lt;&gt;""),I$4&amp;"; ","")&amp;IF(AND(J41="✓",J$4&lt;&gt;""),J$4&amp;"; ","")&amp;IF(AND(K41="✓",K$4&lt;&gt;""),K$4&amp;"; ","")&amp;IF(AND(L41="✓",L$4&lt;&gt;""),L$4&amp;"; ","")&amp;IF(AND(M41="✓",M$4&lt;&gt;""),M$4&amp;"; ","")&amp;IF(AND(N41="✓",N$4&lt;&gt;""),N$4&amp;"; ","")&amp;IF(AND(O41="✓",O$4&lt;&gt;""),O$4&amp;"; ","")&amp;IF(AND(P41="✓",P$4&lt;&gt;""),P$4&amp;"; ","")&amp;IF(AND(Q41="✓",Q$4&lt;&gt;""),Q$4&amp;"; ","")&amp;IF(AND(R41="✓",R$4&lt;&gt;""),R$4&amp;"; ","")&amp;IF(AND(S41="✓",S$4&lt;&gt;""),S$4&amp;"; ","")&amp;IF(AND(T41="✓",T$4&lt;&gt;""),T$4&amp;"; ","")&amp;IF(AND(U41="✓",U$4&lt;&gt;""),U$4&amp;"; ","")&amp;IF(AND(V41="✓",V$4&lt;&gt;""),V$4&amp;"; ","")&amp;IF(AND(W41="✓",W$4&lt;&gt;""),W$4&amp;"; ","")&amp;IF(AND(X41="✓",X$4&lt;&gt;""),X$4&amp;"; ","")&amp;IF(AND(Y41="✓",Y$4&lt;&gt;""),Y$4&amp;"; ","")&amp;IF(AND(Z41="✓",Z$4&lt;&gt;""),Z$4&amp;"; ","")&amp;IF(AND(AA41="✓",AA$4&lt;&gt;""),AA$4&amp;"; ","")&amp;IF(AND(AB41="✓",AB$4&lt;&gt;""),AB$4&amp;"; ","")&amp;IF(AND(AC41="✓",AC$4&lt;&gt;""),AC$4&amp;"; ","")&amp;IF(AND(AD41="✓",AD$4&lt;&gt;""),AD$4&amp;"; ","")&amp;IF(AND(AE41="✓",AE$4&lt;&gt;""),AE$4&amp;"; ","")&amp;IF(AND(AF41="✓",AF$4&lt;&gt;""),AF$4&amp;"; ","")&amp;IF(AND(AG41="✓",AG$4&lt;&gt;""),AG$4&amp;"; ","")&amp;IF(AND(AH41="✓",AH$4&lt;&gt;""),AH$4&amp;"; ","")&amp;IF(AND(AI41="✓",AI$4&lt;&gt;""),AI$4&amp;"; ","")&amp;IF(AND(AJ41="✓",AJ$4&lt;&gt;""),AJ$4&amp;"; ","")&amp;IF(AND(AK41="✓",AK$4&lt;&gt;""),AK$4&amp;"; ","")&amp;IF(AND(AL41="✓",AL$4&lt;&gt;""),AL$4&amp;"; ","")&amp;IF(AND(AM41="✓",AM$4&lt;&gt;""),AM$4&amp;"; ","")&amp;IF(AND(AN41="✓",AN$4&lt;&gt;""),AN$4&amp;"; ","")&amp;IF(AND(AO41="✓",AO$4&lt;&gt;""),AO$4&amp;"; ","")&amp;IF(AND(AP41="✓",AP$4&lt;&gt;""),AP$4&amp;"; ","")&amp;IF(AND(AQ41="✓",AQ$4&lt;&gt;""),AQ$4&amp;"; ","")&amp;IF(AND(AR41="✓",AR$4&lt;&gt;""),AR$4&amp;"; ","")&amp;IF(AND(AS41="✓",AS$4&lt;&gt;""),AS$4&amp;"; ","")&amp;IF(AND(AT41="✓",AT$4&lt;&gt;""),AT$4&amp;"; ","")&amp;IF(AND(AU41="✓",AU$4&lt;&gt;""),AU$4&amp;"; ","")&amp;IF(AND(AV41="✓",AV$4&lt;&gt;""),AV$4&amp;"; ","")&amp;IF(AND(AW41="✓",AW$4&lt;&gt;""),AW$4&amp;"; ","")&amp;IF(AND(AX41="✓",AX$4&lt;&gt;""),AX$4&amp;"; ","")&amp;IF(AND(AY41="✓",AY$4&lt;&gt;""),AY$4&amp;"; ","")&amp;IF(AND(AZ41="✓",AZ$4&lt;&gt;""),AZ$4&amp;"; ","")&amp;IF(AND(BA41="✓",BA$4&lt;&gt;""),BA$4&amp;"; ","")&amp;IF(AND(BB41="✓",BB$4&lt;&gt;""),BB$4&amp;"; ","")&amp;IF(AND(BC41="✓",BC$4&lt;&gt;""),BC$4&amp;"; ","")&amp;IF(AND(BD41="✓",BD$4&lt;&gt;""),BD$4&amp;"; ","")&amp;IF(AND(BE41="✓",BE$4&lt;&gt;""),BE$4&amp;"; ","")&amp;IF(AND(BF41="✓",BF$4&lt;&gt;""),BF$4&amp;"; ","")&amp;IF(AND(BG41="✓",BG$4&lt;&gt;""),BG$4&amp;"; ","")&amp;IF(AND(BH41="✓",BH$4&lt;&gt;""),BH$4&amp;"; ","")&amp;IF(AND(BI41="✓",BI$4&lt;&gt;""),BI$4&amp;"; ","")&amp;IF(AND(BJ41="✓",BJ$4&lt;&gt;""),BJ$4&amp;"; ","")&amp;IF(AND(BK41="✓",BK$4&lt;&gt;""),BK$4&amp;"; ","")&amp;IF(AND(BL41="✓",BL$4&lt;&gt;""),BL$4&amp;"; ","")&amp;IF(AND(BM41="✓",BM$4&lt;&gt;""),BM$4&amp;"; ","")&amp;IF(AND(BN41="✓",BN$4&lt;&gt;""),BN$4&amp;"; ","")&amp;IF(AND(BO41="✓",BO$4&lt;&gt;""),BO$4&amp;"; ","")&amp;IF(AND(BP41="✓",BP$4&lt;&gt;""),BP$4&amp;"; ","")&amp;IF(AND(BQ41="✓",BQ$4&lt;&gt;""),BQ$4&amp;"; ","")&amp;IF(AND(BR41="✓",BR$4&lt;&gt;""),BR$4&amp;"; ","")&amp;IF(AND(BS41="✓",BS$4&lt;&gt;""),BS$4&amp;"; ","")&amp;IF(AND(BT41="✓",BT$4&lt;&gt;""),BT$4&amp;"; ","")&amp;IF(AND(BU41="✓",BU$4&lt;&gt;""),BU$4&amp;"; ","")&amp;IF(AND(BV41="✓",BV$4&lt;&gt;""),BV$4&amp;"; ","")&amp;IF(AND(BW41="✓",BW$4&lt;&gt;""),BW$4&amp;"; ","")&amp;IF(AND(BX41="✓",BX$4&lt;&gt;""),BX$4&amp;"; ","")&amp;IF(AND(BY41="✓",BY$4&lt;&gt;""),BY$4&amp;"; ","")&amp;IF(AND(BZ41="✓",BZ$4&lt;&gt;""),BZ$4&amp;"; ","")&amp;IF(AND(CA41="✓",CA$4&lt;&gt;""),CA$4&amp;"; ","")&amp;IF(AND(CB41="✓",CB$4&lt;&gt;""),CB$4&amp;"; ","")&amp;IF(AND(CC41="✓",CC$4&lt;&gt;""),CC$4&amp;"; ","")&amp;IF(AND(CD41="✓",CD$4&lt;&gt;""),CD$4&amp;"; ","")&amp;IF(AND(CE41="✓",CE$4&lt;&gt;""),CE$4&amp;"; ","")&amp;IF(AND(CF41="✓",CF$4&lt;&gt;""),CF$4&amp;"; ","")&amp;IF(AND(CG41="✓",CG$4&lt;&gt;""),CG$4&amp;"; ","")&amp;IF(AND(CH41="✓",CH$4&lt;&gt;""),CH$4&amp;"; ","")&amp;IF(AND(CI41="✓",CI$4&lt;&gt;""),CI$4&amp;"; ","")&amp;IF(AND(CJ41="✓",CJ$4&lt;&gt;""),CJ$4&amp;"; ","")&amp;IF(AND(CK41="✓",CK$4&lt;&gt;""),CK$4&amp;"; ","")&amp;IF(AND(CL41="✓",CL$4&lt;&gt;""),CL$4&amp;"; ","")&amp;IF(AND(CM41="✓",CM$4&lt;&gt;""),CM$4&amp;"; ","")&amp;IF(AND(CN41="✓",CN$4&lt;&gt;""),CN$4&amp;"; ","")&amp;IF(AND(CO41="✓",CO$4&lt;&gt;""),CO$4&amp;"; ","")</f>
        <v>OPP-31; OPP-38; OPP-41; OPP-42; </v>
      </c>
      <c r="CQ41" s="104" t="str">
        <f aca="false">IF($CP41="","",LEFT($CP41,LEN($CP41)-2))</f>
        <v>OPP-31; OPP-38; OPP-41; OPP-42</v>
      </c>
      <c r="CR41" s="234" t="n">
        <f aca="false">IF($A41="","",COUNTIF($D41:$CO41,"✓"))</f>
        <v>4</v>
      </c>
    </row>
    <row r="42" customFormat="false" ht="21.75" hidden="false" customHeight="true" outlineLevel="0" collapsed="false">
      <c r="A42" s="231" t="str">
        <f aca="false">IF(03_能力總表_Master!$A42="","",03_能力總表_Master!$A42)</f>
        <v>CAP-038</v>
      </c>
      <c r="B42" s="166" t="str">
        <f aca="false">IF(03_能力總表_Master!$A42="","",03_能力總表_Master!$B42)</f>
        <v>D06 醫療資訊與資料</v>
      </c>
      <c r="C42" s="95" t="str">
        <f aca="false">IF(03_能力總表_Master!$A42="","",03_能力總表_Master!$E42)</f>
        <v>資料平台、BI與營運指揮</v>
      </c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X42" s="232"/>
      <c r="Y42" s="232"/>
      <c r="Z42" s="232"/>
      <c r="AA42" s="232"/>
      <c r="AB42" s="232"/>
      <c r="AC42" s="232"/>
      <c r="AD42" s="232"/>
      <c r="AE42" s="232"/>
      <c r="AF42" s="232"/>
      <c r="AG42" s="232"/>
      <c r="AH42" s="232"/>
      <c r="AI42" s="232"/>
      <c r="AJ42" s="232"/>
      <c r="AK42" s="232"/>
      <c r="AL42" s="232"/>
      <c r="AM42" s="232" t="s">
        <v>1305</v>
      </c>
      <c r="AN42" s="232" t="s">
        <v>1305</v>
      </c>
      <c r="AO42" s="232"/>
      <c r="AP42" s="232"/>
      <c r="AQ42" s="232"/>
      <c r="AR42" s="232"/>
      <c r="AS42" s="232"/>
      <c r="AT42" s="232"/>
      <c r="AU42" s="232"/>
      <c r="AV42" s="232"/>
      <c r="AW42" s="232"/>
      <c r="AX42" s="232"/>
      <c r="AY42" s="232"/>
      <c r="AZ42" s="232"/>
      <c r="BA42" s="232"/>
      <c r="BB42" s="232"/>
      <c r="BC42" s="232"/>
      <c r="BD42" s="232"/>
      <c r="BE42" s="232"/>
      <c r="BF42" s="232"/>
      <c r="BG42" s="232"/>
      <c r="BH42" s="232"/>
      <c r="BI42" s="232" t="s">
        <v>1305</v>
      </c>
      <c r="BJ42" s="232"/>
      <c r="BK42" s="232"/>
      <c r="BL42" s="232"/>
      <c r="BM42" s="232"/>
      <c r="BN42" s="232"/>
      <c r="BO42" s="232"/>
      <c r="BP42" s="232"/>
      <c r="BQ42" s="232"/>
      <c r="BR42" s="232"/>
      <c r="BS42" s="232"/>
      <c r="BT42" s="232"/>
      <c r="BU42" s="232"/>
      <c r="BV42" s="232"/>
      <c r="BW42" s="232"/>
      <c r="BX42" s="232"/>
      <c r="BY42" s="232"/>
      <c r="BZ42" s="232"/>
      <c r="CA42" s="232"/>
      <c r="CB42" s="232"/>
      <c r="CC42" s="232"/>
      <c r="CD42" s="232"/>
      <c r="CE42" s="232"/>
      <c r="CF42" s="232"/>
      <c r="CG42" s="232"/>
      <c r="CH42" s="232"/>
      <c r="CI42" s="232"/>
      <c r="CJ42" s="232"/>
      <c r="CK42" s="232"/>
      <c r="CL42" s="232"/>
      <c r="CM42" s="232"/>
      <c r="CN42" s="232"/>
      <c r="CO42" s="232"/>
      <c r="CP42" s="233" t="str">
        <f aca="false">IF(AND(D42="✓",D$4&lt;&gt;""),D$4&amp;"; ","")&amp;IF(AND(E42="✓",E$4&lt;&gt;""),E$4&amp;"; ","")&amp;IF(AND(F42="✓",F$4&lt;&gt;""),F$4&amp;"; ","")&amp;IF(AND(G42="✓",G$4&lt;&gt;""),G$4&amp;"; ","")&amp;IF(AND(H42="✓",H$4&lt;&gt;""),H$4&amp;"; ","")&amp;IF(AND(I42="✓",I$4&lt;&gt;""),I$4&amp;"; ","")&amp;IF(AND(J42="✓",J$4&lt;&gt;""),J$4&amp;"; ","")&amp;IF(AND(K42="✓",K$4&lt;&gt;""),K$4&amp;"; ","")&amp;IF(AND(L42="✓",L$4&lt;&gt;""),L$4&amp;"; ","")&amp;IF(AND(M42="✓",M$4&lt;&gt;""),M$4&amp;"; ","")&amp;IF(AND(N42="✓",N$4&lt;&gt;""),N$4&amp;"; ","")&amp;IF(AND(O42="✓",O$4&lt;&gt;""),O$4&amp;"; ","")&amp;IF(AND(P42="✓",P$4&lt;&gt;""),P$4&amp;"; ","")&amp;IF(AND(Q42="✓",Q$4&lt;&gt;""),Q$4&amp;"; ","")&amp;IF(AND(R42="✓",R$4&lt;&gt;""),R$4&amp;"; ","")&amp;IF(AND(S42="✓",S$4&lt;&gt;""),S$4&amp;"; ","")&amp;IF(AND(T42="✓",T$4&lt;&gt;""),T$4&amp;"; ","")&amp;IF(AND(U42="✓",U$4&lt;&gt;""),U$4&amp;"; ","")&amp;IF(AND(V42="✓",V$4&lt;&gt;""),V$4&amp;"; ","")&amp;IF(AND(W42="✓",W$4&lt;&gt;""),W$4&amp;"; ","")&amp;IF(AND(X42="✓",X$4&lt;&gt;""),X$4&amp;"; ","")&amp;IF(AND(Y42="✓",Y$4&lt;&gt;""),Y$4&amp;"; ","")&amp;IF(AND(Z42="✓",Z$4&lt;&gt;""),Z$4&amp;"; ","")&amp;IF(AND(AA42="✓",AA$4&lt;&gt;""),AA$4&amp;"; ","")&amp;IF(AND(AB42="✓",AB$4&lt;&gt;""),AB$4&amp;"; ","")&amp;IF(AND(AC42="✓",AC$4&lt;&gt;""),AC$4&amp;"; ","")&amp;IF(AND(AD42="✓",AD$4&lt;&gt;""),AD$4&amp;"; ","")&amp;IF(AND(AE42="✓",AE$4&lt;&gt;""),AE$4&amp;"; ","")&amp;IF(AND(AF42="✓",AF$4&lt;&gt;""),AF$4&amp;"; ","")&amp;IF(AND(AG42="✓",AG$4&lt;&gt;""),AG$4&amp;"; ","")&amp;IF(AND(AH42="✓",AH$4&lt;&gt;""),AH$4&amp;"; ","")&amp;IF(AND(AI42="✓",AI$4&lt;&gt;""),AI$4&amp;"; ","")&amp;IF(AND(AJ42="✓",AJ$4&lt;&gt;""),AJ$4&amp;"; ","")&amp;IF(AND(AK42="✓",AK$4&lt;&gt;""),AK$4&amp;"; ","")&amp;IF(AND(AL42="✓",AL$4&lt;&gt;""),AL$4&amp;"; ","")&amp;IF(AND(AM42="✓",AM$4&lt;&gt;""),AM$4&amp;"; ","")&amp;IF(AND(AN42="✓",AN$4&lt;&gt;""),AN$4&amp;"; ","")&amp;IF(AND(AO42="✓",AO$4&lt;&gt;""),AO$4&amp;"; ","")&amp;IF(AND(AP42="✓",AP$4&lt;&gt;""),AP$4&amp;"; ","")&amp;IF(AND(AQ42="✓",AQ$4&lt;&gt;""),AQ$4&amp;"; ","")&amp;IF(AND(AR42="✓",AR$4&lt;&gt;""),AR$4&amp;"; ","")&amp;IF(AND(AS42="✓",AS$4&lt;&gt;""),AS$4&amp;"; ","")&amp;IF(AND(AT42="✓",AT$4&lt;&gt;""),AT$4&amp;"; ","")&amp;IF(AND(AU42="✓",AU$4&lt;&gt;""),AU$4&amp;"; ","")&amp;IF(AND(AV42="✓",AV$4&lt;&gt;""),AV$4&amp;"; ","")&amp;IF(AND(AW42="✓",AW$4&lt;&gt;""),AW$4&amp;"; ","")&amp;IF(AND(AX42="✓",AX$4&lt;&gt;""),AX$4&amp;"; ","")&amp;IF(AND(AY42="✓",AY$4&lt;&gt;""),AY$4&amp;"; ","")&amp;IF(AND(AZ42="✓",AZ$4&lt;&gt;""),AZ$4&amp;"; ","")&amp;IF(AND(BA42="✓",BA$4&lt;&gt;""),BA$4&amp;"; ","")&amp;IF(AND(BB42="✓",BB$4&lt;&gt;""),BB$4&amp;"; ","")&amp;IF(AND(BC42="✓",BC$4&lt;&gt;""),BC$4&amp;"; ","")&amp;IF(AND(BD42="✓",BD$4&lt;&gt;""),BD$4&amp;"; ","")&amp;IF(AND(BE42="✓",BE$4&lt;&gt;""),BE$4&amp;"; ","")&amp;IF(AND(BF42="✓",BF$4&lt;&gt;""),BF$4&amp;"; ","")&amp;IF(AND(BG42="✓",BG$4&lt;&gt;""),BG$4&amp;"; ","")&amp;IF(AND(BH42="✓",BH$4&lt;&gt;""),BH$4&amp;"; ","")&amp;IF(AND(BI42="✓",BI$4&lt;&gt;""),BI$4&amp;"; ","")&amp;IF(AND(BJ42="✓",BJ$4&lt;&gt;""),BJ$4&amp;"; ","")&amp;IF(AND(BK42="✓",BK$4&lt;&gt;""),BK$4&amp;"; ","")&amp;IF(AND(BL42="✓",BL$4&lt;&gt;""),BL$4&amp;"; ","")&amp;IF(AND(BM42="✓",BM$4&lt;&gt;""),BM$4&amp;"; ","")&amp;IF(AND(BN42="✓",BN$4&lt;&gt;""),BN$4&amp;"; ","")&amp;IF(AND(BO42="✓",BO$4&lt;&gt;""),BO$4&amp;"; ","")&amp;IF(AND(BP42="✓",BP$4&lt;&gt;""),BP$4&amp;"; ","")&amp;IF(AND(BQ42="✓",BQ$4&lt;&gt;""),BQ$4&amp;"; ","")&amp;IF(AND(BR42="✓",BR$4&lt;&gt;""),BR$4&amp;"; ","")&amp;IF(AND(BS42="✓",BS$4&lt;&gt;""),BS$4&amp;"; ","")&amp;IF(AND(BT42="✓",BT$4&lt;&gt;""),BT$4&amp;"; ","")&amp;IF(AND(BU42="✓",BU$4&lt;&gt;""),BU$4&amp;"; ","")&amp;IF(AND(BV42="✓",BV$4&lt;&gt;""),BV$4&amp;"; ","")&amp;IF(AND(BW42="✓",BW$4&lt;&gt;""),BW$4&amp;"; ","")&amp;IF(AND(BX42="✓",BX$4&lt;&gt;""),BX$4&amp;"; ","")&amp;IF(AND(BY42="✓",BY$4&lt;&gt;""),BY$4&amp;"; ","")&amp;IF(AND(BZ42="✓",BZ$4&lt;&gt;""),BZ$4&amp;"; ","")&amp;IF(AND(CA42="✓",CA$4&lt;&gt;""),CA$4&amp;"; ","")&amp;IF(AND(CB42="✓",CB$4&lt;&gt;""),CB$4&amp;"; ","")&amp;IF(AND(CC42="✓",CC$4&lt;&gt;""),CC$4&amp;"; ","")&amp;IF(AND(CD42="✓",CD$4&lt;&gt;""),CD$4&amp;"; ","")&amp;IF(AND(CE42="✓",CE$4&lt;&gt;""),CE$4&amp;"; ","")&amp;IF(AND(CF42="✓",CF$4&lt;&gt;""),CF$4&amp;"; ","")&amp;IF(AND(CG42="✓",CG$4&lt;&gt;""),CG$4&amp;"; ","")&amp;IF(AND(CH42="✓",CH$4&lt;&gt;""),CH$4&amp;"; ","")&amp;IF(AND(CI42="✓",CI$4&lt;&gt;""),CI$4&amp;"; ","")&amp;IF(AND(CJ42="✓",CJ$4&lt;&gt;""),CJ$4&amp;"; ","")&amp;IF(AND(CK42="✓",CK$4&lt;&gt;""),CK$4&amp;"; ","")&amp;IF(AND(CL42="✓",CL$4&lt;&gt;""),CL$4&amp;"; ","")&amp;IF(AND(CM42="✓",CM$4&lt;&gt;""),CM$4&amp;"; ","")&amp;IF(AND(CN42="✓",CN$4&lt;&gt;""),CN$4&amp;"; ","")&amp;IF(AND(CO42="✓",CO$4&lt;&gt;""),CO$4&amp;"; ","")</f>
        <v>OPP-36; OPP-37; OPP-58; </v>
      </c>
      <c r="CQ42" s="104" t="str">
        <f aca="false">IF($CP42="","",LEFT($CP42,LEN($CP42)-2))</f>
        <v>OPP-36; OPP-37; OPP-58</v>
      </c>
      <c r="CR42" s="234" t="n">
        <f aca="false">IF($A42="","",COUNTIF($D42:$CO42,"✓"))</f>
        <v>3</v>
      </c>
    </row>
    <row r="43" customFormat="false" ht="21.75" hidden="false" customHeight="true" outlineLevel="0" collapsed="false">
      <c r="A43" s="231" t="str">
        <f aca="false">IF(03_能力總表_Master!$A43="","",03_能力總表_Master!$A43)</f>
        <v>CAP-039</v>
      </c>
      <c r="B43" s="166" t="str">
        <f aca="false">IF(03_能力總表_Master!$A43="","",03_能力總表_Master!$B43)</f>
        <v>D06 醫療資訊與資料</v>
      </c>
      <c r="C43" s="95" t="str">
        <f aca="false">IF(03_能力總表_Master!$A43="","",03_能力總表_Master!$E43)</f>
        <v>病人入口、行動服務與VNeID準備</v>
      </c>
      <c r="D43" s="232"/>
      <c r="E43" s="232"/>
      <c r="F43" s="232"/>
      <c r="G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2"/>
      <c r="AA43" s="232"/>
      <c r="AB43" s="232"/>
      <c r="AC43" s="232"/>
      <c r="AD43" s="232"/>
      <c r="AE43" s="232"/>
      <c r="AF43" s="232"/>
      <c r="AG43" s="232"/>
      <c r="AH43" s="232"/>
      <c r="AI43" s="232"/>
      <c r="AJ43" s="232"/>
      <c r="AK43" s="232"/>
      <c r="AL43" s="232"/>
      <c r="AM43" s="232"/>
      <c r="AN43" s="232"/>
      <c r="AO43" s="232"/>
      <c r="AP43" s="232"/>
      <c r="AQ43" s="232"/>
      <c r="AR43" s="232"/>
      <c r="AS43" s="232"/>
      <c r="AT43" s="232"/>
      <c r="AU43" s="232"/>
      <c r="AV43" s="232"/>
      <c r="AW43" s="232"/>
      <c r="AX43" s="232"/>
      <c r="AY43" s="232"/>
      <c r="AZ43" s="232"/>
      <c r="BA43" s="232"/>
      <c r="BB43" s="232"/>
      <c r="BC43" s="232"/>
      <c r="BD43" s="232"/>
      <c r="BE43" s="232"/>
      <c r="BF43" s="232"/>
      <c r="BG43" s="232" t="s">
        <v>1305</v>
      </c>
      <c r="BH43" s="232"/>
      <c r="BI43" s="232"/>
      <c r="BJ43" s="232"/>
      <c r="BK43" s="232"/>
      <c r="BL43" s="232"/>
      <c r="BM43" s="232"/>
      <c r="BN43" s="232"/>
      <c r="BO43" s="232"/>
      <c r="BP43" s="232"/>
      <c r="BQ43" s="232"/>
      <c r="BR43" s="232"/>
      <c r="BS43" s="232"/>
      <c r="BT43" s="232"/>
      <c r="BU43" s="232"/>
      <c r="BV43" s="232"/>
      <c r="BW43" s="232"/>
      <c r="BX43" s="232"/>
      <c r="BY43" s="232"/>
      <c r="BZ43" s="232"/>
      <c r="CA43" s="232"/>
      <c r="CB43" s="232"/>
      <c r="CC43" s="232"/>
      <c r="CD43" s="232"/>
      <c r="CE43" s="232" t="s">
        <v>1305</v>
      </c>
      <c r="CF43" s="232" t="s">
        <v>1305</v>
      </c>
      <c r="CG43" s="232"/>
      <c r="CH43" s="232"/>
      <c r="CI43" s="232"/>
      <c r="CJ43" s="232"/>
      <c r="CK43" s="232"/>
      <c r="CL43" s="232"/>
      <c r="CM43" s="232"/>
      <c r="CN43" s="232"/>
      <c r="CO43" s="232"/>
      <c r="CP43" s="233" t="str">
        <f aca="false">IF(AND(D43="✓",D$4&lt;&gt;""),D$4&amp;"; ","")&amp;IF(AND(E43="✓",E$4&lt;&gt;""),E$4&amp;"; ","")&amp;IF(AND(F43="✓",F$4&lt;&gt;""),F$4&amp;"; ","")&amp;IF(AND(G43="✓",G$4&lt;&gt;""),G$4&amp;"; ","")&amp;IF(AND(H43="✓",H$4&lt;&gt;""),H$4&amp;"; ","")&amp;IF(AND(I43="✓",I$4&lt;&gt;""),I$4&amp;"; ","")&amp;IF(AND(J43="✓",J$4&lt;&gt;""),J$4&amp;"; ","")&amp;IF(AND(K43="✓",K$4&lt;&gt;""),K$4&amp;"; ","")&amp;IF(AND(L43="✓",L$4&lt;&gt;""),L$4&amp;"; ","")&amp;IF(AND(M43="✓",M$4&lt;&gt;""),M$4&amp;"; ","")&amp;IF(AND(N43="✓",N$4&lt;&gt;""),N$4&amp;"; ","")&amp;IF(AND(O43="✓",O$4&lt;&gt;""),O$4&amp;"; ","")&amp;IF(AND(P43="✓",P$4&lt;&gt;""),P$4&amp;"; ","")&amp;IF(AND(Q43="✓",Q$4&lt;&gt;""),Q$4&amp;"; ","")&amp;IF(AND(R43="✓",R$4&lt;&gt;""),R$4&amp;"; ","")&amp;IF(AND(S43="✓",S$4&lt;&gt;""),S$4&amp;"; ","")&amp;IF(AND(T43="✓",T$4&lt;&gt;""),T$4&amp;"; ","")&amp;IF(AND(U43="✓",U$4&lt;&gt;""),U$4&amp;"; ","")&amp;IF(AND(V43="✓",V$4&lt;&gt;""),V$4&amp;"; ","")&amp;IF(AND(W43="✓",W$4&lt;&gt;""),W$4&amp;"; ","")&amp;IF(AND(X43="✓",X$4&lt;&gt;""),X$4&amp;"; ","")&amp;IF(AND(Y43="✓",Y$4&lt;&gt;""),Y$4&amp;"; ","")&amp;IF(AND(Z43="✓",Z$4&lt;&gt;""),Z$4&amp;"; ","")&amp;IF(AND(AA43="✓",AA$4&lt;&gt;""),AA$4&amp;"; ","")&amp;IF(AND(AB43="✓",AB$4&lt;&gt;""),AB$4&amp;"; ","")&amp;IF(AND(AC43="✓",AC$4&lt;&gt;""),AC$4&amp;"; ","")&amp;IF(AND(AD43="✓",AD$4&lt;&gt;""),AD$4&amp;"; ","")&amp;IF(AND(AE43="✓",AE$4&lt;&gt;""),AE$4&amp;"; ","")&amp;IF(AND(AF43="✓",AF$4&lt;&gt;""),AF$4&amp;"; ","")&amp;IF(AND(AG43="✓",AG$4&lt;&gt;""),AG$4&amp;"; ","")&amp;IF(AND(AH43="✓",AH$4&lt;&gt;""),AH$4&amp;"; ","")&amp;IF(AND(AI43="✓",AI$4&lt;&gt;""),AI$4&amp;"; ","")&amp;IF(AND(AJ43="✓",AJ$4&lt;&gt;""),AJ$4&amp;"; ","")&amp;IF(AND(AK43="✓",AK$4&lt;&gt;""),AK$4&amp;"; ","")&amp;IF(AND(AL43="✓",AL$4&lt;&gt;""),AL$4&amp;"; ","")&amp;IF(AND(AM43="✓",AM$4&lt;&gt;""),AM$4&amp;"; ","")&amp;IF(AND(AN43="✓",AN$4&lt;&gt;""),AN$4&amp;"; ","")&amp;IF(AND(AO43="✓",AO$4&lt;&gt;""),AO$4&amp;"; ","")&amp;IF(AND(AP43="✓",AP$4&lt;&gt;""),AP$4&amp;"; ","")&amp;IF(AND(AQ43="✓",AQ$4&lt;&gt;""),AQ$4&amp;"; ","")&amp;IF(AND(AR43="✓",AR$4&lt;&gt;""),AR$4&amp;"; ","")&amp;IF(AND(AS43="✓",AS$4&lt;&gt;""),AS$4&amp;"; ","")&amp;IF(AND(AT43="✓",AT$4&lt;&gt;""),AT$4&amp;"; ","")&amp;IF(AND(AU43="✓",AU$4&lt;&gt;""),AU$4&amp;"; ","")&amp;IF(AND(AV43="✓",AV$4&lt;&gt;""),AV$4&amp;"; ","")&amp;IF(AND(AW43="✓",AW$4&lt;&gt;""),AW$4&amp;"; ","")&amp;IF(AND(AX43="✓",AX$4&lt;&gt;""),AX$4&amp;"; ","")&amp;IF(AND(AY43="✓",AY$4&lt;&gt;""),AY$4&amp;"; ","")&amp;IF(AND(AZ43="✓",AZ$4&lt;&gt;""),AZ$4&amp;"; ","")&amp;IF(AND(BA43="✓",BA$4&lt;&gt;""),BA$4&amp;"; ","")&amp;IF(AND(BB43="✓",BB$4&lt;&gt;""),BB$4&amp;"; ","")&amp;IF(AND(BC43="✓",BC$4&lt;&gt;""),BC$4&amp;"; ","")&amp;IF(AND(BD43="✓",BD$4&lt;&gt;""),BD$4&amp;"; ","")&amp;IF(AND(BE43="✓",BE$4&lt;&gt;""),BE$4&amp;"; ","")&amp;IF(AND(BF43="✓",BF$4&lt;&gt;""),BF$4&amp;"; ","")&amp;IF(AND(BG43="✓",BG$4&lt;&gt;""),BG$4&amp;"; ","")&amp;IF(AND(BH43="✓",BH$4&lt;&gt;""),BH$4&amp;"; ","")&amp;IF(AND(BI43="✓",BI$4&lt;&gt;""),BI$4&amp;"; ","")&amp;IF(AND(BJ43="✓",BJ$4&lt;&gt;""),BJ$4&amp;"; ","")&amp;IF(AND(BK43="✓",BK$4&lt;&gt;""),BK$4&amp;"; ","")&amp;IF(AND(BL43="✓",BL$4&lt;&gt;""),BL$4&amp;"; ","")&amp;IF(AND(BM43="✓",BM$4&lt;&gt;""),BM$4&amp;"; ","")&amp;IF(AND(BN43="✓",BN$4&lt;&gt;""),BN$4&amp;"; ","")&amp;IF(AND(BO43="✓",BO$4&lt;&gt;""),BO$4&amp;"; ","")&amp;IF(AND(BP43="✓",BP$4&lt;&gt;""),BP$4&amp;"; ","")&amp;IF(AND(BQ43="✓",BQ$4&lt;&gt;""),BQ$4&amp;"; ","")&amp;IF(AND(BR43="✓",BR$4&lt;&gt;""),BR$4&amp;"; ","")&amp;IF(AND(BS43="✓",BS$4&lt;&gt;""),BS$4&amp;"; ","")&amp;IF(AND(BT43="✓",BT$4&lt;&gt;""),BT$4&amp;"; ","")&amp;IF(AND(BU43="✓",BU$4&lt;&gt;""),BU$4&amp;"; ","")&amp;IF(AND(BV43="✓",BV$4&lt;&gt;""),BV$4&amp;"; ","")&amp;IF(AND(BW43="✓",BW$4&lt;&gt;""),BW$4&amp;"; ","")&amp;IF(AND(BX43="✓",BX$4&lt;&gt;""),BX$4&amp;"; ","")&amp;IF(AND(BY43="✓",BY$4&lt;&gt;""),BY$4&amp;"; ","")&amp;IF(AND(BZ43="✓",BZ$4&lt;&gt;""),BZ$4&amp;"; ","")&amp;IF(AND(CA43="✓",CA$4&lt;&gt;""),CA$4&amp;"; ","")&amp;IF(AND(CB43="✓",CB$4&lt;&gt;""),CB$4&amp;"; ","")&amp;IF(AND(CC43="✓",CC$4&lt;&gt;""),CC$4&amp;"; ","")&amp;IF(AND(CD43="✓",CD$4&lt;&gt;""),CD$4&amp;"; ","")&amp;IF(AND(CE43="✓",CE$4&lt;&gt;""),CE$4&amp;"; ","")&amp;IF(AND(CF43="✓",CF$4&lt;&gt;""),CF$4&amp;"; ","")&amp;IF(AND(CG43="✓",CG$4&lt;&gt;""),CG$4&amp;"; ","")&amp;IF(AND(CH43="✓",CH$4&lt;&gt;""),CH$4&amp;"; ","")&amp;IF(AND(CI43="✓",CI$4&lt;&gt;""),CI$4&amp;"; ","")&amp;IF(AND(CJ43="✓",CJ$4&lt;&gt;""),CJ$4&amp;"; ","")&amp;IF(AND(CK43="✓",CK$4&lt;&gt;""),CK$4&amp;"; ","")&amp;IF(AND(CL43="✓",CL$4&lt;&gt;""),CL$4&amp;"; ","")&amp;IF(AND(CM43="✓",CM$4&lt;&gt;""),CM$4&amp;"; ","")&amp;IF(AND(CN43="✓",CN$4&lt;&gt;""),CN$4&amp;"; ","")&amp;IF(AND(CO43="✓",CO$4&lt;&gt;""),CO$4&amp;"; ","")</f>
        <v>OPP-56; OPP-80; OPP-81; </v>
      </c>
      <c r="CQ43" s="104" t="str">
        <f aca="false">IF($CP43="","",LEFT($CP43,LEN($CP43)-2))</f>
        <v>OPP-56; OPP-80; OPP-81</v>
      </c>
      <c r="CR43" s="234" t="n">
        <f aca="false">IF($A43="","",COUNTIF($D43:$CO43,"✓"))</f>
        <v>3</v>
      </c>
    </row>
    <row r="44" customFormat="false" ht="21.75" hidden="false" customHeight="true" outlineLevel="0" collapsed="false">
      <c r="A44" s="231" t="str">
        <f aca="false">IF(03_能力總表_Master!$A44="","",03_能力總表_Master!$A44)</f>
        <v>CAP-040</v>
      </c>
      <c r="B44" s="166" t="str">
        <f aca="false">IF(03_能力總表_Master!$A44="","",03_能力總表_Master!$B44)</f>
        <v>D07 品質與病安</v>
      </c>
      <c r="C44" s="95" t="str">
        <f aca="false">IF(03_能力總表_Master!$A44="","",03_能力總表_Master!$E44)</f>
        <v>品質管理與JCI路線圖</v>
      </c>
      <c r="D44" s="232"/>
      <c r="E44" s="232"/>
      <c r="F44" s="232"/>
      <c r="G44" s="232"/>
      <c r="H44" s="232"/>
      <c r="I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  <c r="AA44" s="232"/>
      <c r="AB44" s="23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  <c r="AP44" s="232"/>
      <c r="AQ44" s="232"/>
      <c r="AR44" s="232"/>
      <c r="AS44" s="232"/>
      <c r="AT44" s="232"/>
      <c r="AU44" s="232"/>
      <c r="AV44" s="232"/>
      <c r="AW44" s="232"/>
      <c r="AX44" s="232"/>
      <c r="AY44" s="232"/>
      <c r="AZ44" s="232"/>
      <c r="BA44" s="232"/>
      <c r="BB44" s="232"/>
      <c r="BC44" s="232"/>
      <c r="BD44" s="232"/>
      <c r="BE44" s="232"/>
      <c r="BF44" s="232"/>
      <c r="BG44" s="232"/>
      <c r="BH44" s="232"/>
      <c r="BI44" s="232"/>
      <c r="BJ44" s="232"/>
      <c r="BK44" s="232" t="s">
        <v>1305</v>
      </c>
      <c r="BL44" s="232" t="s">
        <v>1305</v>
      </c>
      <c r="BM44" s="232"/>
      <c r="BN44" s="232"/>
      <c r="BO44" s="232"/>
      <c r="BP44" s="232"/>
      <c r="BQ44" s="232"/>
      <c r="BR44" s="232"/>
      <c r="BS44" s="232"/>
      <c r="BT44" s="232"/>
      <c r="BU44" s="232"/>
      <c r="BV44" s="232"/>
      <c r="BW44" s="232"/>
      <c r="BX44" s="232"/>
      <c r="BY44" s="232"/>
      <c r="BZ44" s="232"/>
      <c r="CA44" s="232"/>
      <c r="CB44" s="232"/>
      <c r="CC44" s="232"/>
      <c r="CD44" s="232"/>
      <c r="CE44" s="232"/>
      <c r="CF44" s="232"/>
      <c r="CG44" s="232"/>
      <c r="CH44" s="232"/>
      <c r="CI44" s="232"/>
      <c r="CJ44" s="232"/>
      <c r="CK44" s="232"/>
      <c r="CL44" s="232"/>
      <c r="CM44" s="232"/>
      <c r="CN44" s="232"/>
      <c r="CO44" s="232"/>
      <c r="CP44" s="233" t="str">
        <f aca="false">IF(AND(D44="✓",D$4&lt;&gt;""),D$4&amp;"; ","")&amp;IF(AND(E44="✓",E$4&lt;&gt;""),E$4&amp;"; ","")&amp;IF(AND(F44="✓",F$4&lt;&gt;""),F$4&amp;"; ","")&amp;IF(AND(G44="✓",G$4&lt;&gt;""),G$4&amp;"; ","")&amp;IF(AND(H44="✓",H$4&lt;&gt;""),H$4&amp;"; ","")&amp;IF(AND(I44="✓",I$4&lt;&gt;""),I$4&amp;"; ","")&amp;IF(AND(J44="✓",J$4&lt;&gt;""),J$4&amp;"; ","")&amp;IF(AND(K44="✓",K$4&lt;&gt;""),K$4&amp;"; ","")&amp;IF(AND(L44="✓",L$4&lt;&gt;""),L$4&amp;"; ","")&amp;IF(AND(M44="✓",M$4&lt;&gt;""),M$4&amp;"; ","")&amp;IF(AND(N44="✓",N$4&lt;&gt;""),N$4&amp;"; ","")&amp;IF(AND(O44="✓",O$4&lt;&gt;""),O$4&amp;"; ","")&amp;IF(AND(P44="✓",P$4&lt;&gt;""),P$4&amp;"; ","")&amp;IF(AND(Q44="✓",Q$4&lt;&gt;""),Q$4&amp;"; ","")&amp;IF(AND(R44="✓",R$4&lt;&gt;""),R$4&amp;"; ","")&amp;IF(AND(S44="✓",S$4&lt;&gt;""),S$4&amp;"; ","")&amp;IF(AND(T44="✓",T$4&lt;&gt;""),T$4&amp;"; ","")&amp;IF(AND(U44="✓",U$4&lt;&gt;""),U$4&amp;"; ","")&amp;IF(AND(V44="✓",V$4&lt;&gt;""),V$4&amp;"; ","")&amp;IF(AND(W44="✓",W$4&lt;&gt;""),W$4&amp;"; ","")&amp;IF(AND(X44="✓",X$4&lt;&gt;""),X$4&amp;"; ","")&amp;IF(AND(Y44="✓",Y$4&lt;&gt;""),Y$4&amp;"; ","")&amp;IF(AND(Z44="✓",Z$4&lt;&gt;""),Z$4&amp;"; ","")&amp;IF(AND(AA44="✓",AA$4&lt;&gt;""),AA$4&amp;"; ","")&amp;IF(AND(AB44="✓",AB$4&lt;&gt;""),AB$4&amp;"; ","")&amp;IF(AND(AC44="✓",AC$4&lt;&gt;""),AC$4&amp;"; ","")&amp;IF(AND(AD44="✓",AD$4&lt;&gt;""),AD$4&amp;"; ","")&amp;IF(AND(AE44="✓",AE$4&lt;&gt;""),AE$4&amp;"; ","")&amp;IF(AND(AF44="✓",AF$4&lt;&gt;""),AF$4&amp;"; ","")&amp;IF(AND(AG44="✓",AG$4&lt;&gt;""),AG$4&amp;"; ","")&amp;IF(AND(AH44="✓",AH$4&lt;&gt;""),AH$4&amp;"; ","")&amp;IF(AND(AI44="✓",AI$4&lt;&gt;""),AI$4&amp;"; ","")&amp;IF(AND(AJ44="✓",AJ$4&lt;&gt;""),AJ$4&amp;"; ","")&amp;IF(AND(AK44="✓",AK$4&lt;&gt;""),AK$4&amp;"; ","")&amp;IF(AND(AL44="✓",AL$4&lt;&gt;""),AL$4&amp;"; ","")&amp;IF(AND(AM44="✓",AM$4&lt;&gt;""),AM$4&amp;"; ","")&amp;IF(AND(AN44="✓",AN$4&lt;&gt;""),AN$4&amp;"; ","")&amp;IF(AND(AO44="✓",AO$4&lt;&gt;""),AO$4&amp;"; ","")&amp;IF(AND(AP44="✓",AP$4&lt;&gt;""),AP$4&amp;"; ","")&amp;IF(AND(AQ44="✓",AQ$4&lt;&gt;""),AQ$4&amp;"; ","")&amp;IF(AND(AR44="✓",AR$4&lt;&gt;""),AR$4&amp;"; ","")&amp;IF(AND(AS44="✓",AS$4&lt;&gt;""),AS$4&amp;"; ","")&amp;IF(AND(AT44="✓",AT$4&lt;&gt;""),AT$4&amp;"; ","")&amp;IF(AND(AU44="✓",AU$4&lt;&gt;""),AU$4&amp;"; ","")&amp;IF(AND(AV44="✓",AV$4&lt;&gt;""),AV$4&amp;"; ","")&amp;IF(AND(AW44="✓",AW$4&lt;&gt;""),AW$4&amp;"; ","")&amp;IF(AND(AX44="✓",AX$4&lt;&gt;""),AX$4&amp;"; ","")&amp;IF(AND(AY44="✓",AY$4&lt;&gt;""),AY$4&amp;"; ","")&amp;IF(AND(AZ44="✓",AZ$4&lt;&gt;""),AZ$4&amp;"; ","")&amp;IF(AND(BA44="✓",BA$4&lt;&gt;""),BA$4&amp;"; ","")&amp;IF(AND(BB44="✓",BB$4&lt;&gt;""),BB$4&amp;"; ","")&amp;IF(AND(BC44="✓",BC$4&lt;&gt;""),BC$4&amp;"; ","")&amp;IF(AND(BD44="✓",BD$4&lt;&gt;""),BD$4&amp;"; ","")&amp;IF(AND(BE44="✓",BE$4&lt;&gt;""),BE$4&amp;"; ","")&amp;IF(AND(BF44="✓",BF$4&lt;&gt;""),BF$4&amp;"; ","")&amp;IF(AND(BG44="✓",BG$4&lt;&gt;""),BG$4&amp;"; ","")&amp;IF(AND(BH44="✓",BH$4&lt;&gt;""),BH$4&amp;"; ","")&amp;IF(AND(BI44="✓",BI$4&lt;&gt;""),BI$4&amp;"; ","")&amp;IF(AND(BJ44="✓",BJ$4&lt;&gt;""),BJ$4&amp;"; ","")&amp;IF(AND(BK44="✓",BK$4&lt;&gt;""),BK$4&amp;"; ","")&amp;IF(AND(BL44="✓",BL$4&lt;&gt;""),BL$4&amp;"; ","")&amp;IF(AND(BM44="✓",BM$4&lt;&gt;""),BM$4&amp;"; ","")&amp;IF(AND(BN44="✓",BN$4&lt;&gt;""),BN$4&amp;"; ","")&amp;IF(AND(BO44="✓",BO$4&lt;&gt;""),BO$4&amp;"; ","")&amp;IF(AND(BP44="✓",BP$4&lt;&gt;""),BP$4&amp;"; ","")&amp;IF(AND(BQ44="✓",BQ$4&lt;&gt;""),BQ$4&amp;"; ","")&amp;IF(AND(BR44="✓",BR$4&lt;&gt;""),BR$4&amp;"; ","")&amp;IF(AND(BS44="✓",BS$4&lt;&gt;""),BS$4&amp;"; ","")&amp;IF(AND(BT44="✓",BT$4&lt;&gt;""),BT$4&amp;"; ","")&amp;IF(AND(BU44="✓",BU$4&lt;&gt;""),BU$4&amp;"; ","")&amp;IF(AND(BV44="✓",BV$4&lt;&gt;""),BV$4&amp;"; ","")&amp;IF(AND(BW44="✓",BW$4&lt;&gt;""),BW$4&amp;"; ","")&amp;IF(AND(BX44="✓",BX$4&lt;&gt;""),BX$4&amp;"; ","")&amp;IF(AND(BY44="✓",BY$4&lt;&gt;""),BY$4&amp;"; ","")&amp;IF(AND(BZ44="✓",BZ$4&lt;&gt;""),BZ$4&amp;"; ","")&amp;IF(AND(CA44="✓",CA$4&lt;&gt;""),CA$4&amp;"; ","")&amp;IF(AND(CB44="✓",CB$4&lt;&gt;""),CB$4&amp;"; ","")&amp;IF(AND(CC44="✓",CC$4&lt;&gt;""),CC$4&amp;"; ","")&amp;IF(AND(CD44="✓",CD$4&lt;&gt;""),CD$4&amp;"; ","")&amp;IF(AND(CE44="✓",CE$4&lt;&gt;""),CE$4&amp;"; ","")&amp;IF(AND(CF44="✓",CF$4&lt;&gt;""),CF$4&amp;"; ","")&amp;IF(AND(CG44="✓",CG$4&lt;&gt;""),CG$4&amp;"; ","")&amp;IF(AND(CH44="✓",CH$4&lt;&gt;""),CH$4&amp;"; ","")&amp;IF(AND(CI44="✓",CI$4&lt;&gt;""),CI$4&amp;"; ","")&amp;IF(AND(CJ44="✓",CJ$4&lt;&gt;""),CJ$4&amp;"; ","")&amp;IF(AND(CK44="✓",CK$4&lt;&gt;""),CK$4&amp;"; ","")&amp;IF(AND(CL44="✓",CL$4&lt;&gt;""),CL$4&amp;"; ","")&amp;IF(AND(CM44="✓",CM$4&lt;&gt;""),CM$4&amp;"; ","")&amp;IF(AND(CN44="✓",CN$4&lt;&gt;""),CN$4&amp;"; ","")&amp;IF(AND(CO44="✓",CO$4&lt;&gt;""),CO$4&amp;"; ","")</f>
        <v>OPP-60; OPP-61; </v>
      </c>
      <c r="CQ44" s="104" t="str">
        <f aca="false">IF($CP44="","",LEFT($CP44,LEN($CP44)-2))</f>
        <v>OPP-60; OPP-61</v>
      </c>
      <c r="CR44" s="234" t="n">
        <f aca="false">IF($A44="","",COUNTIF($D44:$CO44,"✓"))</f>
        <v>2</v>
      </c>
    </row>
    <row r="45" customFormat="false" ht="21.75" hidden="false" customHeight="true" outlineLevel="0" collapsed="false">
      <c r="A45" s="231" t="str">
        <f aca="false">IF(03_能力總表_Master!$A45="","",03_能力總表_Master!$A45)</f>
        <v>CAP-041</v>
      </c>
      <c r="B45" s="166" t="str">
        <f aca="false">IF(03_能力總表_Master!$A45="","",03_能力總表_Master!$B45)</f>
        <v>D07 品質與病安</v>
      </c>
      <c r="C45" s="95" t="str">
        <f aca="false">IF(03_能力總表_Master!$A45="","",03_能力總表_Master!$E45)</f>
        <v>感染預防與控制制度</v>
      </c>
      <c r="D45" s="232"/>
      <c r="E45" s="232"/>
      <c r="F45" s="232"/>
      <c r="G45" s="232"/>
      <c r="H45" s="232"/>
      <c r="I45" s="232"/>
      <c r="J45" s="232"/>
      <c r="K45" s="232"/>
      <c r="L45" s="232"/>
      <c r="M45" s="232"/>
      <c r="N45" s="232"/>
      <c r="O45" s="232"/>
      <c r="P45" s="232"/>
      <c r="Q45" s="232"/>
      <c r="R45" s="232"/>
      <c r="S45" s="232"/>
      <c r="T45" s="232"/>
      <c r="U45" s="232"/>
      <c r="V45" s="232"/>
      <c r="W45" s="232"/>
      <c r="X45" s="232"/>
      <c r="Y45" s="232"/>
      <c r="Z45" s="232"/>
      <c r="AA45" s="232"/>
      <c r="AB45" s="232"/>
      <c r="AC45" s="232"/>
      <c r="AD45" s="232"/>
      <c r="AE45" s="232"/>
      <c r="AF45" s="232"/>
      <c r="AG45" s="232"/>
      <c r="AH45" s="232"/>
      <c r="AI45" s="232"/>
      <c r="AJ45" s="232"/>
      <c r="AK45" s="232"/>
      <c r="AL45" s="232"/>
      <c r="AM45" s="232"/>
      <c r="AN45" s="232"/>
      <c r="AO45" s="232"/>
      <c r="AP45" s="232"/>
      <c r="AQ45" s="232"/>
      <c r="AR45" s="232"/>
      <c r="AS45" s="232"/>
      <c r="AT45" s="232"/>
      <c r="AU45" s="232"/>
      <c r="AV45" s="232"/>
      <c r="AW45" s="232"/>
      <c r="AX45" s="232"/>
      <c r="AY45" s="232"/>
      <c r="AZ45" s="232"/>
      <c r="BA45" s="232"/>
      <c r="BB45" s="232"/>
      <c r="BC45" s="232"/>
      <c r="BD45" s="232"/>
      <c r="BE45" s="232"/>
      <c r="BF45" s="232"/>
      <c r="BG45" s="232"/>
      <c r="BH45" s="232"/>
      <c r="BI45" s="232"/>
      <c r="BJ45" s="232"/>
      <c r="BK45" s="232" t="s">
        <v>1305</v>
      </c>
      <c r="BL45" s="232"/>
      <c r="BM45" s="232"/>
      <c r="BN45" s="232"/>
      <c r="BO45" s="232"/>
      <c r="BP45" s="232"/>
      <c r="BQ45" s="232"/>
      <c r="BR45" s="232"/>
      <c r="BS45" s="232"/>
      <c r="BT45" s="232"/>
      <c r="BU45" s="232"/>
      <c r="BV45" s="232"/>
      <c r="BW45" s="232"/>
      <c r="BX45" s="232"/>
      <c r="BY45" s="232"/>
      <c r="BZ45" s="232"/>
      <c r="CA45" s="232"/>
      <c r="CB45" s="232"/>
      <c r="CC45" s="232"/>
      <c r="CD45" s="232"/>
      <c r="CE45" s="232"/>
      <c r="CF45" s="232"/>
      <c r="CG45" s="232"/>
      <c r="CH45" s="232"/>
      <c r="CI45" s="232"/>
      <c r="CJ45" s="232"/>
      <c r="CK45" s="232"/>
      <c r="CL45" s="232"/>
      <c r="CM45" s="232"/>
      <c r="CN45" s="232"/>
      <c r="CO45" s="232"/>
      <c r="CP45" s="233" t="str">
        <f aca="false">IF(AND(D45="✓",D$4&lt;&gt;""),D$4&amp;"; ","")&amp;IF(AND(E45="✓",E$4&lt;&gt;""),E$4&amp;"; ","")&amp;IF(AND(F45="✓",F$4&lt;&gt;""),F$4&amp;"; ","")&amp;IF(AND(G45="✓",G$4&lt;&gt;""),G$4&amp;"; ","")&amp;IF(AND(H45="✓",H$4&lt;&gt;""),H$4&amp;"; ","")&amp;IF(AND(I45="✓",I$4&lt;&gt;""),I$4&amp;"; ","")&amp;IF(AND(J45="✓",J$4&lt;&gt;""),J$4&amp;"; ","")&amp;IF(AND(K45="✓",K$4&lt;&gt;""),K$4&amp;"; ","")&amp;IF(AND(L45="✓",L$4&lt;&gt;""),L$4&amp;"; ","")&amp;IF(AND(M45="✓",M$4&lt;&gt;""),M$4&amp;"; ","")&amp;IF(AND(N45="✓",N$4&lt;&gt;""),N$4&amp;"; ","")&amp;IF(AND(O45="✓",O$4&lt;&gt;""),O$4&amp;"; ","")&amp;IF(AND(P45="✓",P$4&lt;&gt;""),P$4&amp;"; ","")&amp;IF(AND(Q45="✓",Q$4&lt;&gt;""),Q$4&amp;"; ","")&amp;IF(AND(R45="✓",R$4&lt;&gt;""),R$4&amp;"; ","")&amp;IF(AND(S45="✓",S$4&lt;&gt;""),S$4&amp;"; ","")&amp;IF(AND(T45="✓",T$4&lt;&gt;""),T$4&amp;"; ","")&amp;IF(AND(U45="✓",U$4&lt;&gt;""),U$4&amp;"; ","")&amp;IF(AND(V45="✓",V$4&lt;&gt;""),V$4&amp;"; ","")&amp;IF(AND(W45="✓",W$4&lt;&gt;""),W$4&amp;"; ","")&amp;IF(AND(X45="✓",X$4&lt;&gt;""),X$4&amp;"; ","")&amp;IF(AND(Y45="✓",Y$4&lt;&gt;""),Y$4&amp;"; ","")&amp;IF(AND(Z45="✓",Z$4&lt;&gt;""),Z$4&amp;"; ","")&amp;IF(AND(AA45="✓",AA$4&lt;&gt;""),AA$4&amp;"; ","")&amp;IF(AND(AB45="✓",AB$4&lt;&gt;""),AB$4&amp;"; ","")&amp;IF(AND(AC45="✓",AC$4&lt;&gt;""),AC$4&amp;"; ","")&amp;IF(AND(AD45="✓",AD$4&lt;&gt;""),AD$4&amp;"; ","")&amp;IF(AND(AE45="✓",AE$4&lt;&gt;""),AE$4&amp;"; ","")&amp;IF(AND(AF45="✓",AF$4&lt;&gt;""),AF$4&amp;"; ","")&amp;IF(AND(AG45="✓",AG$4&lt;&gt;""),AG$4&amp;"; ","")&amp;IF(AND(AH45="✓",AH$4&lt;&gt;""),AH$4&amp;"; ","")&amp;IF(AND(AI45="✓",AI$4&lt;&gt;""),AI$4&amp;"; ","")&amp;IF(AND(AJ45="✓",AJ$4&lt;&gt;""),AJ$4&amp;"; ","")&amp;IF(AND(AK45="✓",AK$4&lt;&gt;""),AK$4&amp;"; ","")&amp;IF(AND(AL45="✓",AL$4&lt;&gt;""),AL$4&amp;"; ","")&amp;IF(AND(AM45="✓",AM$4&lt;&gt;""),AM$4&amp;"; ","")&amp;IF(AND(AN45="✓",AN$4&lt;&gt;""),AN$4&amp;"; ","")&amp;IF(AND(AO45="✓",AO$4&lt;&gt;""),AO$4&amp;"; ","")&amp;IF(AND(AP45="✓",AP$4&lt;&gt;""),AP$4&amp;"; ","")&amp;IF(AND(AQ45="✓",AQ$4&lt;&gt;""),AQ$4&amp;"; ","")&amp;IF(AND(AR45="✓",AR$4&lt;&gt;""),AR$4&amp;"; ","")&amp;IF(AND(AS45="✓",AS$4&lt;&gt;""),AS$4&amp;"; ","")&amp;IF(AND(AT45="✓",AT$4&lt;&gt;""),AT$4&amp;"; ","")&amp;IF(AND(AU45="✓",AU$4&lt;&gt;""),AU$4&amp;"; ","")&amp;IF(AND(AV45="✓",AV$4&lt;&gt;""),AV$4&amp;"; ","")&amp;IF(AND(AW45="✓",AW$4&lt;&gt;""),AW$4&amp;"; ","")&amp;IF(AND(AX45="✓",AX$4&lt;&gt;""),AX$4&amp;"; ","")&amp;IF(AND(AY45="✓",AY$4&lt;&gt;""),AY$4&amp;"; ","")&amp;IF(AND(AZ45="✓",AZ$4&lt;&gt;""),AZ$4&amp;"; ","")&amp;IF(AND(BA45="✓",BA$4&lt;&gt;""),BA$4&amp;"; ","")&amp;IF(AND(BB45="✓",BB$4&lt;&gt;""),BB$4&amp;"; ","")&amp;IF(AND(BC45="✓",BC$4&lt;&gt;""),BC$4&amp;"; ","")&amp;IF(AND(BD45="✓",BD$4&lt;&gt;""),BD$4&amp;"; ","")&amp;IF(AND(BE45="✓",BE$4&lt;&gt;""),BE$4&amp;"; ","")&amp;IF(AND(BF45="✓",BF$4&lt;&gt;""),BF$4&amp;"; ","")&amp;IF(AND(BG45="✓",BG$4&lt;&gt;""),BG$4&amp;"; ","")&amp;IF(AND(BH45="✓",BH$4&lt;&gt;""),BH$4&amp;"; ","")&amp;IF(AND(BI45="✓",BI$4&lt;&gt;""),BI$4&amp;"; ","")&amp;IF(AND(BJ45="✓",BJ$4&lt;&gt;""),BJ$4&amp;"; ","")&amp;IF(AND(BK45="✓",BK$4&lt;&gt;""),BK$4&amp;"; ","")&amp;IF(AND(BL45="✓",BL$4&lt;&gt;""),BL$4&amp;"; ","")&amp;IF(AND(BM45="✓",BM$4&lt;&gt;""),BM$4&amp;"; ","")&amp;IF(AND(BN45="✓",BN$4&lt;&gt;""),BN$4&amp;"; ","")&amp;IF(AND(BO45="✓",BO$4&lt;&gt;""),BO$4&amp;"; ","")&amp;IF(AND(BP45="✓",BP$4&lt;&gt;""),BP$4&amp;"; ","")&amp;IF(AND(BQ45="✓",BQ$4&lt;&gt;""),BQ$4&amp;"; ","")&amp;IF(AND(BR45="✓",BR$4&lt;&gt;""),BR$4&amp;"; ","")&amp;IF(AND(BS45="✓",BS$4&lt;&gt;""),BS$4&amp;"; ","")&amp;IF(AND(BT45="✓",BT$4&lt;&gt;""),BT$4&amp;"; ","")&amp;IF(AND(BU45="✓",BU$4&lt;&gt;""),BU$4&amp;"; ","")&amp;IF(AND(BV45="✓",BV$4&lt;&gt;""),BV$4&amp;"; ","")&amp;IF(AND(BW45="✓",BW$4&lt;&gt;""),BW$4&amp;"; ","")&amp;IF(AND(BX45="✓",BX$4&lt;&gt;""),BX$4&amp;"; ","")&amp;IF(AND(BY45="✓",BY$4&lt;&gt;""),BY$4&amp;"; ","")&amp;IF(AND(BZ45="✓",BZ$4&lt;&gt;""),BZ$4&amp;"; ","")&amp;IF(AND(CA45="✓",CA$4&lt;&gt;""),CA$4&amp;"; ","")&amp;IF(AND(CB45="✓",CB$4&lt;&gt;""),CB$4&amp;"; ","")&amp;IF(AND(CC45="✓",CC$4&lt;&gt;""),CC$4&amp;"; ","")&amp;IF(AND(CD45="✓",CD$4&lt;&gt;""),CD$4&amp;"; ","")&amp;IF(AND(CE45="✓",CE$4&lt;&gt;""),CE$4&amp;"; ","")&amp;IF(AND(CF45="✓",CF$4&lt;&gt;""),CF$4&amp;"; ","")&amp;IF(AND(CG45="✓",CG$4&lt;&gt;""),CG$4&amp;"; ","")&amp;IF(AND(CH45="✓",CH$4&lt;&gt;""),CH$4&amp;"; ","")&amp;IF(AND(CI45="✓",CI$4&lt;&gt;""),CI$4&amp;"; ","")&amp;IF(AND(CJ45="✓",CJ$4&lt;&gt;""),CJ$4&amp;"; ","")&amp;IF(AND(CK45="✓",CK$4&lt;&gt;""),CK$4&amp;"; ","")&amp;IF(AND(CL45="✓",CL$4&lt;&gt;""),CL$4&amp;"; ","")&amp;IF(AND(CM45="✓",CM$4&lt;&gt;""),CM$4&amp;"; ","")&amp;IF(AND(CN45="✓",CN$4&lt;&gt;""),CN$4&amp;"; ","")&amp;IF(AND(CO45="✓",CO$4&lt;&gt;""),CO$4&amp;"; ","")</f>
        <v>OPP-60; </v>
      </c>
      <c r="CQ45" s="104" t="str">
        <f aca="false">IF($CP45="","",LEFT($CP45,LEN($CP45)-2))</f>
        <v>OPP-60</v>
      </c>
      <c r="CR45" s="234" t="n">
        <f aca="false">IF($A45="","",COUNTIF($D45:$CO45,"✓"))</f>
        <v>1</v>
      </c>
    </row>
    <row r="46" customFormat="false" ht="21.75" hidden="false" customHeight="true" outlineLevel="0" collapsed="false">
      <c r="A46" s="231" t="str">
        <f aca="false">IF(03_能力總表_Master!$A46="","",03_能力總表_Master!$A46)</f>
        <v>CAP-042</v>
      </c>
      <c r="B46" s="166" t="str">
        <f aca="false">IF(03_能力總表_Master!$A46="","",03_能力總表_Master!$B46)</f>
        <v>D07 品質與病安</v>
      </c>
      <c r="C46" s="95" t="str">
        <f aca="false">IF(03_能力總表_Master!$A46="","",03_能力總表_Master!$E46)</f>
        <v>用藥安全閉環</v>
      </c>
      <c r="D46" s="232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  <c r="AA46" s="232"/>
      <c r="AB46" s="232"/>
      <c r="AC46" s="232"/>
      <c r="AD46" s="232"/>
      <c r="AE46" s="232"/>
      <c r="AF46" s="232"/>
      <c r="AG46" s="232"/>
      <c r="AH46" s="232"/>
      <c r="AI46" s="232"/>
      <c r="AJ46" s="232"/>
      <c r="AK46" s="232"/>
      <c r="AL46" s="232"/>
      <c r="AM46" s="232"/>
      <c r="AN46" s="232"/>
      <c r="AO46" s="232"/>
      <c r="AP46" s="232"/>
      <c r="AQ46" s="232"/>
      <c r="AR46" s="232"/>
      <c r="AS46" s="232" t="s">
        <v>1305</v>
      </c>
      <c r="AT46" s="232"/>
      <c r="AU46" s="232"/>
      <c r="AV46" s="232"/>
      <c r="AW46" s="232"/>
      <c r="AX46" s="232"/>
      <c r="AY46" s="232"/>
      <c r="AZ46" s="232"/>
      <c r="BA46" s="232"/>
      <c r="BB46" s="232"/>
      <c r="BC46" s="232"/>
      <c r="BD46" s="232"/>
      <c r="BE46" s="232"/>
      <c r="BF46" s="232"/>
      <c r="BG46" s="232"/>
      <c r="BH46" s="232"/>
      <c r="BI46" s="232"/>
      <c r="BJ46" s="232"/>
      <c r="BK46" s="232" t="s">
        <v>1305</v>
      </c>
      <c r="BL46" s="232"/>
      <c r="BM46" s="232"/>
      <c r="BN46" s="232"/>
      <c r="BO46" s="232"/>
      <c r="BP46" s="232"/>
      <c r="BQ46" s="232"/>
      <c r="BR46" s="232"/>
      <c r="BS46" s="232"/>
      <c r="BT46" s="232"/>
      <c r="BU46" s="232"/>
      <c r="BV46" s="232"/>
      <c r="BW46" s="232"/>
      <c r="BX46" s="232"/>
      <c r="BY46" s="232"/>
      <c r="BZ46" s="232"/>
      <c r="CA46" s="232"/>
      <c r="CB46" s="232"/>
      <c r="CC46" s="232"/>
      <c r="CD46" s="232"/>
      <c r="CE46" s="232"/>
      <c r="CF46" s="232"/>
      <c r="CG46" s="232"/>
      <c r="CH46" s="232"/>
      <c r="CI46" s="232"/>
      <c r="CJ46" s="232"/>
      <c r="CK46" s="232"/>
      <c r="CL46" s="232"/>
      <c r="CM46" s="232"/>
      <c r="CN46" s="232"/>
      <c r="CO46" s="232"/>
      <c r="CP46" s="233" t="str">
        <f aca="false">IF(AND(D46="✓",D$4&lt;&gt;""),D$4&amp;"; ","")&amp;IF(AND(E46="✓",E$4&lt;&gt;""),E$4&amp;"; ","")&amp;IF(AND(F46="✓",F$4&lt;&gt;""),F$4&amp;"; ","")&amp;IF(AND(G46="✓",G$4&lt;&gt;""),G$4&amp;"; ","")&amp;IF(AND(H46="✓",H$4&lt;&gt;""),H$4&amp;"; ","")&amp;IF(AND(I46="✓",I$4&lt;&gt;""),I$4&amp;"; ","")&amp;IF(AND(J46="✓",J$4&lt;&gt;""),J$4&amp;"; ","")&amp;IF(AND(K46="✓",K$4&lt;&gt;""),K$4&amp;"; ","")&amp;IF(AND(L46="✓",L$4&lt;&gt;""),L$4&amp;"; ","")&amp;IF(AND(M46="✓",M$4&lt;&gt;""),M$4&amp;"; ","")&amp;IF(AND(N46="✓",N$4&lt;&gt;""),N$4&amp;"; ","")&amp;IF(AND(O46="✓",O$4&lt;&gt;""),O$4&amp;"; ","")&amp;IF(AND(P46="✓",P$4&lt;&gt;""),P$4&amp;"; ","")&amp;IF(AND(Q46="✓",Q$4&lt;&gt;""),Q$4&amp;"; ","")&amp;IF(AND(R46="✓",R$4&lt;&gt;""),R$4&amp;"; ","")&amp;IF(AND(S46="✓",S$4&lt;&gt;""),S$4&amp;"; ","")&amp;IF(AND(T46="✓",T$4&lt;&gt;""),T$4&amp;"; ","")&amp;IF(AND(U46="✓",U$4&lt;&gt;""),U$4&amp;"; ","")&amp;IF(AND(V46="✓",V$4&lt;&gt;""),V$4&amp;"; ","")&amp;IF(AND(W46="✓",W$4&lt;&gt;""),W$4&amp;"; ","")&amp;IF(AND(X46="✓",X$4&lt;&gt;""),X$4&amp;"; ","")&amp;IF(AND(Y46="✓",Y$4&lt;&gt;""),Y$4&amp;"; ","")&amp;IF(AND(Z46="✓",Z$4&lt;&gt;""),Z$4&amp;"; ","")&amp;IF(AND(AA46="✓",AA$4&lt;&gt;""),AA$4&amp;"; ","")&amp;IF(AND(AB46="✓",AB$4&lt;&gt;""),AB$4&amp;"; ","")&amp;IF(AND(AC46="✓",AC$4&lt;&gt;""),AC$4&amp;"; ","")&amp;IF(AND(AD46="✓",AD$4&lt;&gt;""),AD$4&amp;"; ","")&amp;IF(AND(AE46="✓",AE$4&lt;&gt;""),AE$4&amp;"; ","")&amp;IF(AND(AF46="✓",AF$4&lt;&gt;""),AF$4&amp;"; ","")&amp;IF(AND(AG46="✓",AG$4&lt;&gt;""),AG$4&amp;"; ","")&amp;IF(AND(AH46="✓",AH$4&lt;&gt;""),AH$4&amp;"; ","")&amp;IF(AND(AI46="✓",AI$4&lt;&gt;""),AI$4&amp;"; ","")&amp;IF(AND(AJ46="✓",AJ$4&lt;&gt;""),AJ$4&amp;"; ","")&amp;IF(AND(AK46="✓",AK$4&lt;&gt;""),AK$4&amp;"; ","")&amp;IF(AND(AL46="✓",AL$4&lt;&gt;""),AL$4&amp;"; ","")&amp;IF(AND(AM46="✓",AM$4&lt;&gt;""),AM$4&amp;"; ","")&amp;IF(AND(AN46="✓",AN$4&lt;&gt;""),AN$4&amp;"; ","")&amp;IF(AND(AO46="✓",AO$4&lt;&gt;""),AO$4&amp;"; ","")&amp;IF(AND(AP46="✓",AP$4&lt;&gt;""),AP$4&amp;"; ","")&amp;IF(AND(AQ46="✓",AQ$4&lt;&gt;""),AQ$4&amp;"; ","")&amp;IF(AND(AR46="✓",AR$4&lt;&gt;""),AR$4&amp;"; ","")&amp;IF(AND(AS46="✓",AS$4&lt;&gt;""),AS$4&amp;"; ","")&amp;IF(AND(AT46="✓",AT$4&lt;&gt;""),AT$4&amp;"; ","")&amp;IF(AND(AU46="✓",AU$4&lt;&gt;""),AU$4&amp;"; ","")&amp;IF(AND(AV46="✓",AV$4&lt;&gt;""),AV$4&amp;"; ","")&amp;IF(AND(AW46="✓",AW$4&lt;&gt;""),AW$4&amp;"; ","")&amp;IF(AND(AX46="✓",AX$4&lt;&gt;""),AX$4&amp;"; ","")&amp;IF(AND(AY46="✓",AY$4&lt;&gt;""),AY$4&amp;"; ","")&amp;IF(AND(AZ46="✓",AZ$4&lt;&gt;""),AZ$4&amp;"; ","")&amp;IF(AND(BA46="✓",BA$4&lt;&gt;""),BA$4&amp;"; ","")&amp;IF(AND(BB46="✓",BB$4&lt;&gt;""),BB$4&amp;"; ","")&amp;IF(AND(BC46="✓",BC$4&lt;&gt;""),BC$4&amp;"; ","")&amp;IF(AND(BD46="✓",BD$4&lt;&gt;""),BD$4&amp;"; ","")&amp;IF(AND(BE46="✓",BE$4&lt;&gt;""),BE$4&amp;"; ","")&amp;IF(AND(BF46="✓",BF$4&lt;&gt;""),BF$4&amp;"; ","")&amp;IF(AND(BG46="✓",BG$4&lt;&gt;""),BG$4&amp;"; ","")&amp;IF(AND(BH46="✓",BH$4&lt;&gt;""),BH$4&amp;"; ","")&amp;IF(AND(BI46="✓",BI$4&lt;&gt;""),BI$4&amp;"; ","")&amp;IF(AND(BJ46="✓",BJ$4&lt;&gt;""),BJ$4&amp;"; ","")&amp;IF(AND(BK46="✓",BK$4&lt;&gt;""),BK$4&amp;"; ","")&amp;IF(AND(BL46="✓",BL$4&lt;&gt;""),BL$4&amp;"; ","")&amp;IF(AND(BM46="✓",BM$4&lt;&gt;""),BM$4&amp;"; ","")&amp;IF(AND(BN46="✓",BN$4&lt;&gt;""),BN$4&amp;"; ","")&amp;IF(AND(BO46="✓",BO$4&lt;&gt;""),BO$4&amp;"; ","")&amp;IF(AND(BP46="✓",BP$4&lt;&gt;""),BP$4&amp;"; ","")&amp;IF(AND(BQ46="✓",BQ$4&lt;&gt;""),BQ$4&amp;"; ","")&amp;IF(AND(BR46="✓",BR$4&lt;&gt;""),BR$4&amp;"; ","")&amp;IF(AND(BS46="✓",BS$4&lt;&gt;""),BS$4&amp;"; ","")&amp;IF(AND(BT46="✓",BT$4&lt;&gt;""),BT$4&amp;"; ","")&amp;IF(AND(BU46="✓",BU$4&lt;&gt;""),BU$4&amp;"; ","")&amp;IF(AND(BV46="✓",BV$4&lt;&gt;""),BV$4&amp;"; ","")&amp;IF(AND(BW46="✓",BW$4&lt;&gt;""),BW$4&amp;"; ","")&amp;IF(AND(BX46="✓",BX$4&lt;&gt;""),BX$4&amp;"; ","")&amp;IF(AND(BY46="✓",BY$4&lt;&gt;""),BY$4&amp;"; ","")&amp;IF(AND(BZ46="✓",BZ$4&lt;&gt;""),BZ$4&amp;"; ","")&amp;IF(AND(CA46="✓",CA$4&lt;&gt;""),CA$4&amp;"; ","")&amp;IF(AND(CB46="✓",CB$4&lt;&gt;""),CB$4&amp;"; ","")&amp;IF(AND(CC46="✓",CC$4&lt;&gt;""),CC$4&amp;"; ","")&amp;IF(AND(CD46="✓",CD$4&lt;&gt;""),CD$4&amp;"; ","")&amp;IF(AND(CE46="✓",CE$4&lt;&gt;""),CE$4&amp;"; ","")&amp;IF(AND(CF46="✓",CF$4&lt;&gt;""),CF$4&amp;"; ","")&amp;IF(AND(CG46="✓",CG$4&lt;&gt;""),CG$4&amp;"; ","")&amp;IF(AND(CH46="✓",CH$4&lt;&gt;""),CH$4&amp;"; ","")&amp;IF(AND(CI46="✓",CI$4&lt;&gt;""),CI$4&amp;"; ","")&amp;IF(AND(CJ46="✓",CJ$4&lt;&gt;""),CJ$4&amp;"; ","")&amp;IF(AND(CK46="✓",CK$4&lt;&gt;""),CK$4&amp;"; ","")&amp;IF(AND(CL46="✓",CL$4&lt;&gt;""),CL$4&amp;"; ","")&amp;IF(AND(CM46="✓",CM$4&lt;&gt;""),CM$4&amp;"; ","")&amp;IF(AND(CN46="✓",CN$4&lt;&gt;""),CN$4&amp;"; ","")&amp;IF(AND(CO46="✓",CO$4&lt;&gt;""),CO$4&amp;"; ","")</f>
        <v>OPP-42; OPP-60; </v>
      </c>
      <c r="CQ46" s="104" t="str">
        <f aca="false">IF($CP46="","",LEFT($CP46,LEN($CP46)-2))</f>
        <v>OPP-42; OPP-60</v>
      </c>
      <c r="CR46" s="234" t="n">
        <f aca="false">IF($A46="","",COUNTIF($D46:$CO46,"✓"))</f>
        <v>2</v>
      </c>
    </row>
    <row r="47" customFormat="false" ht="21.75" hidden="false" customHeight="true" outlineLevel="0" collapsed="false">
      <c r="A47" s="231" t="str">
        <f aca="false">IF(03_能力總表_Master!$A47="","",03_能力總表_Master!$A47)</f>
        <v>CAP-043</v>
      </c>
      <c r="B47" s="166" t="str">
        <f aca="false">IF(03_能力總表_Master!$A47="","",03_能力總表_Master!$B47)</f>
        <v>D07 品質與病安</v>
      </c>
      <c r="C47" s="95" t="str">
        <f aca="false">IF(03_能力總表_Master!$A47="","",03_能力總表_Master!$E47)</f>
        <v>事件通報與根因改善</v>
      </c>
      <c r="D47" s="232"/>
      <c r="E47" s="232"/>
      <c r="F47" s="232"/>
      <c r="G47" s="232"/>
      <c r="H47" s="232"/>
      <c r="I47" s="232"/>
      <c r="J47" s="232"/>
      <c r="K47" s="232"/>
      <c r="L47" s="232"/>
      <c r="M47" s="232"/>
      <c r="N47" s="232"/>
      <c r="O47" s="232"/>
      <c r="P47" s="232"/>
      <c r="Q47" s="232"/>
      <c r="R47" s="232"/>
      <c r="S47" s="232"/>
      <c r="T47" s="232"/>
      <c r="U47" s="232"/>
      <c r="V47" s="232"/>
      <c r="W47" s="232"/>
      <c r="X47" s="232"/>
      <c r="Y47" s="232"/>
      <c r="Z47" s="232"/>
      <c r="AA47" s="232"/>
      <c r="AB47" s="232"/>
      <c r="AC47" s="232"/>
      <c r="AD47" s="232"/>
      <c r="AE47" s="232"/>
      <c r="AF47" s="232"/>
      <c r="AG47" s="232"/>
      <c r="AH47" s="232"/>
      <c r="AI47" s="232"/>
      <c r="AJ47" s="232"/>
      <c r="AK47" s="232"/>
      <c r="AL47" s="232"/>
      <c r="AM47" s="232"/>
      <c r="AN47" s="232"/>
      <c r="AO47" s="232"/>
      <c r="AP47" s="232"/>
      <c r="AQ47" s="232"/>
      <c r="AR47" s="232"/>
      <c r="AS47" s="232"/>
      <c r="AT47" s="232"/>
      <c r="AU47" s="232"/>
      <c r="AV47" s="232"/>
      <c r="AW47" s="232"/>
      <c r="AX47" s="232"/>
      <c r="AY47" s="232"/>
      <c r="AZ47" s="232"/>
      <c r="BA47" s="232"/>
      <c r="BB47" s="232"/>
      <c r="BC47" s="232"/>
      <c r="BD47" s="232"/>
      <c r="BE47" s="232"/>
      <c r="BF47" s="232"/>
      <c r="BG47" s="232"/>
      <c r="BH47" s="232"/>
      <c r="BI47" s="232"/>
      <c r="BJ47" s="232"/>
      <c r="BK47" s="232" t="s">
        <v>1305</v>
      </c>
      <c r="BL47" s="232"/>
      <c r="BM47" s="232"/>
      <c r="BN47" s="232"/>
      <c r="BO47" s="232"/>
      <c r="BP47" s="232"/>
      <c r="BQ47" s="232"/>
      <c r="BR47" s="232"/>
      <c r="BS47" s="232"/>
      <c r="BT47" s="232"/>
      <c r="BU47" s="232"/>
      <c r="BV47" s="232"/>
      <c r="BW47" s="232"/>
      <c r="BX47" s="232"/>
      <c r="BY47" s="232"/>
      <c r="BZ47" s="232"/>
      <c r="CA47" s="232"/>
      <c r="CB47" s="232"/>
      <c r="CC47" s="232"/>
      <c r="CD47" s="232"/>
      <c r="CE47" s="232"/>
      <c r="CF47" s="232"/>
      <c r="CG47" s="232"/>
      <c r="CH47" s="232"/>
      <c r="CI47" s="232"/>
      <c r="CJ47" s="232"/>
      <c r="CK47" s="232"/>
      <c r="CL47" s="232"/>
      <c r="CM47" s="232"/>
      <c r="CN47" s="232"/>
      <c r="CO47" s="232"/>
      <c r="CP47" s="233" t="str">
        <f aca="false">IF(AND(D47="✓",D$4&lt;&gt;""),D$4&amp;"; ","")&amp;IF(AND(E47="✓",E$4&lt;&gt;""),E$4&amp;"; ","")&amp;IF(AND(F47="✓",F$4&lt;&gt;""),F$4&amp;"; ","")&amp;IF(AND(G47="✓",G$4&lt;&gt;""),G$4&amp;"; ","")&amp;IF(AND(H47="✓",H$4&lt;&gt;""),H$4&amp;"; ","")&amp;IF(AND(I47="✓",I$4&lt;&gt;""),I$4&amp;"; ","")&amp;IF(AND(J47="✓",J$4&lt;&gt;""),J$4&amp;"; ","")&amp;IF(AND(K47="✓",K$4&lt;&gt;""),K$4&amp;"; ","")&amp;IF(AND(L47="✓",L$4&lt;&gt;""),L$4&amp;"; ","")&amp;IF(AND(M47="✓",M$4&lt;&gt;""),M$4&amp;"; ","")&amp;IF(AND(N47="✓",N$4&lt;&gt;""),N$4&amp;"; ","")&amp;IF(AND(O47="✓",O$4&lt;&gt;""),O$4&amp;"; ","")&amp;IF(AND(P47="✓",P$4&lt;&gt;""),P$4&amp;"; ","")&amp;IF(AND(Q47="✓",Q$4&lt;&gt;""),Q$4&amp;"; ","")&amp;IF(AND(R47="✓",R$4&lt;&gt;""),R$4&amp;"; ","")&amp;IF(AND(S47="✓",S$4&lt;&gt;""),S$4&amp;"; ","")&amp;IF(AND(T47="✓",T$4&lt;&gt;""),T$4&amp;"; ","")&amp;IF(AND(U47="✓",U$4&lt;&gt;""),U$4&amp;"; ","")&amp;IF(AND(V47="✓",V$4&lt;&gt;""),V$4&amp;"; ","")&amp;IF(AND(W47="✓",W$4&lt;&gt;""),W$4&amp;"; ","")&amp;IF(AND(X47="✓",X$4&lt;&gt;""),X$4&amp;"; ","")&amp;IF(AND(Y47="✓",Y$4&lt;&gt;""),Y$4&amp;"; ","")&amp;IF(AND(Z47="✓",Z$4&lt;&gt;""),Z$4&amp;"; ","")&amp;IF(AND(AA47="✓",AA$4&lt;&gt;""),AA$4&amp;"; ","")&amp;IF(AND(AB47="✓",AB$4&lt;&gt;""),AB$4&amp;"; ","")&amp;IF(AND(AC47="✓",AC$4&lt;&gt;""),AC$4&amp;"; ","")&amp;IF(AND(AD47="✓",AD$4&lt;&gt;""),AD$4&amp;"; ","")&amp;IF(AND(AE47="✓",AE$4&lt;&gt;""),AE$4&amp;"; ","")&amp;IF(AND(AF47="✓",AF$4&lt;&gt;""),AF$4&amp;"; ","")&amp;IF(AND(AG47="✓",AG$4&lt;&gt;""),AG$4&amp;"; ","")&amp;IF(AND(AH47="✓",AH$4&lt;&gt;""),AH$4&amp;"; ","")&amp;IF(AND(AI47="✓",AI$4&lt;&gt;""),AI$4&amp;"; ","")&amp;IF(AND(AJ47="✓",AJ$4&lt;&gt;""),AJ$4&amp;"; ","")&amp;IF(AND(AK47="✓",AK$4&lt;&gt;""),AK$4&amp;"; ","")&amp;IF(AND(AL47="✓",AL$4&lt;&gt;""),AL$4&amp;"; ","")&amp;IF(AND(AM47="✓",AM$4&lt;&gt;""),AM$4&amp;"; ","")&amp;IF(AND(AN47="✓",AN$4&lt;&gt;""),AN$4&amp;"; ","")&amp;IF(AND(AO47="✓",AO$4&lt;&gt;""),AO$4&amp;"; ","")&amp;IF(AND(AP47="✓",AP$4&lt;&gt;""),AP$4&amp;"; ","")&amp;IF(AND(AQ47="✓",AQ$4&lt;&gt;""),AQ$4&amp;"; ","")&amp;IF(AND(AR47="✓",AR$4&lt;&gt;""),AR$4&amp;"; ","")&amp;IF(AND(AS47="✓",AS$4&lt;&gt;""),AS$4&amp;"; ","")&amp;IF(AND(AT47="✓",AT$4&lt;&gt;""),AT$4&amp;"; ","")&amp;IF(AND(AU47="✓",AU$4&lt;&gt;""),AU$4&amp;"; ","")&amp;IF(AND(AV47="✓",AV$4&lt;&gt;""),AV$4&amp;"; ","")&amp;IF(AND(AW47="✓",AW$4&lt;&gt;""),AW$4&amp;"; ","")&amp;IF(AND(AX47="✓",AX$4&lt;&gt;""),AX$4&amp;"; ","")&amp;IF(AND(AY47="✓",AY$4&lt;&gt;""),AY$4&amp;"; ","")&amp;IF(AND(AZ47="✓",AZ$4&lt;&gt;""),AZ$4&amp;"; ","")&amp;IF(AND(BA47="✓",BA$4&lt;&gt;""),BA$4&amp;"; ","")&amp;IF(AND(BB47="✓",BB$4&lt;&gt;""),BB$4&amp;"; ","")&amp;IF(AND(BC47="✓",BC$4&lt;&gt;""),BC$4&amp;"; ","")&amp;IF(AND(BD47="✓",BD$4&lt;&gt;""),BD$4&amp;"; ","")&amp;IF(AND(BE47="✓",BE$4&lt;&gt;""),BE$4&amp;"; ","")&amp;IF(AND(BF47="✓",BF$4&lt;&gt;""),BF$4&amp;"; ","")&amp;IF(AND(BG47="✓",BG$4&lt;&gt;""),BG$4&amp;"; ","")&amp;IF(AND(BH47="✓",BH$4&lt;&gt;""),BH$4&amp;"; ","")&amp;IF(AND(BI47="✓",BI$4&lt;&gt;""),BI$4&amp;"; ","")&amp;IF(AND(BJ47="✓",BJ$4&lt;&gt;""),BJ$4&amp;"; ","")&amp;IF(AND(BK47="✓",BK$4&lt;&gt;""),BK$4&amp;"; ","")&amp;IF(AND(BL47="✓",BL$4&lt;&gt;""),BL$4&amp;"; ","")&amp;IF(AND(BM47="✓",BM$4&lt;&gt;""),BM$4&amp;"; ","")&amp;IF(AND(BN47="✓",BN$4&lt;&gt;""),BN$4&amp;"; ","")&amp;IF(AND(BO47="✓",BO$4&lt;&gt;""),BO$4&amp;"; ","")&amp;IF(AND(BP47="✓",BP$4&lt;&gt;""),BP$4&amp;"; ","")&amp;IF(AND(BQ47="✓",BQ$4&lt;&gt;""),BQ$4&amp;"; ","")&amp;IF(AND(BR47="✓",BR$4&lt;&gt;""),BR$4&amp;"; ","")&amp;IF(AND(BS47="✓",BS$4&lt;&gt;""),BS$4&amp;"; ","")&amp;IF(AND(BT47="✓",BT$4&lt;&gt;""),BT$4&amp;"; ","")&amp;IF(AND(BU47="✓",BU$4&lt;&gt;""),BU$4&amp;"; ","")&amp;IF(AND(BV47="✓",BV$4&lt;&gt;""),BV$4&amp;"; ","")&amp;IF(AND(BW47="✓",BW$4&lt;&gt;""),BW$4&amp;"; ","")&amp;IF(AND(BX47="✓",BX$4&lt;&gt;""),BX$4&amp;"; ","")&amp;IF(AND(BY47="✓",BY$4&lt;&gt;""),BY$4&amp;"; ","")&amp;IF(AND(BZ47="✓",BZ$4&lt;&gt;""),BZ$4&amp;"; ","")&amp;IF(AND(CA47="✓",CA$4&lt;&gt;""),CA$4&amp;"; ","")&amp;IF(AND(CB47="✓",CB$4&lt;&gt;""),CB$4&amp;"; ","")&amp;IF(AND(CC47="✓",CC$4&lt;&gt;""),CC$4&amp;"; ","")&amp;IF(AND(CD47="✓",CD$4&lt;&gt;""),CD$4&amp;"; ","")&amp;IF(AND(CE47="✓",CE$4&lt;&gt;""),CE$4&amp;"; ","")&amp;IF(AND(CF47="✓",CF$4&lt;&gt;""),CF$4&amp;"; ","")&amp;IF(AND(CG47="✓",CG$4&lt;&gt;""),CG$4&amp;"; ","")&amp;IF(AND(CH47="✓",CH$4&lt;&gt;""),CH$4&amp;"; ","")&amp;IF(AND(CI47="✓",CI$4&lt;&gt;""),CI$4&amp;"; ","")&amp;IF(AND(CJ47="✓",CJ$4&lt;&gt;""),CJ$4&amp;"; ","")&amp;IF(AND(CK47="✓",CK$4&lt;&gt;""),CK$4&amp;"; ","")&amp;IF(AND(CL47="✓",CL$4&lt;&gt;""),CL$4&amp;"; ","")&amp;IF(AND(CM47="✓",CM$4&lt;&gt;""),CM$4&amp;"; ","")&amp;IF(AND(CN47="✓",CN$4&lt;&gt;""),CN$4&amp;"; ","")&amp;IF(AND(CO47="✓",CO$4&lt;&gt;""),CO$4&amp;"; ","")</f>
        <v>OPP-60; </v>
      </c>
      <c r="CQ47" s="104" t="str">
        <f aca="false">IF($CP47="","",LEFT($CP47,LEN($CP47)-2))</f>
        <v>OPP-60</v>
      </c>
      <c r="CR47" s="234" t="n">
        <f aca="false">IF($A47="","",COUNTIF($D47:$CO47,"✓"))</f>
        <v>1</v>
      </c>
    </row>
    <row r="48" customFormat="false" ht="21.75" hidden="false" customHeight="true" outlineLevel="0" collapsed="false">
      <c r="A48" s="231" t="str">
        <f aca="false">IF(03_能力總表_Master!$A48="","",03_能力總表_Master!$A48)</f>
        <v>CAP-044</v>
      </c>
      <c r="B48" s="166" t="str">
        <f aca="false">IF(03_能力總表_Master!$A48="","",03_能力總表_Master!$B48)</f>
        <v>D07 品質與病安</v>
      </c>
      <c r="C48" s="95" t="str">
        <f aca="false">IF(03_能力總表_Master!$A48="","",03_能力總表_Master!$E48)</f>
        <v>開院臨床安全驗證</v>
      </c>
      <c r="D48" s="232"/>
      <c r="E48" s="232"/>
      <c r="F48" s="232"/>
      <c r="G48" s="232"/>
      <c r="H48" s="232"/>
      <c r="I48" s="232"/>
      <c r="J48" s="232"/>
      <c r="K48" s="232"/>
      <c r="L48" s="232"/>
      <c r="M48" s="232"/>
      <c r="N48" s="232"/>
      <c r="O48" s="232"/>
      <c r="P48" s="232"/>
      <c r="Q48" s="232"/>
      <c r="R48" s="232"/>
      <c r="S48" s="232"/>
      <c r="T48" s="232"/>
      <c r="U48" s="232"/>
      <c r="V48" s="232"/>
      <c r="W48" s="232"/>
      <c r="X48" s="232"/>
      <c r="Y48" s="232"/>
      <c r="Z48" s="232"/>
      <c r="AA48" s="232"/>
      <c r="AB48" s="232"/>
      <c r="AC48" s="232"/>
      <c r="AD48" s="232"/>
      <c r="AE48" s="232"/>
      <c r="AF48" s="232"/>
      <c r="AG48" s="232"/>
      <c r="AH48" s="232"/>
      <c r="AI48" s="232"/>
      <c r="AJ48" s="232"/>
      <c r="AK48" s="232"/>
      <c r="AL48" s="232"/>
      <c r="AM48" s="232"/>
      <c r="AN48" s="232"/>
      <c r="AO48" s="232"/>
      <c r="AP48" s="232"/>
      <c r="AQ48" s="232"/>
      <c r="AR48" s="232"/>
      <c r="AS48" s="232"/>
      <c r="AT48" s="232"/>
      <c r="AU48" s="232"/>
      <c r="AV48" s="232"/>
      <c r="AW48" s="232"/>
      <c r="AX48" s="232"/>
      <c r="AY48" s="232"/>
      <c r="AZ48" s="232"/>
      <c r="BA48" s="232"/>
      <c r="BB48" s="232"/>
      <c r="BC48" s="232"/>
      <c r="BD48" s="232"/>
      <c r="BE48" s="232"/>
      <c r="BF48" s="232"/>
      <c r="BG48" s="232"/>
      <c r="BH48" s="232"/>
      <c r="BI48" s="232"/>
      <c r="BJ48" s="232"/>
      <c r="BK48" s="232" t="s">
        <v>1305</v>
      </c>
      <c r="BL48" s="232"/>
      <c r="BM48" s="232"/>
      <c r="BN48" s="232" t="s">
        <v>1305</v>
      </c>
      <c r="BO48" s="232"/>
      <c r="BP48" s="232"/>
      <c r="BQ48" s="232"/>
      <c r="BR48" s="232"/>
      <c r="BS48" s="232"/>
      <c r="BT48" s="232"/>
      <c r="BU48" s="232"/>
      <c r="BV48" s="232"/>
      <c r="BW48" s="232"/>
      <c r="BX48" s="232"/>
      <c r="BY48" s="232"/>
      <c r="BZ48" s="232"/>
      <c r="CA48" s="232"/>
      <c r="CB48" s="232"/>
      <c r="CC48" s="232"/>
      <c r="CD48" s="232"/>
      <c r="CE48" s="232"/>
      <c r="CF48" s="232"/>
      <c r="CG48" s="232"/>
      <c r="CH48" s="232"/>
      <c r="CI48" s="232"/>
      <c r="CJ48" s="232"/>
      <c r="CK48" s="232"/>
      <c r="CL48" s="232"/>
      <c r="CM48" s="232"/>
      <c r="CN48" s="232"/>
      <c r="CO48" s="232"/>
      <c r="CP48" s="233" t="str">
        <f aca="false">IF(AND(D48="✓",D$4&lt;&gt;""),D$4&amp;"; ","")&amp;IF(AND(E48="✓",E$4&lt;&gt;""),E$4&amp;"; ","")&amp;IF(AND(F48="✓",F$4&lt;&gt;""),F$4&amp;"; ","")&amp;IF(AND(G48="✓",G$4&lt;&gt;""),G$4&amp;"; ","")&amp;IF(AND(H48="✓",H$4&lt;&gt;""),H$4&amp;"; ","")&amp;IF(AND(I48="✓",I$4&lt;&gt;""),I$4&amp;"; ","")&amp;IF(AND(J48="✓",J$4&lt;&gt;""),J$4&amp;"; ","")&amp;IF(AND(K48="✓",K$4&lt;&gt;""),K$4&amp;"; ","")&amp;IF(AND(L48="✓",L$4&lt;&gt;""),L$4&amp;"; ","")&amp;IF(AND(M48="✓",M$4&lt;&gt;""),M$4&amp;"; ","")&amp;IF(AND(N48="✓",N$4&lt;&gt;""),N$4&amp;"; ","")&amp;IF(AND(O48="✓",O$4&lt;&gt;""),O$4&amp;"; ","")&amp;IF(AND(P48="✓",P$4&lt;&gt;""),P$4&amp;"; ","")&amp;IF(AND(Q48="✓",Q$4&lt;&gt;""),Q$4&amp;"; ","")&amp;IF(AND(R48="✓",R$4&lt;&gt;""),R$4&amp;"; ","")&amp;IF(AND(S48="✓",S$4&lt;&gt;""),S$4&amp;"; ","")&amp;IF(AND(T48="✓",T$4&lt;&gt;""),T$4&amp;"; ","")&amp;IF(AND(U48="✓",U$4&lt;&gt;""),U$4&amp;"; ","")&amp;IF(AND(V48="✓",V$4&lt;&gt;""),V$4&amp;"; ","")&amp;IF(AND(W48="✓",W$4&lt;&gt;""),W$4&amp;"; ","")&amp;IF(AND(X48="✓",X$4&lt;&gt;""),X$4&amp;"; ","")&amp;IF(AND(Y48="✓",Y$4&lt;&gt;""),Y$4&amp;"; ","")&amp;IF(AND(Z48="✓",Z$4&lt;&gt;""),Z$4&amp;"; ","")&amp;IF(AND(AA48="✓",AA$4&lt;&gt;""),AA$4&amp;"; ","")&amp;IF(AND(AB48="✓",AB$4&lt;&gt;""),AB$4&amp;"; ","")&amp;IF(AND(AC48="✓",AC$4&lt;&gt;""),AC$4&amp;"; ","")&amp;IF(AND(AD48="✓",AD$4&lt;&gt;""),AD$4&amp;"; ","")&amp;IF(AND(AE48="✓",AE$4&lt;&gt;""),AE$4&amp;"; ","")&amp;IF(AND(AF48="✓",AF$4&lt;&gt;""),AF$4&amp;"; ","")&amp;IF(AND(AG48="✓",AG$4&lt;&gt;""),AG$4&amp;"; ","")&amp;IF(AND(AH48="✓",AH$4&lt;&gt;""),AH$4&amp;"; ","")&amp;IF(AND(AI48="✓",AI$4&lt;&gt;""),AI$4&amp;"; ","")&amp;IF(AND(AJ48="✓",AJ$4&lt;&gt;""),AJ$4&amp;"; ","")&amp;IF(AND(AK48="✓",AK$4&lt;&gt;""),AK$4&amp;"; ","")&amp;IF(AND(AL48="✓",AL$4&lt;&gt;""),AL$4&amp;"; ","")&amp;IF(AND(AM48="✓",AM$4&lt;&gt;""),AM$4&amp;"; ","")&amp;IF(AND(AN48="✓",AN$4&lt;&gt;""),AN$4&amp;"; ","")&amp;IF(AND(AO48="✓",AO$4&lt;&gt;""),AO$4&amp;"; ","")&amp;IF(AND(AP48="✓",AP$4&lt;&gt;""),AP$4&amp;"; ","")&amp;IF(AND(AQ48="✓",AQ$4&lt;&gt;""),AQ$4&amp;"; ","")&amp;IF(AND(AR48="✓",AR$4&lt;&gt;""),AR$4&amp;"; ","")&amp;IF(AND(AS48="✓",AS$4&lt;&gt;""),AS$4&amp;"; ","")&amp;IF(AND(AT48="✓",AT$4&lt;&gt;""),AT$4&amp;"; ","")&amp;IF(AND(AU48="✓",AU$4&lt;&gt;""),AU$4&amp;"; ","")&amp;IF(AND(AV48="✓",AV$4&lt;&gt;""),AV$4&amp;"; ","")&amp;IF(AND(AW48="✓",AW$4&lt;&gt;""),AW$4&amp;"; ","")&amp;IF(AND(AX48="✓",AX$4&lt;&gt;""),AX$4&amp;"; ","")&amp;IF(AND(AY48="✓",AY$4&lt;&gt;""),AY$4&amp;"; ","")&amp;IF(AND(AZ48="✓",AZ$4&lt;&gt;""),AZ$4&amp;"; ","")&amp;IF(AND(BA48="✓",BA$4&lt;&gt;""),BA$4&amp;"; ","")&amp;IF(AND(BB48="✓",BB$4&lt;&gt;""),BB$4&amp;"; ","")&amp;IF(AND(BC48="✓",BC$4&lt;&gt;""),BC$4&amp;"; ","")&amp;IF(AND(BD48="✓",BD$4&lt;&gt;""),BD$4&amp;"; ","")&amp;IF(AND(BE48="✓",BE$4&lt;&gt;""),BE$4&amp;"; ","")&amp;IF(AND(BF48="✓",BF$4&lt;&gt;""),BF$4&amp;"; ","")&amp;IF(AND(BG48="✓",BG$4&lt;&gt;""),BG$4&amp;"; ","")&amp;IF(AND(BH48="✓",BH$4&lt;&gt;""),BH$4&amp;"; ","")&amp;IF(AND(BI48="✓",BI$4&lt;&gt;""),BI$4&amp;"; ","")&amp;IF(AND(BJ48="✓",BJ$4&lt;&gt;""),BJ$4&amp;"; ","")&amp;IF(AND(BK48="✓",BK$4&lt;&gt;""),BK$4&amp;"; ","")&amp;IF(AND(BL48="✓",BL$4&lt;&gt;""),BL$4&amp;"; ","")&amp;IF(AND(BM48="✓",BM$4&lt;&gt;""),BM$4&amp;"; ","")&amp;IF(AND(BN48="✓",BN$4&lt;&gt;""),BN$4&amp;"; ","")&amp;IF(AND(BO48="✓",BO$4&lt;&gt;""),BO$4&amp;"; ","")&amp;IF(AND(BP48="✓",BP$4&lt;&gt;""),BP$4&amp;"; ","")&amp;IF(AND(BQ48="✓",BQ$4&lt;&gt;""),BQ$4&amp;"; ","")&amp;IF(AND(BR48="✓",BR$4&lt;&gt;""),BR$4&amp;"; ","")&amp;IF(AND(BS48="✓",BS$4&lt;&gt;""),BS$4&amp;"; ","")&amp;IF(AND(BT48="✓",BT$4&lt;&gt;""),BT$4&amp;"; ","")&amp;IF(AND(BU48="✓",BU$4&lt;&gt;""),BU$4&amp;"; ","")&amp;IF(AND(BV48="✓",BV$4&lt;&gt;""),BV$4&amp;"; ","")&amp;IF(AND(BW48="✓",BW$4&lt;&gt;""),BW$4&amp;"; ","")&amp;IF(AND(BX48="✓",BX$4&lt;&gt;""),BX$4&amp;"; ","")&amp;IF(AND(BY48="✓",BY$4&lt;&gt;""),BY$4&amp;"; ","")&amp;IF(AND(BZ48="✓",BZ$4&lt;&gt;""),BZ$4&amp;"; ","")&amp;IF(AND(CA48="✓",CA$4&lt;&gt;""),CA$4&amp;"; ","")&amp;IF(AND(CB48="✓",CB$4&lt;&gt;""),CB$4&amp;"; ","")&amp;IF(AND(CC48="✓",CC$4&lt;&gt;""),CC$4&amp;"; ","")&amp;IF(AND(CD48="✓",CD$4&lt;&gt;""),CD$4&amp;"; ","")&amp;IF(AND(CE48="✓",CE$4&lt;&gt;""),CE$4&amp;"; ","")&amp;IF(AND(CF48="✓",CF$4&lt;&gt;""),CF$4&amp;"; ","")&amp;IF(AND(CG48="✓",CG$4&lt;&gt;""),CG$4&amp;"; ","")&amp;IF(AND(CH48="✓",CH$4&lt;&gt;""),CH$4&amp;"; ","")&amp;IF(AND(CI48="✓",CI$4&lt;&gt;""),CI$4&amp;"; ","")&amp;IF(AND(CJ48="✓",CJ$4&lt;&gt;""),CJ$4&amp;"; ","")&amp;IF(AND(CK48="✓",CK$4&lt;&gt;""),CK$4&amp;"; ","")&amp;IF(AND(CL48="✓",CL$4&lt;&gt;""),CL$4&amp;"; ","")&amp;IF(AND(CM48="✓",CM$4&lt;&gt;""),CM$4&amp;"; ","")&amp;IF(AND(CN48="✓",CN$4&lt;&gt;""),CN$4&amp;"; ","")&amp;IF(AND(CO48="✓",CO$4&lt;&gt;""),CO$4&amp;"; ","")</f>
        <v>OPP-60; OPP-63; </v>
      </c>
      <c r="CQ48" s="104" t="str">
        <f aca="false">IF($CP48="","",LEFT($CP48,LEN($CP48)-2))</f>
        <v>OPP-60; OPP-63</v>
      </c>
      <c r="CR48" s="234" t="n">
        <f aca="false">IF($A48="","",COUNTIF($D48:$CO48,"✓"))</f>
        <v>2</v>
      </c>
    </row>
    <row r="49" customFormat="false" ht="21.75" hidden="false" customHeight="true" outlineLevel="0" collapsed="false">
      <c r="A49" s="231" t="str">
        <f aca="false">IF(03_能力總表_Master!$A49="","",03_能力總表_Master!$A49)</f>
        <v>CAP-045</v>
      </c>
      <c r="B49" s="166" t="str">
        <f aca="false">IF(03_能力總表_Master!$A49="","",03_能力總表_Master!$B49)</f>
        <v>D08 人才與技轉</v>
      </c>
      <c r="C49" s="95" t="str">
        <f aca="false">IF(03_能力總表_Master!$A49="","",03_能力總表_Master!$E49)</f>
        <v>人力與輪班模型</v>
      </c>
      <c r="D49" s="232"/>
      <c r="E49" s="232"/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32"/>
      <c r="R49" s="232"/>
      <c r="S49" s="232"/>
      <c r="T49" s="232"/>
      <c r="U49" s="232"/>
      <c r="V49" s="232"/>
      <c r="W49" s="232"/>
      <c r="X49" s="232"/>
      <c r="Y49" s="232"/>
      <c r="Z49" s="232"/>
      <c r="AA49" s="232"/>
      <c r="AB49" s="232"/>
      <c r="AC49" s="232"/>
      <c r="AD49" s="232"/>
      <c r="AE49" s="232"/>
      <c r="AF49" s="232"/>
      <c r="AG49" s="232"/>
      <c r="AH49" s="232"/>
      <c r="AI49" s="232"/>
      <c r="AJ49" s="232"/>
      <c r="AK49" s="232"/>
      <c r="AL49" s="232"/>
      <c r="AM49" s="232"/>
      <c r="AN49" s="232"/>
      <c r="AO49" s="232"/>
      <c r="AP49" s="232"/>
      <c r="AQ49" s="232"/>
      <c r="AR49" s="232"/>
      <c r="AS49" s="232"/>
      <c r="AT49" s="232"/>
      <c r="AU49" s="232"/>
      <c r="AV49" s="232"/>
      <c r="AW49" s="232"/>
      <c r="AX49" s="232"/>
      <c r="AY49" s="232"/>
      <c r="AZ49" s="232"/>
      <c r="BA49" s="232"/>
      <c r="BB49" s="232"/>
      <c r="BC49" s="232"/>
      <c r="BD49" s="232"/>
      <c r="BE49" s="232"/>
      <c r="BF49" s="232"/>
      <c r="BG49" s="232"/>
      <c r="BH49" s="232"/>
      <c r="BI49" s="232"/>
      <c r="BJ49" s="232"/>
      <c r="BK49" s="232"/>
      <c r="BL49" s="232"/>
      <c r="BM49" s="232" t="s">
        <v>1305</v>
      </c>
      <c r="BN49" s="232"/>
      <c r="BO49" s="232"/>
      <c r="BP49" s="232"/>
      <c r="BQ49" s="232"/>
      <c r="BR49" s="232"/>
      <c r="BS49" s="232"/>
      <c r="BT49" s="232"/>
      <c r="BU49" s="232"/>
      <c r="BV49" s="232"/>
      <c r="BW49" s="232"/>
      <c r="BX49" s="232"/>
      <c r="BY49" s="232"/>
      <c r="BZ49" s="232"/>
      <c r="CA49" s="232"/>
      <c r="CB49" s="232" t="s">
        <v>1305</v>
      </c>
      <c r="CC49" s="232"/>
      <c r="CD49" s="232"/>
      <c r="CE49" s="232"/>
      <c r="CF49" s="232"/>
      <c r="CG49" s="232"/>
      <c r="CH49" s="232"/>
      <c r="CI49" s="232"/>
      <c r="CJ49" s="232"/>
      <c r="CK49" s="232"/>
      <c r="CL49" s="232"/>
      <c r="CM49" s="232"/>
      <c r="CN49" s="232"/>
      <c r="CO49" s="232"/>
      <c r="CP49" s="233" t="str">
        <f aca="false">IF(AND(D49="✓",D$4&lt;&gt;""),D$4&amp;"; ","")&amp;IF(AND(E49="✓",E$4&lt;&gt;""),E$4&amp;"; ","")&amp;IF(AND(F49="✓",F$4&lt;&gt;""),F$4&amp;"; ","")&amp;IF(AND(G49="✓",G$4&lt;&gt;""),G$4&amp;"; ","")&amp;IF(AND(H49="✓",H$4&lt;&gt;""),H$4&amp;"; ","")&amp;IF(AND(I49="✓",I$4&lt;&gt;""),I$4&amp;"; ","")&amp;IF(AND(J49="✓",J$4&lt;&gt;""),J$4&amp;"; ","")&amp;IF(AND(K49="✓",K$4&lt;&gt;""),K$4&amp;"; ","")&amp;IF(AND(L49="✓",L$4&lt;&gt;""),L$4&amp;"; ","")&amp;IF(AND(M49="✓",M$4&lt;&gt;""),M$4&amp;"; ","")&amp;IF(AND(N49="✓",N$4&lt;&gt;""),N$4&amp;"; ","")&amp;IF(AND(O49="✓",O$4&lt;&gt;""),O$4&amp;"; ","")&amp;IF(AND(P49="✓",P$4&lt;&gt;""),P$4&amp;"; ","")&amp;IF(AND(Q49="✓",Q$4&lt;&gt;""),Q$4&amp;"; ","")&amp;IF(AND(R49="✓",R$4&lt;&gt;""),R$4&amp;"; ","")&amp;IF(AND(S49="✓",S$4&lt;&gt;""),S$4&amp;"; ","")&amp;IF(AND(T49="✓",T$4&lt;&gt;""),T$4&amp;"; ","")&amp;IF(AND(U49="✓",U$4&lt;&gt;""),U$4&amp;"; ","")&amp;IF(AND(V49="✓",V$4&lt;&gt;""),V$4&amp;"; ","")&amp;IF(AND(W49="✓",W$4&lt;&gt;""),W$4&amp;"; ","")&amp;IF(AND(X49="✓",X$4&lt;&gt;""),X$4&amp;"; ","")&amp;IF(AND(Y49="✓",Y$4&lt;&gt;""),Y$4&amp;"; ","")&amp;IF(AND(Z49="✓",Z$4&lt;&gt;""),Z$4&amp;"; ","")&amp;IF(AND(AA49="✓",AA$4&lt;&gt;""),AA$4&amp;"; ","")&amp;IF(AND(AB49="✓",AB$4&lt;&gt;""),AB$4&amp;"; ","")&amp;IF(AND(AC49="✓",AC$4&lt;&gt;""),AC$4&amp;"; ","")&amp;IF(AND(AD49="✓",AD$4&lt;&gt;""),AD$4&amp;"; ","")&amp;IF(AND(AE49="✓",AE$4&lt;&gt;""),AE$4&amp;"; ","")&amp;IF(AND(AF49="✓",AF$4&lt;&gt;""),AF$4&amp;"; ","")&amp;IF(AND(AG49="✓",AG$4&lt;&gt;""),AG$4&amp;"; ","")&amp;IF(AND(AH49="✓",AH$4&lt;&gt;""),AH$4&amp;"; ","")&amp;IF(AND(AI49="✓",AI$4&lt;&gt;""),AI$4&amp;"; ","")&amp;IF(AND(AJ49="✓",AJ$4&lt;&gt;""),AJ$4&amp;"; ","")&amp;IF(AND(AK49="✓",AK$4&lt;&gt;""),AK$4&amp;"; ","")&amp;IF(AND(AL49="✓",AL$4&lt;&gt;""),AL$4&amp;"; ","")&amp;IF(AND(AM49="✓",AM$4&lt;&gt;""),AM$4&amp;"; ","")&amp;IF(AND(AN49="✓",AN$4&lt;&gt;""),AN$4&amp;"; ","")&amp;IF(AND(AO49="✓",AO$4&lt;&gt;""),AO$4&amp;"; ","")&amp;IF(AND(AP49="✓",AP$4&lt;&gt;""),AP$4&amp;"; ","")&amp;IF(AND(AQ49="✓",AQ$4&lt;&gt;""),AQ$4&amp;"; ","")&amp;IF(AND(AR49="✓",AR$4&lt;&gt;""),AR$4&amp;"; ","")&amp;IF(AND(AS49="✓",AS$4&lt;&gt;""),AS$4&amp;"; ","")&amp;IF(AND(AT49="✓",AT$4&lt;&gt;""),AT$4&amp;"; ","")&amp;IF(AND(AU49="✓",AU$4&lt;&gt;""),AU$4&amp;"; ","")&amp;IF(AND(AV49="✓",AV$4&lt;&gt;""),AV$4&amp;"; ","")&amp;IF(AND(AW49="✓",AW$4&lt;&gt;""),AW$4&amp;"; ","")&amp;IF(AND(AX49="✓",AX$4&lt;&gt;""),AX$4&amp;"; ","")&amp;IF(AND(AY49="✓",AY$4&lt;&gt;""),AY$4&amp;"; ","")&amp;IF(AND(AZ49="✓",AZ$4&lt;&gt;""),AZ$4&amp;"; ","")&amp;IF(AND(BA49="✓",BA$4&lt;&gt;""),BA$4&amp;"; ","")&amp;IF(AND(BB49="✓",BB$4&lt;&gt;""),BB$4&amp;"; ","")&amp;IF(AND(BC49="✓",BC$4&lt;&gt;""),BC$4&amp;"; ","")&amp;IF(AND(BD49="✓",BD$4&lt;&gt;""),BD$4&amp;"; ","")&amp;IF(AND(BE49="✓",BE$4&lt;&gt;""),BE$4&amp;"; ","")&amp;IF(AND(BF49="✓",BF$4&lt;&gt;""),BF$4&amp;"; ","")&amp;IF(AND(BG49="✓",BG$4&lt;&gt;""),BG$4&amp;"; ","")&amp;IF(AND(BH49="✓",BH$4&lt;&gt;""),BH$4&amp;"; ","")&amp;IF(AND(BI49="✓",BI$4&lt;&gt;""),BI$4&amp;"; ","")&amp;IF(AND(BJ49="✓",BJ$4&lt;&gt;""),BJ$4&amp;"; ","")&amp;IF(AND(BK49="✓",BK$4&lt;&gt;""),BK$4&amp;"; ","")&amp;IF(AND(BL49="✓",BL$4&lt;&gt;""),BL$4&amp;"; ","")&amp;IF(AND(BM49="✓",BM$4&lt;&gt;""),BM$4&amp;"; ","")&amp;IF(AND(BN49="✓",BN$4&lt;&gt;""),BN$4&amp;"; ","")&amp;IF(AND(BO49="✓",BO$4&lt;&gt;""),BO$4&amp;"; ","")&amp;IF(AND(BP49="✓",BP$4&lt;&gt;""),BP$4&amp;"; ","")&amp;IF(AND(BQ49="✓",BQ$4&lt;&gt;""),BQ$4&amp;"; ","")&amp;IF(AND(BR49="✓",BR$4&lt;&gt;""),BR$4&amp;"; ","")&amp;IF(AND(BS49="✓",BS$4&lt;&gt;""),BS$4&amp;"; ","")&amp;IF(AND(BT49="✓",BT$4&lt;&gt;""),BT$4&amp;"; ","")&amp;IF(AND(BU49="✓",BU$4&lt;&gt;""),BU$4&amp;"; ","")&amp;IF(AND(BV49="✓",BV$4&lt;&gt;""),BV$4&amp;"; ","")&amp;IF(AND(BW49="✓",BW$4&lt;&gt;""),BW$4&amp;"; ","")&amp;IF(AND(BX49="✓",BX$4&lt;&gt;""),BX$4&amp;"; ","")&amp;IF(AND(BY49="✓",BY$4&lt;&gt;""),BY$4&amp;"; ","")&amp;IF(AND(BZ49="✓",BZ$4&lt;&gt;""),BZ$4&amp;"; ","")&amp;IF(AND(CA49="✓",CA$4&lt;&gt;""),CA$4&amp;"; ","")&amp;IF(AND(CB49="✓",CB$4&lt;&gt;""),CB$4&amp;"; ","")&amp;IF(AND(CC49="✓",CC$4&lt;&gt;""),CC$4&amp;"; ","")&amp;IF(AND(CD49="✓",CD$4&lt;&gt;""),CD$4&amp;"; ","")&amp;IF(AND(CE49="✓",CE$4&lt;&gt;""),CE$4&amp;"; ","")&amp;IF(AND(CF49="✓",CF$4&lt;&gt;""),CF$4&amp;"; ","")&amp;IF(AND(CG49="✓",CG$4&lt;&gt;""),CG$4&amp;"; ","")&amp;IF(AND(CH49="✓",CH$4&lt;&gt;""),CH$4&amp;"; ","")&amp;IF(AND(CI49="✓",CI$4&lt;&gt;""),CI$4&amp;"; ","")&amp;IF(AND(CJ49="✓",CJ$4&lt;&gt;""),CJ$4&amp;"; ","")&amp;IF(AND(CK49="✓",CK$4&lt;&gt;""),CK$4&amp;"; ","")&amp;IF(AND(CL49="✓",CL$4&lt;&gt;""),CL$4&amp;"; ","")&amp;IF(AND(CM49="✓",CM$4&lt;&gt;""),CM$4&amp;"; ","")&amp;IF(AND(CN49="✓",CN$4&lt;&gt;""),CN$4&amp;"; ","")&amp;IF(AND(CO49="✓",CO$4&lt;&gt;""),CO$4&amp;"; ","")</f>
        <v>OPP-62; OPP-77; </v>
      </c>
      <c r="CQ49" s="104" t="str">
        <f aca="false">IF($CP49="","",LEFT($CP49,LEN($CP49)-2))</f>
        <v>OPP-62; OPP-77</v>
      </c>
      <c r="CR49" s="234" t="n">
        <f aca="false">IF($A49="","",COUNTIF($D49:$CO49,"✓"))</f>
        <v>2</v>
      </c>
    </row>
    <row r="50" customFormat="false" ht="21.75" hidden="false" customHeight="true" outlineLevel="0" collapsed="false">
      <c r="A50" s="231" t="str">
        <f aca="false">IF(03_能力總表_Master!$A50="","",03_能力總表_Master!$A50)</f>
        <v>CAP-046</v>
      </c>
      <c r="B50" s="166" t="str">
        <f aca="false">IF(03_能力總表_Master!$A50="","",03_能力總表_Master!$B50)</f>
        <v>D08 人才與技轉</v>
      </c>
      <c r="C50" s="95" t="str">
        <f aca="false">IF(03_能力總表_Master!$A50="","",03_能力總表_Master!$E50)</f>
        <v>職能矩陣與授權</v>
      </c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2"/>
      <c r="X50" s="232"/>
      <c r="Y50" s="232"/>
      <c r="Z50" s="232"/>
      <c r="AA50" s="232"/>
      <c r="AB50" s="232"/>
      <c r="AC50" s="232"/>
      <c r="AD50" s="232"/>
      <c r="AE50" s="232"/>
      <c r="AF50" s="232"/>
      <c r="AG50" s="232"/>
      <c r="AH50" s="232"/>
      <c r="AI50" s="232"/>
      <c r="AJ50" s="232"/>
      <c r="AK50" s="232"/>
      <c r="AL50" s="232"/>
      <c r="AM50" s="232"/>
      <c r="AN50" s="232"/>
      <c r="AO50" s="232"/>
      <c r="AP50" s="232"/>
      <c r="AQ50" s="232"/>
      <c r="AR50" s="232"/>
      <c r="AS50" s="232"/>
      <c r="AT50" s="232"/>
      <c r="AU50" s="232"/>
      <c r="AV50" s="232"/>
      <c r="AW50" s="232"/>
      <c r="AX50" s="232"/>
      <c r="AY50" s="232"/>
      <c r="AZ50" s="232"/>
      <c r="BA50" s="232"/>
      <c r="BB50" s="232"/>
      <c r="BC50" s="232"/>
      <c r="BD50" s="232"/>
      <c r="BE50" s="232"/>
      <c r="BF50" s="232"/>
      <c r="BG50" s="232"/>
      <c r="BH50" s="232"/>
      <c r="BI50" s="232"/>
      <c r="BJ50" s="232"/>
      <c r="BK50" s="232"/>
      <c r="BL50" s="232"/>
      <c r="BM50" s="232" t="s">
        <v>1305</v>
      </c>
      <c r="BN50" s="232"/>
      <c r="BO50" s="232"/>
      <c r="BP50" s="232"/>
      <c r="BQ50" s="232"/>
      <c r="BR50" s="232"/>
      <c r="BS50" s="232"/>
      <c r="BT50" s="232"/>
      <c r="BU50" s="232"/>
      <c r="BV50" s="232"/>
      <c r="BW50" s="232"/>
      <c r="BX50" s="232"/>
      <c r="BY50" s="232"/>
      <c r="BZ50" s="232"/>
      <c r="CA50" s="232"/>
      <c r="CB50" s="232"/>
      <c r="CC50" s="232"/>
      <c r="CD50" s="232"/>
      <c r="CE50" s="232"/>
      <c r="CF50" s="232"/>
      <c r="CG50" s="232"/>
      <c r="CH50" s="232"/>
      <c r="CI50" s="232"/>
      <c r="CJ50" s="232"/>
      <c r="CK50" s="232"/>
      <c r="CL50" s="232"/>
      <c r="CM50" s="232"/>
      <c r="CN50" s="232"/>
      <c r="CO50" s="232"/>
      <c r="CP50" s="233" t="str">
        <f aca="false">IF(AND(D50="✓",D$4&lt;&gt;""),D$4&amp;"; ","")&amp;IF(AND(E50="✓",E$4&lt;&gt;""),E$4&amp;"; ","")&amp;IF(AND(F50="✓",F$4&lt;&gt;""),F$4&amp;"; ","")&amp;IF(AND(G50="✓",G$4&lt;&gt;""),G$4&amp;"; ","")&amp;IF(AND(H50="✓",H$4&lt;&gt;""),H$4&amp;"; ","")&amp;IF(AND(I50="✓",I$4&lt;&gt;""),I$4&amp;"; ","")&amp;IF(AND(J50="✓",J$4&lt;&gt;""),J$4&amp;"; ","")&amp;IF(AND(K50="✓",K$4&lt;&gt;""),K$4&amp;"; ","")&amp;IF(AND(L50="✓",L$4&lt;&gt;""),L$4&amp;"; ","")&amp;IF(AND(M50="✓",M$4&lt;&gt;""),M$4&amp;"; ","")&amp;IF(AND(N50="✓",N$4&lt;&gt;""),N$4&amp;"; ","")&amp;IF(AND(O50="✓",O$4&lt;&gt;""),O$4&amp;"; ","")&amp;IF(AND(P50="✓",P$4&lt;&gt;""),P$4&amp;"; ","")&amp;IF(AND(Q50="✓",Q$4&lt;&gt;""),Q$4&amp;"; ","")&amp;IF(AND(R50="✓",R$4&lt;&gt;""),R$4&amp;"; ","")&amp;IF(AND(S50="✓",S$4&lt;&gt;""),S$4&amp;"; ","")&amp;IF(AND(T50="✓",T$4&lt;&gt;""),T$4&amp;"; ","")&amp;IF(AND(U50="✓",U$4&lt;&gt;""),U$4&amp;"; ","")&amp;IF(AND(V50="✓",V$4&lt;&gt;""),V$4&amp;"; ","")&amp;IF(AND(W50="✓",W$4&lt;&gt;""),W$4&amp;"; ","")&amp;IF(AND(X50="✓",X$4&lt;&gt;""),X$4&amp;"; ","")&amp;IF(AND(Y50="✓",Y$4&lt;&gt;""),Y$4&amp;"; ","")&amp;IF(AND(Z50="✓",Z$4&lt;&gt;""),Z$4&amp;"; ","")&amp;IF(AND(AA50="✓",AA$4&lt;&gt;""),AA$4&amp;"; ","")&amp;IF(AND(AB50="✓",AB$4&lt;&gt;""),AB$4&amp;"; ","")&amp;IF(AND(AC50="✓",AC$4&lt;&gt;""),AC$4&amp;"; ","")&amp;IF(AND(AD50="✓",AD$4&lt;&gt;""),AD$4&amp;"; ","")&amp;IF(AND(AE50="✓",AE$4&lt;&gt;""),AE$4&amp;"; ","")&amp;IF(AND(AF50="✓",AF$4&lt;&gt;""),AF$4&amp;"; ","")&amp;IF(AND(AG50="✓",AG$4&lt;&gt;""),AG$4&amp;"; ","")&amp;IF(AND(AH50="✓",AH$4&lt;&gt;""),AH$4&amp;"; ","")&amp;IF(AND(AI50="✓",AI$4&lt;&gt;""),AI$4&amp;"; ","")&amp;IF(AND(AJ50="✓",AJ$4&lt;&gt;""),AJ$4&amp;"; ","")&amp;IF(AND(AK50="✓",AK$4&lt;&gt;""),AK$4&amp;"; ","")&amp;IF(AND(AL50="✓",AL$4&lt;&gt;""),AL$4&amp;"; ","")&amp;IF(AND(AM50="✓",AM$4&lt;&gt;""),AM$4&amp;"; ","")&amp;IF(AND(AN50="✓",AN$4&lt;&gt;""),AN$4&amp;"; ","")&amp;IF(AND(AO50="✓",AO$4&lt;&gt;""),AO$4&amp;"; ","")&amp;IF(AND(AP50="✓",AP$4&lt;&gt;""),AP$4&amp;"; ","")&amp;IF(AND(AQ50="✓",AQ$4&lt;&gt;""),AQ$4&amp;"; ","")&amp;IF(AND(AR50="✓",AR$4&lt;&gt;""),AR$4&amp;"; ","")&amp;IF(AND(AS50="✓",AS$4&lt;&gt;""),AS$4&amp;"; ","")&amp;IF(AND(AT50="✓",AT$4&lt;&gt;""),AT$4&amp;"; ","")&amp;IF(AND(AU50="✓",AU$4&lt;&gt;""),AU$4&amp;"; ","")&amp;IF(AND(AV50="✓",AV$4&lt;&gt;""),AV$4&amp;"; ","")&amp;IF(AND(AW50="✓",AW$4&lt;&gt;""),AW$4&amp;"; ","")&amp;IF(AND(AX50="✓",AX$4&lt;&gt;""),AX$4&amp;"; ","")&amp;IF(AND(AY50="✓",AY$4&lt;&gt;""),AY$4&amp;"; ","")&amp;IF(AND(AZ50="✓",AZ$4&lt;&gt;""),AZ$4&amp;"; ","")&amp;IF(AND(BA50="✓",BA$4&lt;&gt;""),BA$4&amp;"; ","")&amp;IF(AND(BB50="✓",BB$4&lt;&gt;""),BB$4&amp;"; ","")&amp;IF(AND(BC50="✓",BC$4&lt;&gt;""),BC$4&amp;"; ","")&amp;IF(AND(BD50="✓",BD$4&lt;&gt;""),BD$4&amp;"; ","")&amp;IF(AND(BE50="✓",BE$4&lt;&gt;""),BE$4&amp;"; ","")&amp;IF(AND(BF50="✓",BF$4&lt;&gt;""),BF$4&amp;"; ","")&amp;IF(AND(BG50="✓",BG$4&lt;&gt;""),BG$4&amp;"; ","")&amp;IF(AND(BH50="✓",BH$4&lt;&gt;""),BH$4&amp;"; ","")&amp;IF(AND(BI50="✓",BI$4&lt;&gt;""),BI$4&amp;"; ","")&amp;IF(AND(BJ50="✓",BJ$4&lt;&gt;""),BJ$4&amp;"; ","")&amp;IF(AND(BK50="✓",BK$4&lt;&gt;""),BK$4&amp;"; ","")&amp;IF(AND(BL50="✓",BL$4&lt;&gt;""),BL$4&amp;"; ","")&amp;IF(AND(BM50="✓",BM$4&lt;&gt;""),BM$4&amp;"; ","")&amp;IF(AND(BN50="✓",BN$4&lt;&gt;""),BN$4&amp;"; ","")&amp;IF(AND(BO50="✓",BO$4&lt;&gt;""),BO$4&amp;"; ","")&amp;IF(AND(BP50="✓",BP$4&lt;&gt;""),BP$4&amp;"; ","")&amp;IF(AND(BQ50="✓",BQ$4&lt;&gt;""),BQ$4&amp;"; ","")&amp;IF(AND(BR50="✓",BR$4&lt;&gt;""),BR$4&amp;"; ","")&amp;IF(AND(BS50="✓",BS$4&lt;&gt;""),BS$4&amp;"; ","")&amp;IF(AND(BT50="✓",BT$4&lt;&gt;""),BT$4&amp;"; ","")&amp;IF(AND(BU50="✓",BU$4&lt;&gt;""),BU$4&amp;"; ","")&amp;IF(AND(BV50="✓",BV$4&lt;&gt;""),BV$4&amp;"; ","")&amp;IF(AND(BW50="✓",BW$4&lt;&gt;""),BW$4&amp;"; ","")&amp;IF(AND(BX50="✓",BX$4&lt;&gt;""),BX$4&amp;"; ","")&amp;IF(AND(BY50="✓",BY$4&lt;&gt;""),BY$4&amp;"; ","")&amp;IF(AND(BZ50="✓",BZ$4&lt;&gt;""),BZ$4&amp;"; ","")&amp;IF(AND(CA50="✓",CA$4&lt;&gt;""),CA$4&amp;"; ","")&amp;IF(AND(CB50="✓",CB$4&lt;&gt;""),CB$4&amp;"; ","")&amp;IF(AND(CC50="✓",CC$4&lt;&gt;""),CC$4&amp;"; ","")&amp;IF(AND(CD50="✓",CD$4&lt;&gt;""),CD$4&amp;"; ","")&amp;IF(AND(CE50="✓",CE$4&lt;&gt;""),CE$4&amp;"; ","")&amp;IF(AND(CF50="✓",CF$4&lt;&gt;""),CF$4&amp;"; ","")&amp;IF(AND(CG50="✓",CG$4&lt;&gt;""),CG$4&amp;"; ","")&amp;IF(AND(CH50="✓",CH$4&lt;&gt;""),CH$4&amp;"; ","")&amp;IF(AND(CI50="✓",CI$4&lt;&gt;""),CI$4&amp;"; ","")&amp;IF(AND(CJ50="✓",CJ$4&lt;&gt;""),CJ$4&amp;"; ","")&amp;IF(AND(CK50="✓",CK$4&lt;&gt;""),CK$4&amp;"; ","")&amp;IF(AND(CL50="✓",CL$4&lt;&gt;""),CL$4&amp;"; ","")&amp;IF(AND(CM50="✓",CM$4&lt;&gt;""),CM$4&amp;"; ","")&amp;IF(AND(CN50="✓",CN$4&lt;&gt;""),CN$4&amp;"; ","")&amp;IF(AND(CO50="✓",CO$4&lt;&gt;""),CO$4&amp;"; ","")</f>
        <v>OPP-62; </v>
      </c>
      <c r="CQ50" s="104" t="str">
        <f aca="false">IF($CP50="","",LEFT($CP50,LEN($CP50)-2))</f>
        <v>OPP-62</v>
      </c>
      <c r="CR50" s="234" t="n">
        <f aca="false">IF($A50="","",COUNTIF($D50:$CO50,"✓"))</f>
        <v>1</v>
      </c>
    </row>
    <row r="51" customFormat="false" ht="21.75" hidden="false" customHeight="true" outlineLevel="0" collapsed="false">
      <c r="A51" s="231" t="str">
        <f aca="false">IF(03_能力總表_Master!$A51="","",03_能力總表_Master!$A51)</f>
        <v>CAP-047</v>
      </c>
      <c r="B51" s="166" t="str">
        <f aca="false">IF(03_能力總表_Master!$A51="","",03_能力總表_Master!$B51)</f>
        <v>D08 人才與技轉</v>
      </c>
      <c r="C51" s="95" t="str">
        <f aca="false">IF(03_能力總表_Master!$A51="","",03_能力總表_Master!$E51)</f>
        <v>種子教師與技術移轉</v>
      </c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/>
      <c r="AO51" s="232"/>
      <c r="AP51" s="232"/>
      <c r="AQ51" s="232"/>
      <c r="AR51" s="232"/>
      <c r="AS51" s="232"/>
      <c r="AT51" s="232"/>
      <c r="AU51" s="232"/>
      <c r="AV51" s="232"/>
      <c r="AW51" s="232"/>
      <c r="AX51" s="232"/>
      <c r="AY51" s="232"/>
      <c r="AZ51" s="232"/>
      <c r="BA51" s="232"/>
      <c r="BB51" s="232"/>
      <c r="BC51" s="232"/>
      <c r="BD51" s="232"/>
      <c r="BE51" s="232"/>
      <c r="BF51" s="232"/>
      <c r="BG51" s="232"/>
      <c r="BH51" s="232"/>
      <c r="BI51" s="232"/>
      <c r="BJ51" s="232"/>
      <c r="BK51" s="232"/>
      <c r="BL51" s="232"/>
      <c r="BM51" s="232" t="s">
        <v>1305</v>
      </c>
      <c r="BN51" s="232"/>
      <c r="BO51" s="232"/>
      <c r="BP51" s="232"/>
      <c r="BQ51" s="232"/>
      <c r="BR51" s="232"/>
      <c r="BS51" s="232"/>
      <c r="BT51" s="232"/>
      <c r="BU51" s="232"/>
      <c r="BV51" s="232"/>
      <c r="BW51" s="232"/>
      <c r="BX51" s="232"/>
      <c r="BY51" s="232"/>
      <c r="BZ51" s="232"/>
      <c r="CA51" s="232"/>
      <c r="CB51" s="232"/>
      <c r="CC51" s="232"/>
      <c r="CD51" s="232"/>
      <c r="CE51" s="232"/>
      <c r="CF51" s="232"/>
      <c r="CG51" s="232"/>
      <c r="CH51" s="232"/>
      <c r="CI51" s="232"/>
      <c r="CJ51" s="232"/>
      <c r="CK51" s="232"/>
      <c r="CL51" s="232"/>
      <c r="CM51" s="232"/>
      <c r="CN51" s="232"/>
      <c r="CO51" s="232"/>
      <c r="CP51" s="233" t="str">
        <f aca="false">IF(AND(D51="✓",D$4&lt;&gt;""),D$4&amp;"; ","")&amp;IF(AND(E51="✓",E$4&lt;&gt;""),E$4&amp;"; ","")&amp;IF(AND(F51="✓",F$4&lt;&gt;""),F$4&amp;"; ","")&amp;IF(AND(G51="✓",G$4&lt;&gt;""),G$4&amp;"; ","")&amp;IF(AND(H51="✓",H$4&lt;&gt;""),H$4&amp;"; ","")&amp;IF(AND(I51="✓",I$4&lt;&gt;""),I$4&amp;"; ","")&amp;IF(AND(J51="✓",J$4&lt;&gt;""),J$4&amp;"; ","")&amp;IF(AND(K51="✓",K$4&lt;&gt;""),K$4&amp;"; ","")&amp;IF(AND(L51="✓",L$4&lt;&gt;""),L$4&amp;"; ","")&amp;IF(AND(M51="✓",M$4&lt;&gt;""),M$4&amp;"; ","")&amp;IF(AND(N51="✓",N$4&lt;&gt;""),N$4&amp;"; ","")&amp;IF(AND(O51="✓",O$4&lt;&gt;""),O$4&amp;"; ","")&amp;IF(AND(P51="✓",P$4&lt;&gt;""),P$4&amp;"; ","")&amp;IF(AND(Q51="✓",Q$4&lt;&gt;""),Q$4&amp;"; ","")&amp;IF(AND(R51="✓",R$4&lt;&gt;""),R$4&amp;"; ","")&amp;IF(AND(S51="✓",S$4&lt;&gt;""),S$4&amp;"; ","")&amp;IF(AND(T51="✓",T$4&lt;&gt;""),T$4&amp;"; ","")&amp;IF(AND(U51="✓",U$4&lt;&gt;""),U$4&amp;"; ","")&amp;IF(AND(V51="✓",V$4&lt;&gt;""),V$4&amp;"; ","")&amp;IF(AND(W51="✓",W$4&lt;&gt;""),W$4&amp;"; ","")&amp;IF(AND(X51="✓",X$4&lt;&gt;""),X$4&amp;"; ","")&amp;IF(AND(Y51="✓",Y$4&lt;&gt;""),Y$4&amp;"; ","")&amp;IF(AND(Z51="✓",Z$4&lt;&gt;""),Z$4&amp;"; ","")&amp;IF(AND(AA51="✓",AA$4&lt;&gt;""),AA$4&amp;"; ","")&amp;IF(AND(AB51="✓",AB$4&lt;&gt;""),AB$4&amp;"; ","")&amp;IF(AND(AC51="✓",AC$4&lt;&gt;""),AC$4&amp;"; ","")&amp;IF(AND(AD51="✓",AD$4&lt;&gt;""),AD$4&amp;"; ","")&amp;IF(AND(AE51="✓",AE$4&lt;&gt;""),AE$4&amp;"; ","")&amp;IF(AND(AF51="✓",AF$4&lt;&gt;""),AF$4&amp;"; ","")&amp;IF(AND(AG51="✓",AG$4&lt;&gt;""),AG$4&amp;"; ","")&amp;IF(AND(AH51="✓",AH$4&lt;&gt;""),AH$4&amp;"; ","")&amp;IF(AND(AI51="✓",AI$4&lt;&gt;""),AI$4&amp;"; ","")&amp;IF(AND(AJ51="✓",AJ$4&lt;&gt;""),AJ$4&amp;"; ","")&amp;IF(AND(AK51="✓",AK$4&lt;&gt;""),AK$4&amp;"; ","")&amp;IF(AND(AL51="✓",AL$4&lt;&gt;""),AL$4&amp;"; ","")&amp;IF(AND(AM51="✓",AM$4&lt;&gt;""),AM$4&amp;"; ","")&amp;IF(AND(AN51="✓",AN$4&lt;&gt;""),AN$4&amp;"; ","")&amp;IF(AND(AO51="✓",AO$4&lt;&gt;""),AO$4&amp;"; ","")&amp;IF(AND(AP51="✓",AP$4&lt;&gt;""),AP$4&amp;"; ","")&amp;IF(AND(AQ51="✓",AQ$4&lt;&gt;""),AQ$4&amp;"; ","")&amp;IF(AND(AR51="✓",AR$4&lt;&gt;""),AR$4&amp;"; ","")&amp;IF(AND(AS51="✓",AS$4&lt;&gt;""),AS$4&amp;"; ","")&amp;IF(AND(AT51="✓",AT$4&lt;&gt;""),AT$4&amp;"; ","")&amp;IF(AND(AU51="✓",AU$4&lt;&gt;""),AU$4&amp;"; ","")&amp;IF(AND(AV51="✓",AV$4&lt;&gt;""),AV$4&amp;"; ","")&amp;IF(AND(AW51="✓",AW$4&lt;&gt;""),AW$4&amp;"; ","")&amp;IF(AND(AX51="✓",AX$4&lt;&gt;""),AX$4&amp;"; ","")&amp;IF(AND(AY51="✓",AY$4&lt;&gt;""),AY$4&amp;"; ","")&amp;IF(AND(AZ51="✓",AZ$4&lt;&gt;""),AZ$4&amp;"; ","")&amp;IF(AND(BA51="✓",BA$4&lt;&gt;""),BA$4&amp;"; ","")&amp;IF(AND(BB51="✓",BB$4&lt;&gt;""),BB$4&amp;"; ","")&amp;IF(AND(BC51="✓",BC$4&lt;&gt;""),BC$4&amp;"; ","")&amp;IF(AND(BD51="✓",BD$4&lt;&gt;""),BD$4&amp;"; ","")&amp;IF(AND(BE51="✓",BE$4&lt;&gt;""),BE$4&amp;"; ","")&amp;IF(AND(BF51="✓",BF$4&lt;&gt;""),BF$4&amp;"; ","")&amp;IF(AND(BG51="✓",BG$4&lt;&gt;""),BG$4&amp;"; ","")&amp;IF(AND(BH51="✓",BH$4&lt;&gt;""),BH$4&amp;"; ","")&amp;IF(AND(BI51="✓",BI$4&lt;&gt;""),BI$4&amp;"; ","")&amp;IF(AND(BJ51="✓",BJ$4&lt;&gt;""),BJ$4&amp;"; ","")&amp;IF(AND(BK51="✓",BK$4&lt;&gt;""),BK$4&amp;"; ","")&amp;IF(AND(BL51="✓",BL$4&lt;&gt;""),BL$4&amp;"; ","")&amp;IF(AND(BM51="✓",BM$4&lt;&gt;""),BM$4&amp;"; ","")&amp;IF(AND(BN51="✓",BN$4&lt;&gt;""),BN$4&amp;"; ","")&amp;IF(AND(BO51="✓",BO$4&lt;&gt;""),BO$4&amp;"; ","")&amp;IF(AND(BP51="✓",BP$4&lt;&gt;""),BP$4&amp;"; ","")&amp;IF(AND(BQ51="✓",BQ$4&lt;&gt;""),BQ$4&amp;"; ","")&amp;IF(AND(BR51="✓",BR$4&lt;&gt;""),BR$4&amp;"; ","")&amp;IF(AND(BS51="✓",BS$4&lt;&gt;""),BS$4&amp;"; ","")&amp;IF(AND(BT51="✓",BT$4&lt;&gt;""),BT$4&amp;"; ","")&amp;IF(AND(BU51="✓",BU$4&lt;&gt;""),BU$4&amp;"; ","")&amp;IF(AND(BV51="✓",BV$4&lt;&gt;""),BV$4&amp;"; ","")&amp;IF(AND(BW51="✓",BW$4&lt;&gt;""),BW$4&amp;"; ","")&amp;IF(AND(BX51="✓",BX$4&lt;&gt;""),BX$4&amp;"; ","")&amp;IF(AND(BY51="✓",BY$4&lt;&gt;""),BY$4&amp;"; ","")&amp;IF(AND(BZ51="✓",BZ$4&lt;&gt;""),BZ$4&amp;"; ","")&amp;IF(AND(CA51="✓",CA$4&lt;&gt;""),CA$4&amp;"; ","")&amp;IF(AND(CB51="✓",CB$4&lt;&gt;""),CB$4&amp;"; ","")&amp;IF(AND(CC51="✓",CC$4&lt;&gt;""),CC$4&amp;"; ","")&amp;IF(AND(CD51="✓",CD$4&lt;&gt;""),CD$4&amp;"; ","")&amp;IF(AND(CE51="✓",CE$4&lt;&gt;""),CE$4&amp;"; ","")&amp;IF(AND(CF51="✓",CF$4&lt;&gt;""),CF$4&amp;"; ","")&amp;IF(AND(CG51="✓",CG$4&lt;&gt;""),CG$4&amp;"; ","")&amp;IF(AND(CH51="✓",CH$4&lt;&gt;""),CH$4&amp;"; ","")&amp;IF(AND(CI51="✓",CI$4&lt;&gt;""),CI$4&amp;"; ","")&amp;IF(AND(CJ51="✓",CJ$4&lt;&gt;""),CJ$4&amp;"; ","")&amp;IF(AND(CK51="✓",CK$4&lt;&gt;""),CK$4&amp;"; ","")&amp;IF(AND(CL51="✓",CL$4&lt;&gt;""),CL$4&amp;"; ","")&amp;IF(AND(CM51="✓",CM$4&lt;&gt;""),CM$4&amp;"; ","")&amp;IF(AND(CN51="✓",CN$4&lt;&gt;""),CN$4&amp;"; ","")&amp;IF(AND(CO51="✓",CO$4&lt;&gt;""),CO$4&amp;"; ","")</f>
        <v>OPP-62; </v>
      </c>
      <c r="CQ51" s="104" t="str">
        <f aca="false">IF($CP51="","",LEFT($CP51,LEN($CP51)-2))</f>
        <v>OPP-62</v>
      </c>
      <c r="CR51" s="234" t="n">
        <f aca="false">IF($A51="","",COUNTIF($D51:$CO51,"✓"))</f>
        <v>1</v>
      </c>
    </row>
    <row r="52" customFormat="false" ht="21.75" hidden="false" customHeight="true" outlineLevel="0" collapsed="false">
      <c r="A52" s="231" t="str">
        <f aca="false">IF(03_能力總表_Master!$A52="","",03_能力總表_Master!$A52)</f>
        <v>CAP-048</v>
      </c>
      <c r="B52" s="166" t="str">
        <f aca="false">IF(03_能力總表_Master!$A52="","",03_能力總表_Master!$B52)</f>
        <v>D08 人才與技轉</v>
      </c>
      <c r="C52" s="95" t="str">
        <f aca="false">IF(03_能力總表_Master!$A52="","",03_能力總表_Master!$E52)</f>
        <v>模擬中心與開院演練</v>
      </c>
      <c r="D52" s="232"/>
      <c r="E52" s="232"/>
      <c r="F52" s="232"/>
      <c r="G52" s="232"/>
      <c r="H52" s="232"/>
      <c r="I52" s="232"/>
      <c r="J52" s="232"/>
      <c r="K52" s="232"/>
      <c r="L52" s="232"/>
      <c r="M52" s="232"/>
      <c r="N52" s="232"/>
      <c r="O52" s="232"/>
      <c r="P52" s="232"/>
      <c r="Q52" s="232"/>
      <c r="R52" s="232"/>
      <c r="S52" s="232"/>
      <c r="T52" s="232"/>
      <c r="U52" s="232"/>
      <c r="V52" s="232"/>
      <c r="W52" s="232"/>
      <c r="X52" s="232"/>
      <c r="Y52" s="232"/>
      <c r="Z52" s="232"/>
      <c r="AA52" s="232"/>
      <c r="AB52" s="232"/>
      <c r="AC52" s="232"/>
      <c r="AD52" s="232"/>
      <c r="AE52" s="232"/>
      <c r="AF52" s="232"/>
      <c r="AG52" s="232"/>
      <c r="AH52" s="232"/>
      <c r="AI52" s="232"/>
      <c r="AJ52" s="232"/>
      <c r="AK52" s="232"/>
      <c r="AL52" s="232"/>
      <c r="AM52" s="232"/>
      <c r="AN52" s="232"/>
      <c r="AO52" s="232"/>
      <c r="AP52" s="232"/>
      <c r="AQ52" s="232"/>
      <c r="AR52" s="232"/>
      <c r="AS52" s="232"/>
      <c r="AT52" s="232"/>
      <c r="AU52" s="232"/>
      <c r="AV52" s="232"/>
      <c r="AW52" s="232"/>
      <c r="AX52" s="232"/>
      <c r="AY52" s="232"/>
      <c r="AZ52" s="232"/>
      <c r="BA52" s="232"/>
      <c r="BB52" s="232"/>
      <c r="BC52" s="232"/>
      <c r="BD52" s="232"/>
      <c r="BE52" s="232"/>
      <c r="BF52" s="232"/>
      <c r="BG52" s="232"/>
      <c r="BH52" s="232"/>
      <c r="BI52" s="232"/>
      <c r="BJ52" s="232"/>
      <c r="BK52" s="232"/>
      <c r="BL52" s="232"/>
      <c r="BM52" s="232" t="s">
        <v>1305</v>
      </c>
      <c r="BN52" s="232" t="s">
        <v>1305</v>
      </c>
      <c r="BO52" s="232"/>
      <c r="BP52" s="232"/>
      <c r="BQ52" s="232"/>
      <c r="BR52" s="232"/>
      <c r="BS52" s="232"/>
      <c r="BT52" s="232"/>
      <c r="BU52" s="232"/>
      <c r="BV52" s="232"/>
      <c r="BW52" s="232"/>
      <c r="BX52" s="232"/>
      <c r="BY52" s="232"/>
      <c r="BZ52" s="232"/>
      <c r="CA52" s="232"/>
      <c r="CB52" s="232"/>
      <c r="CC52" s="232"/>
      <c r="CD52" s="232"/>
      <c r="CE52" s="232"/>
      <c r="CF52" s="232"/>
      <c r="CG52" s="232"/>
      <c r="CH52" s="232"/>
      <c r="CI52" s="232"/>
      <c r="CJ52" s="232"/>
      <c r="CK52" s="232"/>
      <c r="CL52" s="232"/>
      <c r="CM52" s="232"/>
      <c r="CN52" s="232"/>
      <c r="CO52" s="232"/>
      <c r="CP52" s="233" t="str">
        <f aca="false">IF(AND(D52="✓",D$4&lt;&gt;""),D$4&amp;"; ","")&amp;IF(AND(E52="✓",E$4&lt;&gt;""),E$4&amp;"; ","")&amp;IF(AND(F52="✓",F$4&lt;&gt;""),F$4&amp;"; ","")&amp;IF(AND(G52="✓",G$4&lt;&gt;""),G$4&amp;"; ","")&amp;IF(AND(H52="✓",H$4&lt;&gt;""),H$4&amp;"; ","")&amp;IF(AND(I52="✓",I$4&lt;&gt;""),I$4&amp;"; ","")&amp;IF(AND(J52="✓",J$4&lt;&gt;""),J$4&amp;"; ","")&amp;IF(AND(K52="✓",K$4&lt;&gt;""),K$4&amp;"; ","")&amp;IF(AND(L52="✓",L$4&lt;&gt;""),L$4&amp;"; ","")&amp;IF(AND(M52="✓",M$4&lt;&gt;""),M$4&amp;"; ","")&amp;IF(AND(N52="✓",N$4&lt;&gt;""),N$4&amp;"; ","")&amp;IF(AND(O52="✓",O$4&lt;&gt;""),O$4&amp;"; ","")&amp;IF(AND(P52="✓",P$4&lt;&gt;""),P$4&amp;"; ","")&amp;IF(AND(Q52="✓",Q$4&lt;&gt;""),Q$4&amp;"; ","")&amp;IF(AND(R52="✓",R$4&lt;&gt;""),R$4&amp;"; ","")&amp;IF(AND(S52="✓",S$4&lt;&gt;""),S$4&amp;"; ","")&amp;IF(AND(T52="✓",T$4&lt;&gt;""),T$4&amp;"; ","")&amp;IF(AND(U52="✓",U$4&lt;&gt;""),U$4&amp;"; ","")&amp;IF(AND(V52="✓",V$4&lt;&gt;""),V$4&amp;"; ","")&amp;IF(AND(W52="✓",W$4&lt;&gt;""),W$4&amp;"; ","")&amp;IF(AND(X52="✓",X$4&lt;&gt;""),X$4&amp;"; ","")&amp;IF(AND(Y52="✓",Y$4&lt;&gt;""),Y$4&amp;"; ","")&amp;IF(AND(Z52="✓",Z$4&lt;&gt;""),Z$4&amp;"; ","")&amp;IF(AND(AA52="✓",AA$4&lt;&gt;""),AA$4&amp;"; ","")&amp;IF(AND(AB52="✓",AB$4&lt;&gt;""),AB$4&amp;"; ","")&amp;IF(AND(AC52="✓",AC$4&lt;&gt;""),AC$4&amp;"; ","")&amp;IF(AND(AD52="✓",AD$4&lt;&gt;""),AD$4&amp;"; ","")&amp;IF(AND(AE52="✓",AE$4&lt;&gt;""),AE$4&amp;"; ","")&amp;IF(AND(AF52="✓",AF$4&lt;&gt;""),AF$4&amp;"; ","")&amp;IF(AND(AG52="✓",AG$4&lt;&gt;""),AG$4&amp;"; ","")&amp;IF(AND(AH52="✓",AH$4&lt;&gt;""),AH$4&amp;"; ","")&amp;IF(AND(AI52="✓",AI$4&lt;&gt;""),AI$4&amp;"; ","")&amp;IF(AND(AJ52="✓",AJ$4&lt;&gt;""),AJ$4&amp;"; ","")&amp;IF(AND(AK52="✓",AK$4&lt;&gt;""),AK$4&amp;"; ","")&amp;IF(AND(AL52="✓",AL$4&lt;&gt;""),AL$4&amp;"; ","")&amp;IF(AND(AM52="✓",AM$4&lt;&gt;""),AM$4&amp;"; ","")&amp;IF(AND(AN52="✓",AN$4&lt;&gt;""),AN$4&amp;"; ","")&amp;IF(AND(AO52="✓",AO$4&lt;&gt;""),AO$4&amp;"; ","")&amp;IF(AND(AP52="✓",AP$4&lt;&gt;""),AP$4&amp;"; ","")&amp;IF(AND(AQ52="✓",AQ$4&lt;&gt;""),AQ$4&amp;"; ","")&amp;IF(AND(AR52="✓",AR$4&lt;&gt;""),AR$4&amp;"; ","")&amp;IF(AND(AS52="✓",AS$4&lt;&gt;""),AS$4&amp;"; ","")&amp;IF(AND(AT52="✓",AT$4&lt;&gt;""),AT$4&amp;"; ","")&amp;IF(AND(AU52="✓",AU$4&lt;&gt;""),AU$4&amp;"; ","")&amp;IF(AND(AV52="✓",AV$4&lt;&gt;""),AV$4&amp;"; ","")&amp;IF(AND(AW52="✓",AW$4&lt;&gt;""),AW$4&amp;"; ","")&amp;IF(AND(AX52="✓",AX$4&lt;&gt;""),AX$4&amp;"; ","")&amp;IF(AND(AY52="✓",AY$4&lt;&gt;""),AY$4&amp;"; ","")&amp;IF(AND(AZ52="✓",AZ$4&lt;&gt;""),AZ$4&amp;"; ","")&amp;IF(AND(BA52="✓",BA$4&lt;&gt;""),BA$4&amp;"; ","")&amp;IF(AND(BB52="✓",BB$4&lt;&gt;""),BB$4&amp;"; ","")&amp;IF(AND(BC52="✓",BC$4&lt;&gt;""),BC$4&amp;"; ","")&amp;IF(AND(BD52="✓",BD$4&lt;&gt;""),BD$4&amp;"; ","")&amp;IF(AND(BE52="✓",BE$4&lt;&gt;""),BE$4&amp;"; ","")&amp;IF(AND(BF52="✓",BF$4&lt;&gt;""),BF$4&amp;"; ","")&amp;IF(AND(BG52="✓",BG$4&lt;&gt;""),BG$4&amp;"; ","")&amp;IF(AND(BH52="✓",BH$4&lt;&gt;""),BH$4&amp;"; ","")&amp;IF(AND(BI52="✓",BI$4&lt;&gt;""),BI$4&amp;"; ","")&amp;IF(AND(BJ52="✓",BJ$4&lt;&gt;""),BJ$4&amp;"; ","")&amp;IF(AND(BK52="✓",BK$4&lt;&gt;""),BK$4&amp;"; ","")&amp;IF(AND(BL52="✓",BL$4&lt;&gt;""),BL$4&amp;"; ","")&amp;IF(AND(BM52="✓",BM$4&lt;&gt;""),BM$4&amp;"; ","")&amp;IF(AND(BN52="✓",BN$4&lt;&gt;""),BN$4&amp;"; ","")&amp;IF(AND(BO52="✓",BO$4&lt;&gt;""),BO$4&amp;"; ","")&amp;IF(AND(BP52="✓",BP$4&lt;&gt;""),BP$4&amp;"; ","")&amp;IF(AND(BQ52="✓",BQ$4&lt;&gt;""),BQ$4&amp;"; ","")&amp;IF(AND(BR52="✓",BR$4&lt;&gt;""),BR$4&amp;"; ","")&amp;IF(AND(BS52="✓",BS$4&lt;&gt;""),BS$4&amp;"; ","")&amp;IF(AND(BT52="✓",BT$4&lt;&gt;""),BT$4&amp;"; ","")&amp;IF(AND(BU52="✓",BU$4&lt;&gt;""),BU$4&amp;"; ","")&amp;IF(AND(BV52="✓",BV$4&lt;&gt;""),BV$4&amp;"; ","")&amp;IF(AND(BW52="✓",BW$4&lt;&gt;""),BW$4&amp;"; ","")&amp;IF(AND(BX52="✓",BX$4&lt;&gt;""),BX$4&amp;"; ","")&amp;IF(AND(BY52="✓",BY$4&lt;&gt;""),BY$4&amp;"; ","")&amp;IF(AND(BZ52="✓",BZ$4&lt;&gt;""),BZ$4&amp;"; ","")&amp;IF(AND(CA52="✓",CA$4&lt;&gt;""),CA$4&amp;"; ","")&amp;IF(AND(CB52="✓",CB$4&lt;&gt;""),CB$4&amp;"; ","")&amp;IF(AND(CC52="✓",CC$4&lt;&gt;""),CC$4&amp;"; ","")&amp;IF(AND(CD52="✓",CD$4&lt;&gt;""),CD$4&amp;"; ","")&amp;IF(AND(CE52="✓",CE$4&lt;&gt;""),CE$4&amp;"; ","")&amp;IF(AND(CF52="✓",CF$4&lt;&gt;""),CF$4&amp;"; ","")&amp;IF(AND(CG52="✓",CG$4&lt;&gt;""),CG$4&amp;"; ","")&amp;IF(AND(CH52="✓",CH$4&lt;&gt;""),CH$4&amp;"; ","")&amp;IF(AND(CI52="✓",CI$4&lt;&gt;""),CI$4&amp;"; ","")&amp;IF(AND(CJ52="✓",CJ$4&lt;&gt;""),CJ$4&amp;"; ","")&amp;IF(AND(CK52="✓",CK$4&lt;&gt;""),CK$4&amp;"; ","")&amp;IF(AND(CL52="✓",CL$4&lt;&gt;""),CL$4&amp;"; ","")&amp;IF(AND(CM52="✓",CM$4&lt;&gt;""),CM$4&amp;"; ","")&amp;IF(AND(CN52="✓",CN$4&lt;&gt;""),CN$4&amp;"; ","")&amp;IF(AND(CO52="✓",CO$4&lt;&gt;""),CO$4&amp;"; ","")</f>
        <v>OPP-62; OPP-63; </v>
      </c>
      <c r="CQ52" s="104" t="str">
        <f aca="false">IF($CP52="","",LEFT($CP52,LEN($CP52)-2))</f>
        <v>OPP-62; OPP-63</v>
      </c>
      <c r="CR52" s="234" t="n">
        <f aca="false">IF($A52="","",COUNTIF($D52:$CO52,"✓"))</f>
        <v>2</v>
      </c>
    </row>
    <row r="53" customFormat="false" ht="21.75" hidden="false" customHeight="true" outlineLevel="0" collapsed="false">
      <c r="A53" s="231" t="str">
        <f aca="false">IF(03_能力總表_Master!$A53="","",03_能力總表_Master!$A53)</f>
        <v>CAP-049</v>
      </c>
      <c r="B53" s="166" t="str">
        <f aca="false">IF(03_能力總表_Master!$A53="","",03_能力總表_Master!$B53)</f>
        <v>D08 人才與技轉</v>
      </c>
      <c r="C53" s="95" t="str">
        <f aca="false">IF(03_能力總表_Master!$A53="","",03_能力總表_Master!$E53)</f>
        <v>變革管理與使用者採納</v>
      </c>
      <c r="D53" s="232"/>
      <c r="E53" s="232"/>
      <c r="F53" s="232"/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  <c r="AA53" s="232"/>
      <c r="AB53" s="232"/>
      <c r="AC53" s="232"/>
      <c r="AD53" s="232"/>
      <c r="AE53" s="232"/>
      <c r="AF53" s="232"/>
      <c r="AG53" s="232"/>
      <c r="AH53" s="232"/>
      <c r="AI53" s="232"/>
      <c r="AJ53" s="232"/>
      <c r="AK53" s="232"/>
      <c r="AL53" s="232"/>
      <c r="AM53" s="232"/>
      <c r="AN53" s="232"/>
      <c r="AO53" s="232"/>
      <c r="AP53" s="232"/>
      <c r="AQ53" s="232"/>
      <c r="AR53" s="232"/>
      <c r="AS53" s="232"/>
      <c r="AT53" s="232"/>
      <c r="AU53" s="232"/>
      <c r="AV53" s="232"/>
      <c r="AW53" s="232"/>
      <c r="AX53" s="232"/>
      <c r="AY53" s="232"/>
      <c r="AZ53" s="232"/>
      <c r="BA53" s="232"/>
      <c r="BB53" s="232"/>
      <c r="BC53" s="232"/>
      <c r="BD53" s="232"/>
      <c r="BE53" s="232"/>
      <c r="BF53" s="232"/>
      <c r="BG53" s="232"/>
      <c r="BH53" s="232"/>
      <c r="BI53" s="232"/>
      <c r="BJ53" s="232"/>
      <c r="BK53" s="232"/>
      <c r="BL53" s="232"/>
      <c r="BM53" s="232" t="s">
        <v>1305</v>
      </c>
      <c r="BN53" s="232" t="s">
        <v>1305</v>
      </c>
      <c r="BO53" s="232"/>
      <c r="BP53" s="232"/>
      <c r="BQ53" s="232"/>
      <c r="BR53" s="232"/>
      <c r="BS53" s="232"/>
      <c r="BT53" s="232"/>
      <c r="BU53" s="232"/>
      <c r="BV53" s="232"/>
      <c r="BW53" s="232"/>
      <c r="BX53" s="232"/>
      <c r="BY53" s="232"/>
      <c r="BZ53" s="232"/>
      <c r="CA53" s="232"/>
      <c r="CB53" s="232"/>
      <c r="CC53" s="232"/>
      <c r="CD53" s="232"/>
      <c r="CE53" s="232"/>
      <c r="CF53" s="232"/>
      <c r="CG53" s="232"/>
      <c r="CH53" s="232"/>
      <c r="CI53" s="232"/>
      <c r="CJ53" s="232"/>
      <c r="CK53" s="232"/>
      <c r="CL53" s="232"/>
      <c r="CM53" s="232"/>
      <c r="CN53" s="232"/>
      <c r="CO53" s="232"/>
      <c r="CP53" s="233" t="str">
        <f aca="false">IF(AND(D53="✓",D$4&lt;&gt;""),D$4&amp;"; ","")&amp;IF(AND(E53="✓",E$4&lt;&gt;""),E$4&amp;"; ","")&amp;IF(AND(F53="✓",F$4&lt;&gt;""),F$4&amp;"; ","")&amp;IF(AND(G53="✓",G$4&lt;&gt;""),G$4&amp;"; ","")&amp;IF(AND(H53="✓",H$4&lt;&gt;""),H$4&amp;"; ","")&amp;IF(AND(I53="✓",I$4&lt;&gt;""),I$4&amp;"; ","")&amp;IF(AND(J53="✓",J$4&lt;&gt;""),J$4&amp;"; ","")&amp;IF(AND(K53="✓",K$4&lt;&gt;""),K$4&amp;"; ","")&amp;IF(AND(L53="✓",L$4&lt;&gt;""),L$4&amp;"; ","")&amp;IF(AND(M53="✓",M$4&lt;&gt;""),M$4&amp;"; ","")&amp;IF(AND(N53="✓",N$4&lt;&gt;""),N$4&amp;"; ","")&amp;IF(AND(O53="✓",O$4&lt;&gt;""),O$4&amp;"; ","")&amp;IF(AND(P53="✓",P$4&lt;&gt;""),P$4&amp;"; ","")&amp;IF(AND(Q53="✓",Q$4&lt;&gt;""),Q$4&amp;"; ","")&amp;IF(AND(R53="✓",R$4&lt;&gt;""),R$4&amp;"; ","")&amp;IF(AND(S53="✓",S$4&lt;&gt;""),S$4&amp;"; ","")&amp;IF(AND(T53="✓",T$4&lt;&gt;""),T$4&amp;"; ","")&amp;IF(AND(U53="✓",U$4&lt;&gt;""),U$4&amp;"; ","")&amp;IF(AND(V53="✓",V$4&lt;&gt;""),V$4&amp;"; ","")&amp;IF(AND(W53="✓",W$4&lt;&gt;""),W$4&amp;"; ","")&amp;IF(AND(X53="✓",X$4&lt;&gt;""),X$4&amp;"; ","")&amp;IF(AND(Y53="✓",Y$4&lt;&gt;""),Y$4&amp;"; ","")&amp;IF(AND(Z53="✓",Z$4&lt;&gt;""),Z$4&amp;"; ","")&amp;IF(AND(AA53="✓",AA$4&lt;&gt;""),AA$4&amp;"; ","")&amp;IF(AND(AB53="✓",AB$4&lt;&gt;""),AB$4&amp;"; ","")&amp;IF(AND(AC53="✓",AC$4&lt;&gt;""),AC$4&amp;"; ","")&amp;IF(AND(AD53="✓",AD$4&lt;&gt;""),AD$4&amp;"; ","")&amp;IF(AND(AE53="✓",AE$4&lt;&gt;""),AE$4&amp;"; ","")&amp;IF(AND(AF53="✓",AF$4&lt;&gt;""),AF$4&amp;"; ","")&amp;IF(AND(AG53="✓",AG$4&lt;&gt;""),AG$4&amp;"; ","")&amp;IF(AND(AH53="✓",AH$4&lt;&gt;""),AH$4&amp;"; ","")&amp;IF(AND(AI53="✓",AI$4&lt;&gt;""),AI$4&amp;"; ","")&amp;IF(AND(AJ53="✓",AJ$4&lt;&gt;""),AJ$4&amp;"; ","")&amp;IF(AND(AK53="✓",AK$4&lt;&gt;""),AK$4&amp;"; ","")&amp;IF(AND(AL53="✓",AL$4&lt;&gt;""),AL$4&amp;"; ","")&amp;IF(AND(AM53="✓",AM$4&lt;&gt;""),AM$4&amp;"; ","")&amp;IF(AND(AN53="✓",AN$4&lt;&gt;""),AN$4&amp;"; ","")&amp;IF(AND(AO53="✓",AO$4&lt;&gt;""),AO$4&amp;"; ","")&amp;IF(AND(AP53="✓",AP$4&lt;&gt;""),AP$4&amp;"; ","")&amp;IF(AND(AQ53="✓",AQ$4&lt;&gt;""),AQ$4&amp;"; ","")&amp;IF(AND(AR53="✓",AR$4&lt;&gt;""),AR$4&amp;"; ","")&amp;IF(AND(AS53="✓",AS$4&lt;&gt;""),AS$4&amp;"; ","")&amp;IF(AND(AT53="✓",AT$4&lt;&gt;""),AT$4&amp;"; ","")&amp;IF(AND(AU53="✓",AU$4&lt;&gt;""),AU$4&amp;"; ","")&amp;IF(AND(AV53="✓",AV$4&lt;&gt;""),AV$4&amp;"; ","")&amp;IF(AND(AW53="✓",AW$4&lt;&gt;""),AW$4&amp;"; ","")&amp;IF(AND(AX53="✓",AX$4&lt;&gt;""),AX$4&amp;"; ","")&amp;IF(AND(AY53="✓",AY$4&lt;&gt;""),AY$4&amp;"; ","")&amp;IF(AND(AZ53="✓",AZ$4&lt;&gt;""),AZ$4&amp;"; ","")&amp;IF(AND(BA53="✓",BA$4&lt;&gt;""),BA$4&amp;"; ","")&amp;IF(AND(BB53="✓",BB$4&lt;&gt;""),BB$4&amp;"; ","")&amp;IF(AND(BC53="✓",BC$4&lt;&gt;""),BC$4&amp;"; ","")&amp;IF(AND(BD53="✓",BD$4&lt;&gt;""),BD$4&amp;"; ","")&amp;IF(AND(BE53="✓",BE$4&lt;&gt;""),BE$4&amp;"; ","")&amp;IF(AND(BF53="✓",BF$4&lt;&gt;""),BF$4&amp;"; ","")&amp;IF(AND(BG53="✓",BG$4&lt;&gt;""),BG$4&amp;"; ","")&amp;IF(AND(BH53="✓",BH$4&lt;&gt;""),BH$4&amp;"; ","")&amp;IF(AND(BI53="✓",BI$4&lt;&gt;""),BI$4&amp;"; ","")&amp;IF(AND(BJ53="✓",BJ$4&lt;&gt;""),BJ$4&amp;"; ","")&amp;IF(AND(BK53="✓",BK$4&lt;&gt;""),BK$4&amp;"; ","")&amp;IF(AND(BL53="✓",BL$4&lt;&gt;""),BL$4&amp;"; ","")&amp;IF(AND(BM53="✓",BM$4&lt;&gt;""),BM$4&amp;"; ","")&amp;IF(AND(BN53="✓",BN$4&lt;&gt;""),BN$4&amp;"; ","")&amp;IF(AND(BO53="✓",BO$4&lt;&gt;""),BO$4&amp;"; ","")&amp;IF(AND(BP53="✓",BP$4&lt;&gt;""),BP$4&amp;"; ","")&amp;IF(AND(BQ53="✓",BQ$4&lt;&gt;""),BQ$4&amp;"; ","")&amp;IF(AND(BR53="✓",BR$4&lt;&gt;""),BR$4&amp;"; ","")&amp;IF(AND(BS53="✓",BS$4&lt;&gt;""),BS$4&amp;"; ","")&amp;IF(AND(BT53="✓",BT$4&lt;&gt;""),BT$4&amp;"; ","")&amp;IF(AND(BU53="✓",BU$4&lt;&gt;""),BU$4&amp;"; ","")&amp;IF(AND(BV53="✓",BV$4&lt;&gt;""),BV$4&amp;"; ","")&amp;IF(AND(BW53="✓",BW$4&lt;&gt;""),BW$4&amp;"; ","")&amp;IF(AND(BX53="✓",BX$4&lt;&gt;""),BX$4&amp;"; ","")&amp;IF(AND(BY53="✓",BY$4&lt;&gt;""),BY$4&amp;"; ","")&amp;IF(AND(BZ53="✓",BZ$4&lt;&gt;""),BZ$4&amp;"; ","")&amp;IF(AND(CA53="✓",CA$4&lt;&gt;""),CA$4&amp;"; ","")&amp;IF(AND(CB53="✓",CB$4&lt;&gt;""),CB$4&amp;"; ","")&amp;IF(AND(CC53="✓",CC$4&lt;&gt;""),CC$4&amp;"; ","")&amp;IF(AND(CD53="✓",CD$4&lt;&gt;""),CD$4&amp;"; ","")&amp;IF(AND(CE53="✓",CE$4&lt;&gt;""),CE$4&amp;"; ","")&amp;IF(AND(CF53="✓",CF$4&lt;&gt;""),CF$4&amp;"; ","")&amp;IF(AND(CG53="✓",CG$4&lt;&gt;""),CG$4&amp;"; ","")&amp;IF(AND(CH53="✓",CH$4&lt;&gt;""),CH$4&amp;"; ","")&amp;IF(AND(CI53="✓",CI$4&lt;&gt;""),CI$4&amp;"; ","")&amp;IF(AND(CJ53="✓",CJ$4&lt;&gt;""),CJ$4&amp;"; ","")&amp;IF(AND(CK53="✓",CK$4&lt;&gt;""),CK$4&amp;"; ","")&amp;IF(AND(CL53="✓",CL$4&lt;&gt;""),CL$4&amp;"; ","")&amp;IF(AND(CM53="✓",CM$4&lt;&gt;""),CM$4&amp;"; ","")&amp;IF(AND(CN53="✓",CN$4&lt;&gt;""),CN$4&amp;"; ","")&amp;IF(AND(CO53="✓",CO$4&lt;&gt;""),CO$4&amp;"; ","")</f>
        <v>OPP-62; OPP-63; </v>
      </c>
      <c r="CQ53" s="104" t="str">
        <f aca="false">IF($CP53="","",LEFT($CP53,LEN($CP53)-2))</f>
        <v>OPP-62; OPP-63</v>
      </c>
      <c r="CR53" s="234" t="n">
        <f aca="false">IF($A53="","",COUNTIF($D53:$CO53,"✓"))</f>
        <v>2</v>
      </c>
    </row>
    <row r="54" customFormat="false" ht="21.75" hidden="false" customHeight="true" outlineLevel="0" collapsed="false">
      <c r="A54" s="231" t="str">
        <f aca="false">IF(03_能力總表_Master!$A54="","",03_能力總表_Master!$A54)</f>
        <v>CAP-050</v>
      </c>
      <c r="B54" s="166" t="str">
        <f aca="false">IF(03_能力總表_Master!$A54="","",03_能力總表_Master!$B54)</f>
        <v>D09 供應鏈與維運</v>
      </c>
      <c r="C54" s="95" t="str">
        <f aca="false">IF(03_能力總表_Master!$A54="","",03_能力總表_Master!$E54)</f>
        <v>整合採購與供應商治理</v>
      </c>
      <c r="D54" s="232"/>
      <c r="E54" s="232"/>
      <c r="F54" s="232"/>
      <c r="G54" s="232"/>
      <c r="H54" s="232"/>
      <c r="I54" s="232"/>
      <c r="J54" s="232"/>
      <c r="K54" s="232"/>
      <c r="L54" s="232"/>
      <c r="M54" s="232"/>
      <c r="N54" s="232"/>
      <c r="O54" s="232"/>
      <c r="P54" s="232"/>
      <c r="Q54" s="232"/>
      <c r="R54" s="232"/>
      <c r="S54" s="232"/>
      <c r="T54" s="232"/>
      <c r="U54" s="232"/>
      <c r="V54" s="232"/>
      <c r="W54" s="232"/>
      <c r="X54" s="232"/>
      <c r="Y54" s="232"/>
      <c r="Z54" s="232"/>
      <c r="AA54" s="232"/>
      <c r="AB54" s="232"/>
      <c r="AC54" s="232"/>
      <c r="AD54" s="232"/>
      <c r="AE54" s="232"/>
      <c r="AF54" s="232"/>
      <c r="AG54" s="232"/>
      <c r="AH54" s="232"/>
      <c r="AI54" s="232"/>
      <c r="AJ54" s="232"/>
      <c r="AK54" s="232"/>
      <c r="AL54" s="232"/>
      <c r="AM54" s="232"/>
      <c r="AN54" s="232"/>
      <c r="AO54" s="232"/>
      <c r="AP54" s="232"/>
      <c r="AQ54" s="232"/>
      <c r="AR54" s="232"/>
      <c r="AS54" s="232"/>
      <c r="AT54" s="232"/>
      <c r="AU54" s="232"/>
      <c r="AV54" s="232"/>
      <c r="AW54" s="232"/>
      <c r="AX54" s="232"/>
      <c r="AY54" s="232"/>
      <c r="AZ54" s="232"/>
      <c r="BA54" s="232"/>
      <c r="BB54" s="232"/>
      <c r="BC54" s="232"/>
      <c r="BD54" s="232" t="s">
        <v>1305</v>
      </c>
      <c r="BE54" s="232"/>
      <c r="BF54" s="232"/>
      <c r="BG54" s="232"/>
      <c r="BH54" s="232"/>
      <c r="BI54" s="232"/>
      <c r="BJ54" s="232"/>
      <c r="BK54" s="232"/>
      <c r="BL54" s="232"/>
      <c r="BM54" s="232"/>
      <c r="BN54" s="232"/>
      <c r="BO54" s="232" t="s">
        <v>1305</v>
      </c>
      <c r="BP54" s="232"/>
      <c r="BQ54" s="232"/>
      <c r="BR54" s="232"/>
      <c r="BS54" s="232"/>
      <c r="BT54" s="232"/>
      <c r="BU54" s="232"/>
      <c r="BV54" s="232"/>
      <c r="BW54" s="232"/>
      <c r="BX54" s="232"/>
      <c r="BY54" s="232"/>
      <c r="BZ54" s="232"/>
      <c r="CA54" s="232"/>
      <c r="CB54" s="232"/>
      <c r="CC54" s="232"/>
      <c r="CD54" s="232"/>
      <c r="CE54" s="232"/>
      <c r="CF54" s="232"/>
      <c r="CG54" s="232"/>
      <c r="CH54" s="232"/>
      <c r="CI54" s="232"/>
      <c r="CJ54" s="232"/>
      <c r="CK54" s="232"/>
      <c r="CL54" s="232"/>
      <c r="CM54" s="232"/>
      <c r="CN54" s="232"/>
      <c r="CO54" s="232"/>
      <c r="CP54" s="233" t="str">
        <f aca="false">IF(AND(D54="✓",D$4&lt;&gt;""),D$4&amp;"; ","")&amp;IF(AND(E54="✓",E$4&lt;&gt;""),E$4&amp;"; ","")&amp;IF(AND(F54="✓",F$4&lt;&gt;""),F$4&amp;"; ","")&amp;IF(AND(G54="✓",G$4&lt;&gt;""),G$4&amp;"; ","")&amp;IF(AND(H54="✓",H$4&lt;&gt;""),H$4&amp;"; ","")&amp;IF(AND(I54="✓",I$4&lt;&gt;""),I$4&amp;"; ","")&amp;IF(AND(J54="✓",J$4&lt;&gt;""),J$4&amp;"; ","")&amp;IF(AND(K54="✓",K$4&lt;&gt;""),K$4&amp;"; ","")&amp;IF(AND(L54="✓",L$4&lt;&gt;""),L$4&amp;"; ","")&amp;IF(AND(M54="✓",M$4&lt;&gt;""),M$4&amp;"; ","")&amp;IF(AND(N54="✓",N$4&lt;&gt;""),N$4&amp;"; ","")&amp;IF(AND(O54="✓",O$4&lt;&gt;""),O$4&amp;"; ","")&amp;IF(AND(P54="✓",P$4&lt;&gt;""),P$4&amp;"; ","")&amp;IF(AND(Q54="✓",Q$4&lt;&gt;""),Q$4&amp;"; ","")&amp;IF(AND(R54="✓",R$4&lt;&gt;""),R$4&amp;"; ","")&amp;IF(AND(S54="✓",S$4&lt;&gt;""),S$4&amp;"; ","")&amp;IF(AND(T54="✓",T$4&lt;&gt;""),T$4&amp;"; ","")&amp;IF(AND(U54="✓",U$4&lt;&gt;""),U$4&amp;"; ","")&amp;IF(AND(V54="✓",V$4&lt;&gt;""),V$4&amp;"; ","")&amp;IF(AND(W54="✓",W$4&lt;&gt;""),W$4&amp;"; ","")&amp;IF(AND(X54="✓",X$4&lt;&gt;""),X$4&amp;"; ","")&amp;IF(AND(Y54="✓",Y$4&lt;&gt;""),Y$4&amp;"; ","")&amp;IF(AND(Z54="✓",Z$4&lt;&gt;""),Z$4&amp;"; ","")&amp;IF(AND(AA54="✓",AA$4&lt;&gt;""),AA$4&amp;"; ","")&amp;IF(AND(AB54="✓",AB$4&lt;&gt;""),AB$4&amp;"; ","")&amp;IF(AND(AC54="✓",AC$4&lt;&gt;""),AC$4&amp;"; ","")&amp;IF(AND(AD54="✓",AD$4&lt;&gt;""),AD$4&amp;"; ","")&amp;IF(AND(AE54="✓",AE$4&lt;&gt;""),AE$4&amp;"; ","")&amp;IF(AND(AF54="✓",AF$4&lt;&gt;""),AF$4&amp;"; ","")&amp;IF(AND(AG54="✓",AG$4&lt;&gt;""),AG$4&amp;"; ","")&amp;IF(AND(AH54="✓",AH$4&lt;&gt;""),AH$4&amp;"; ","")&amp;IF(AND(AI54="✓",AI$4&lt;&gt;""),AI$4&amp;"; ","")&amp;IF(AND(AJ54="✓",AJ$4&lt;&gt;""),AJ$4&amp;"; ","")&amp;IF(AND(AK54="✓",AK$4&lt;&gt;""),AK$4&amp;"; ","")&amp;IF(AND(AL54="✓",AL$4&lt;&gt;""),AL$4&amp;"; ","")&amp;IF(AND(AM54="✓",AM$4&lt;&gt;""),AM$4&amp;"; ","")&amp;IF(AND(AN54="✓",AN$4&lt;&gt;""),AN$4&amp;"; ","")&amp;IF(AND(AO54="✓",AO$4&lt;&gt;""),AO$4&amp;"; ","")&amp;IF(AND(AP54="✓",AP$4&lt;&gt;""),AP$4&amp;"; ","")&amp;IF(AND(AQ54="✓",AQ$4&lt;&gt;""),AQ$4&amp;"; ","")&amp;IF(AND(AR54="✓",AR$4&lt;&gt;""),AR$4&amp;"; ","")&amp;IF(AND(AS54="✓",AS$4&lt;&gt;""),AS$4&amp;"; ","")&amp;IF(AND(AT54="✓",AT$4&lt;&gt;""),AT$4&amp;"; ","")&amp;IF(AND(AU54="✓",AU$4&lt;&gt;""),AU$4&amp;"; ","")&amp;IF(AND(AV54="✓",AV$4&lt;&gt;""),AV$4&amp;"; ","")&amp;IF(AND(AW54="✓",AW$4&lt;&gt;""),AW$4&amp;"; ","")&amp;IF(AND(AX54="✓",AX$4&lt;&gt;""),AX$4&amp;"; ","")&amp;IF(AND(AY54="✓",AY$4&lt;&gt;""),AY$4&amp;"; ","")&amp;IF(AND(AZ54="✓",AZ$4&lt;&gt;""),AZ$4&amp;"; ","")&amp;IF(AND(BA54="✓",BA$4&lt;&gt;""),BA$4&amp;"; ","")&amp;IF(AND(BB54="✓",BB$4&lt;&gt;""),BB$4&amp;"; ","")&amp;IF(AND(BC54="✓",BC$4&lt;&gt;""),BC$4&amp;"; ","")&amp;IF(AND(BD54="✓",BD$4&lt;&gt;""),BD$4&amp;"; ","")&amp;IF(AND(BE54="✓",BE$4&lt;&gt;""),BE$4&amp;"; ","")&amp;IF(AND(BF54="✓",BF$4&lt;&gt;""),BF$4&amp;"; ","")&amp;IF(AND(BG54="✓",BG$4&lt;&gt;""),BG$4&amp;"; ","")&amp;IF(AND(BH54="✓",BH$4&lt;&gt;""),BH$4&amp;"; ","")&amp;IF(AND(BI54="✓",BI$4&lt;&gt;""),BI$4&amp;"; ","")&amp;IF(AND(BJ54="✓",BJ$4&lt;&gt;""),BJ$4&amp;"; ","")&amp;IF(AND(BK54="✓",BK$4&lt;&gt;""),BK$4&amp;"; ","")&amp;IF(AND(BL54="✓",BL$4&lt;&gt;""),BL$4&amp;"; ","")&amp;IF(AND(BM54="✓",BM$4&lt;&gt;""),BM$4&amp;"; ","")&amp;IF(AND(BN54="✓",BN$4&lt;&gt;""),BN$4&amp;"; ","")&amp;IF(AND(BO54="✓",BO$4&lt;&gt;""),BO$4&amp;"; ","")&amp;IF(AND(BP54="✓",BP$4&lt;&gt;""),BP$4&amp;"; ","")&amp;IF(AND(BQ54="✓",BQ$4&lt;&gt;""),BQ$4&amp;"; ","")&amp;IF(AND(BR54="✓",BR$4&lt;&gt;""),BR$4&amp;"; ","")&amp;IF(AND(BS54="✓",BS$4&lt;&gt;""),BS$4&amp;"; ","")&amp;IF(AND(BT54="✓",BT$4&lt;&gt;""),BT$4&amp;"; ","")&amp;IF(AND(BU54="✓",BU$4&lt;&gt;""),BU$4&amp;"; ","")&amp;IF(AND(BV54="✓",BV$4&lt;&gt;""),BV$4&amp;"; ","")&amp;IF(AND(BW54="✓",BW$4&lt;&gt;""),BW$4&amp;"; ","")&amp;IF(AND(BX54="✓",BX$4&lt;&gt;""),BX$4&amp;"; ","")&amp;IF(AND(BY54="✓",BY$4&lt;&gt;""),BY$4&amp;"; ","")&amp;IF(AND(BZ54="✓",BZ$4&lt;&gt;""),BZ$4&amp;"; ","")&amp;IF(AND(CA54="✓",CA$4&lt;&gt;""),CA$4&amp;"; ","")&amp;IF(AND(CB54="✓",CB$4&lt;&gt;""),CB$4&amp;"; ","")&amp;IF(AND(CC54="✓",CC$4&lt;&gt;""),CC$4&amp;"; ","")&amp;IF(AND(CD54="✓",CD$4&lt;&gt;""),CD$4&amp;"; ","")&amp;IF(AND(CE54="✓",CE$4&lt;&gt;""),CE$4&amp;"; ","")&amp;IF(AND(CF54="✓",CF$4&lt;&gt;""),CF$4&amp;"; ","")&amp;IF(AND(CG54="✓",CG$4&lt;&gt;""),CG$4&amp;"; ","")&amp;IF(AND(CH54="✓",CH$4&lt;&gt;""),CH$4&amp;"; ","")&amp;IF(AND(CI54="✓",CI$4&lt;&gt;""),CI$4&amp;"; ","")&amp;IF(AND(CJ54="✓",CJ$4&lt;&gt;""),CJ$4&amp;"; ","")&amp;IF(AND(CK54="✓",CK$4&lt;&gt;""),CK$4&amp;"; ","")&amp;IF(AND(CL54="✓",CL$4&lt;&gt;""),CL$4&amp;"; ","")&amp;IF(AND(CM54="✓",CM$4&lt;&gt;""),CM$4&amp;"; ","")&amp;IF(AND(CN54="✓",CN$4&lt;&gt;""),CN$4&amp;"; ","")&amp;IF(AND(CO54="✓",CO$4&lt;&gt;""),CO$4&amp;"; ","")</f>
        <v>OPP-53; OPP-64; </v>
      </c>
      <c r="CQ54" s="104" t="str">
        <f aca="false">IF($CP54="","",LEFT($CP54,LEN($CP54)-2))</f>
        <v>OPP-53; OPP-64</v>
      </c>
      <c r="CR54" s="234" t="n">
        <f aca="false">IF($A54="","",COUNTIF($D54:$CO54,"✓"))</f>
        <v>2</v>
      </c>
    </row>
    <row r="55" customFormat="false" ht="21.75" hidden="false" customHeight="true" outlineLevel="0" collapsed="false">
      <c r="A55" s="231" t="str">
        <f aca="false">IF(03_能力總表_Master!$A55="","",03_能力總表_Master!$A55)</f>
        <v>CAP-051</v>
      </c>
      <c r="B55" s="166" t="str">
        <f aca="false">IF(03_能力總表_Master!$A55="","",03_能力總表_Master!$B55)</f>
        <v>D09 供應鏈與維運</v>
      </c>
      <c r="C55" s="95" t="str">
        <f aca="false">IF(03_能力總表_Master!$A55="","",03_能力總表_Master!$E55)</f>
        <v>藥品耗材與SPD物流</v>
      </c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  <c r="AA55" s="232"/>
      <c r="AB55" s="232"/>
      <c r="AC55" s="232"/>
      <c r="AD55" s="232"/>
      <c r="AE55" s="232"/>
      <c r="AF55" s="232"/>
      <c r="AG55" s="232"/>
      <c r="AH55" s="232"/>
      <c r="AI55" s="232"/>
      <c r="AJ55" s="232"/>
      <c r="AK55" s="232"/>
      <c r="AL55" s="232"/>
      <c r="AM55" s="232"/>
      <c r="AN55" s="232"/>
      <c r="AO55" s="232"/>
      <c r="AP55" s="232"/>
      <c r="AQ55" s="232"/>
      <c r="AR55" s="232"/>
      <c r="AS55" s="232"/>
      <c r="AT55" s="232"/>
      <c r="AU55" s="232"/>
      <c r="AV55" s="232"/>
      <c r="AW55" s="232"/>
      <c r="AX55" s="232"/>
      <c r="AY55" s="232"/>
      <c r="AZ55" s="232"/>
      <c r="BA55" s="232"/>
      <c r="BB55" s="232"/>
      <c r="BC55" s="232"/>
      <c r="BD55" s="232" t="s">
        <v>1305</v>
      </c>
      <c r="BE55" s="232"/>
      <c r="BF55" s="232"/>
      <c r="BG55" s="232"/>
      <c r="BH55" s="232"/>
      <c r="BI55" s="232"/>
      <c r="BJ55" s="232"/>
      <c r="BK55" s="232"/>
      <c r="BL55" s="232"/>
      <c r="BM55" s="232"/>
      <c r="BN55" s="232"/>
      <c r="BO55" s="232" t="s">
        <v>1305</v>
      </c>
      <c r="BP55" s="232"/>
      <c r="BQ55" s="232"/>
      <c r="BR55" s="232"/>
      <c r="BS55" s="232"/>
      <c r="BT55" s="232"/>
      <c r="BU55" s="232"/>
      <c r="BV55" s="232"/>
      <c r="BW55" s="232"/>
      <c r="BX55" s="232"/>
      <c r="BY55" s="232"/>
      <c r="BZ55" s="232"/>
      <c r="CA55" s="232"/>
      <c r="CB55" s="232"/>
      <c r="CC55" s="232"/>
      <c r="CD55" s="232"/>
      <c r="CE55" s="232"/>
      <c r="CF55" s="232"/>
      <c r="CG55" s="232"/>
      <c r="CH55" s="232"/>
      <c r="CI55" s="232"/>
      <c r="CJ55" s="232"/>
      <c r="CK55" s="232"/>
      <c r="CL55" s="232"/>
      <c r="CM55" s="232"/>
      <c r="CN55" s="232"/>
      <c r="CO55" s="232"/>
      <c r="CP55" s="233" t="str">
        <f aca="false">IF(AND(D55="✓",D$4&lt;&gt;""),D$4&amp;"; ","")&amp;IF(AND(E55="✓",E$4&lt;&gt;""),E$4&amp;"; ","")&amp;IF(AND(F55="✓",F$4&lt;&gt;""),F$4&amp;"; ","")&amp;IF(AND(G55="✓",G$4&lt;&gt;""),G$4&amp;"; ","")&amp;IF(AND(H55="✓",H$4&lt;&gt;""),H$4&amp;"; ","")&amp;IF(AND(I55="✓",I$4&lt;&gt;""),I$4&amp;"; ","")&amp;IF(AND(J55="✓",J$4&lt;&gt;""),J$4&amp;"; ","")&amp;IF(AND(K55="✓",K$4&lt;&gt;""),K$4&amp;"; ","")&amp;IF(AND(L55="✓",L$4&lt;&gt;""),L$4&amp;"; ","")&amp;IF(AND(M55="✓",M$4&lt;&gt;""),M$4&amp;"; ","")&amp;IF(AND(N55="✓",N$4&lt;&gt;""),N$4&amp;"; ","")&amp;IF(AND(O55="✓",O$4&lt;&gt;""),O$4&amp;"; ","")&amp;IF(AND(P55="✓",P$4&lt;&gt;""),P$4&amp;"; ","")&amp;IF(AND(Q55="✓",Q$4&lt;&gt;""),Q$4&amp;"; ","")&amp;IF(AND(R55="✓",R$4&lt;&gt;""),R$4&amp;"; ","")&amp;IF(AND(S55="✓",S$4&lt;&gt;""),S$4&amp;"; ","")&amp;IF(AND(T55="✓",T$4&lt;&gt;""),T$4&amp;"; ","")&amp;IF(AND(U55="✓",U$4&lt;&gt;""),U$4&amp;"; ","")&amp;IF(AND(V55="✓",V$4&lt;&gt;""),V$4&amp;"; ","")&amp;IF(AND(W55="✓",W$4&lt;&gt;""),W$4&amp;"; ","")&amp;IF(AND(X55="✓",X$4&lt;&gt;""),X$4&amp;"; ","")&amp;IF(AND(Y55="✓",Y$4&lt;&gt;""),Y$4&amp;"; ","")&amp;IF(AND(Z55="✓",Z$4&lt;&gt;""),Z$4&amp;"; ","")&amp;IF(AND(AA55="✓",AA$4&lt;&gt;""),AA$4&amp;"; ","")&amp;IF(AND(AB55="✓",AB$4&lt;&gt;""),AB$4&amp;"; ","")&amp;IF(AND(AC55="✓",AC$4&lt;&gt;""),AC$4&amp;"; ","")&amp;IF(AND(AD55="✓",AD$4&lt;&gt;""),AD$4&amp;"; ","")&amp;IF(AND(AE55="✓",AE$4&lt;&gt;""),AE$4&amp;"; ","")&amp;IF(AND(AF55="✓",AF$4&lt;&gt;""),AF$4&amp;"; ","")&amp;IF(AND(AG55="✓",AG$4&lt;&gt;""),AG$4&amp;"; ","")&amp;IF(AND(AH55="✓",AH$4&lt;&gt;""),AH$4&amp;"; ","")&amp;IF(AND(AI55="✓",AI$4&lt;&gt;""),AI$4&amp;"; ","")&amp;IF(AND(AJ55="✓",AJ$4&lt;&gt;""),AJ$4&amp;"; ","")&amp;IF(AND(AK55="✓",AK$4&lt;&gt;""),AK$4&amp;"; ","")&amp;IF(AND(AL55="✓",AL$4&lt;&gt;""),AL$4&amp;"; ","")&amp;IF(AND(AM55="✓",AM$4&lt;&gt;""),AM$4&amp;"; ","")&amp;IF(AND(AN55="✓",AN$4&lt;&gt;""),AN$4&amp;"; ","")&amp;IF(AND(AO55="✓",AO$4&lt;&gt;""),AO$4&amp;"; ","")&amp;IF(AND(AP55="✓",AP$4&lt;&gt;""),AP$4&amp;"; ","")&amp;IF(AND(AQ55="✓",AQ$4&lt;&gt;""),AQ$4&amp;"; ","")&amp;IF(AND(AR55="✓",AR$4&lt;&gt;""),AR$4&amp;"; ","")&amp;IF(AND(AS55="✓",AS$4&lt;&gt;""),AS$4&amp;"; ","")&amp;IF(AND(AT55="✓",AT$4&lt;&gt;""),AT$4&amp;"; ","")&amp;IF(AND(AU55="✓",AU$4&lt;&gt;""),AU$4&amp;"; ","")&amp;IF(AND(AV55="✓",AV$4&lt;&gt;""),AV$4&amp;"; ","")&amp;IF(AND(AW55="✓",AW$4&lt;&gt;""),AW$4&amp;"; ","")&amp;IF(AND(AX55="✓",AX$4&lt;&gt;""),AX$4&amp;"; ","")&amp;IF(AND(AY55="✓",AY$4&lt;&gt;""),AY$4&amp;"; ","")&amp;IF(AND(AZ55="✓",AZ$4&lt;&gt;""),AZ$4&amp;"; ","")&amp;IF(AND(BA55="✓",BA$4&lt;&gt;""),BA$4&amp;"; ","")&amp;IF(AND(BB55="✓",BB$4&lt;&gt;""),BB$4&amp;"; ","")&amp;IF(AND(BC55="✓",BC$4&lt;&gt;""),BC$4&amp;"; ","")&amp;IF(AND(BD55="✓",BD$4&lt;&gt;""),BD$4&amp;"; ","")&amp;IF(AND(BE55="✓",BE$4&lt;&gt;""),BE$4&amp;"; ","")&amp;IF(AND(BF55="✓",BF$4&lt;&gt;""),BF$4&amp;"; ","")&amp;IF(AND(BG55="✓",BG$4&lt;&gt;""),BG$4&amp;"; ","")&amp;IF(AND(BH55="✓",BH$4&lt;&gt;""),BH$4&amp;"; ","")&amp;IF(AND(BI55="✓",BI$4&lt;&gt;""),BI$4&amp;"; ","")&amp;IF(AND(BJ55="✓",BJ$4&lt;&gt;""),BJ$4&amp;"; ","")&amp;IF(AND(BK55="✓",BK$4&lt;&gt;""),BK$4&amp;"; ","")&amp;IF(AND(BL55="✓",BL$4&lt;&gt;""),BL$4&amp;"; ","")&amp;IF(AND(BM55="✓",BM$4&lt;&gt;""),BM$4&amp;"; ","")&amp;IF(AND(BN55="✓",BN$4&lt;&gt;""),BN$4&amp;"; ","")&amp;IF(AND(BO55="✓",BO$4&lt;&gt;""),BO$4&amp;"; ","")&amp;IF(AND(BP55="✓",BP$4&lt;&gt;""),BP$4&amp;"; ","")&amp;IF(AND(BQ55="✓",BQ$4&lt;&gt;""),BQ$4&amp;"; ","")&amp;IF(AND(BR55="✓",BR$4&lt;&gt;""),BR$4&amp;"; ","")&amp;IF(AND(BS55="✓",BS$4&lt;&gt;""),BS$4&amp;"; ","")&amp;IF(AND(BT55="✓",BT$4&lt;&gt;""),BT$4&amp;"; ","")&amp;IF(AND(BU55="✓",BU$4&lt;&gt;""),BU$4&amp;"; ","")&amp;IF(AND(BV55="✓",BV$4&lt;&gt;""),BV$4&amp;"; ","")&amp;IF(AND(BW55="✓",BW$4&lt;&gt;""),BW$4&amp;"; ","")&amp;IF(AND(BX55="✓",BX$4&lt;&gt;""),BX$4&amp;"; ","")&amp;IF(AND(BY55="✓",BY$4&lt;&gt;""),BY$4&amp;"; ","")&amp;IF(AND(BZ55="✓",BZ$4&lt;&gt;""),BZ$4&amp;"; ","")&amp;IF(AND(CA55="✓",CA$4&lt;&gt;""),CA$4&amp;"; ","")&amp;IF(AND(CB55="✓",CB$4&lt;&gt;""),CB$4&amp;"; ","")&amp;IF(AND(CC55="✓",CC$4&lt;&gt;""),CC$4&amp;"; ","")&amp;IF(AND(CD55="✓",CD$4&lt;&gt;""),CD$4&amp;"; ","")&amp;IF(AND(CE55="✓",CE$4&lt;&gt;""),CE$4&amp;"; ","")&amp;IF(AND(CF55="✓",CF$4&lt;&gt;""),CF$4&amp;"; ","")&amp;IF(AND(CG55="✓",CG$4&lt;&gt;""),CG$4&amp;"; ","")&amp;IF(AND(CH55="✓",CH$4&lt;&gt;""),CH$4&amp;"; ","")&amp;IF(AND(CI55="✓",CI$4&lt;&gt;""),CI$4&amp;"; ","")&amp;IF(AND(CJ55="✓",CJ$4&lt;&gt;""),CJ$4&amp;"; ","")&amp;IF(AND(CK55="✓",CK$4&lt;&gt;""),CK$4&amp;"; ","")&amp;IF(AND(CL55="✓",CL$4&lt;&gt;""),CL$4&amp;"; ","")&amp;IF(AND(CM55="✓",CM$4&lt;&gt;""),CM$4&amp;"; ","")&amp;IF(AND(CN55="✓",CN$4&lt;&gt;""),CN$4&amp;"; ","")&amp;IF(AND(CO55="✓",CO$4&lt;&gt;""),CO$4&amp;"; ","")</f>
        <v>OPP-53; OPP-64; </v>
      </c>
      <c r="CQ55" s="104" t="str">
        <f aca="false">IF($CP55="","",LEFT($CP55,LEN($CP55)-2))</f>
        <v>OPP-53; OPP-64</v>
      </c>
      <c r="CR55" s="234" t="n">
        <f aca="false">IF($A55="","",COUNTIF($D55:$CO55,"✓"))</f>
        <v>2</v>
      </c>
    </row>
    <row r="56" customFormat="false" ht="21.75" hidden="false" customHeight="true" outlineLevel="0" collapsed="false">
      <c r="A56" s="231" t="str">
        <f aca="false">IF(03_能力總表_Master!$A56="","",03_能力總表_Master!$A56)</f>
        <v>CAP-052</v>
      </c>
      <c r="B56" s="166" t="str">
        <f aca="false">IF(03_能力總表_Master!$A56="","",03_能力總表_Master!$B56)</f>
        <v>D09 供應鏈與維運</v>
      </c>
      <c r="C56" s="95" t="str">
        <f aca="false">IF(03_能力總表_Master!$A56="","",03_能力總表_Master!$E56)</f>
        <v>冷鏈與特殊物料</v>
      </c>
      <c r="D56" s="232"/>
      <c r="E56" s="232"/>
      <c r="F56" s="232"/>
      <c r="G56" s="232"/>
      <c r="H56" s="232"/>
      <c r="I56" s="232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232"/>
      <c r="Z56" s="232"/>
      <c r="AA56" s="232"/>
      <c r="AB56" s="232"/>
      <c r="AC56" s="232"/>
      <c r="AD56" s="232"/>
      <c r="AE56" s="232"/>
      <c r="AF56" s="232"/>
      <c r="AG56" s="232"/>
      <c r="AH56" s="232"/>
      <c r="AI56" s="232"/>
      <c r="AJ56" s="232"/>
      <c r="AK56" s="232"/>
      <c r="AL56" s="232"/>
      <c r="AM56" s="232"/>
      <c r="AN56" s="232"/>
      <c r="AO56" s="232"/>
      <c r="AP56" s="232"/>
      <c r="AQ56" s="232"/>
      <c r="AR56" s="232"/>
      <c r="AS56" s="232"/>
      <c r="AT56" s="232"/>
      <c r="AU56" s="232"/>
      <c r="AV56" s="232"/>
      <c r="AW56" s="232"/>
      <c r="AX56" s="232"/>
      <c r="AY56" s="232"/>
      <c r="AZ56" s="232"/>
      <c r="BA56" s="232"/>
      <c r="BB56" s="232"/>
      <c r="BC56" s="232"/>
      <c r="BD56" s="232"/>
      <c r="BE56" s="232"/>
      <c r="BF56" s="232"/>
      <c r="BG56" s="232"/>
      <c r="BH56" s="232"/>
      <c r="BI56" s="232"/>
      <c r="BJ56" s="232"/>
      <c r="BK56" s="232"/>
      <c r="BL56" s="232"/>
      <c r="BM56" s="232"/>
      <c r="BN56" s="232"/>
      <c r="BO56" s="232"/>
      <c r="BP56" s="232"/>
      <c r="BQ56" s="232"/>
      <c r="BR56" s="232"/>
      <c r="BS56" s="232" t="s">
        <v>1305</v>
      </c>
      <c r="BT56" s="232" t="s">
        <v>1305</v>
      </c>
      <c r="BU56" s="232"/>
      <c r="BV56" s="232"/>
      <c r="BW56" s="232"/>
      <c r="BX56" s="232"/>
      <c r="BY56" s="232"/>
      <c r="BZ56" s="232"/>
      <c r="CA56" s="232"/>
      <c r="CB56" s="232"/>
      <c r="CC56" s="232"/>
      <c r="CD56" s="232"/>
      <c r="CE56" s="232"/>
      <c r="CF56" s="232"/>
      <c r="CG56" s="232"/>
      <c r="CH56" s="232"/>
      <c r="CI56" s="232"/>
      <c r="CJ56" s="232"/>
      <c r="CK56" s="232"/>
      <c r="CL56" s="232"/>
      <c r="CM56" s="232"/>
      <c r="CN56" s="232"/>
      <c r="CO56" s="232"/>
      <c r="CP56" s="233" t="str">
        <f aca="false">IF(AND(D56="✓",D$4&lt;&gt;""),D$4&amp;"; ","")&amp;IF(AND(E56="✓",E$4&lt;&gt;""),E$4&amp;"; ","")&amp;IF(AND(F56="✓",F$4&lt;&gt;""),F$4&amp;"; ","")&amp;IF(AND(G56="✓",G$4&lt;&gt;""),G$4&amp;"; ","")&amp;IF(AND(H56="✓",H$4&lt;&gt;""),H$4&amp;"; ","")&amp;IF(AND(I56="✓",I$4&lt;&gt;""),I$4&amp;"; ","")&amp;IF(AND(J56="✓",J$4&lt;&gt;""),J$4&amp;"; ","")&amp;IF(AND(K56="✓",K$4&lt;&gt;""),K$4&amp;"; ","")&amp;IF(AND(L56="✓",L$4&lt;&gt;""),L$4&amp;"; ","")&amp;IF(AND(M56="✓",M$4&lt;&gt;""),M$4&amp;"; ","")&amp;IF(AND(N56="✓",N$4&lt;&gt;""),N$4&amp;"; ","")&amp;IF(AND(O56="✓",O$4&lt;&gt;""),O$4&amp;"; ","")&amp;IF(AND(P56="✓",P$4&lt;&gt;""),P$4&amp;"; ","")&amp;IF(AND(Q56="✓",Q$4&lt;&gt;""),Q$4&amp;"; ","")&amp;IF(AND(R56="✓",R$4&lt;&gt;""),R$4&amp;"; ","")&amp;IF(AND(S56="✓",S$4&lt;&gt;""),S$4&amp;"; ","")&amp;IF(AND(T56="✓",T$4&lt;&gt;""),T$4&amp;"; ","")&amp;IF(AND(U56="✓",U$4&lt;&gt;""),U$4&amp;"; ","")&amp;IF(AND(V56="✓",V$4&lt;&gt;""),V$4&amp;"; ","")&amp;IF(AND(W56="✓",W$4&lt;&gt;""),W$4&amp;"; ","")&amp;IF(AND(X56="✓",X$4&lt;&gt;""),X$4&amp;"; ","")&amp;IF(AND(Y56="✓",Y$4&lt;&gt;""),Y$4&amp;"; ","")&amp;IF(AND(Z56="✓",Z$4&lt;&gt;""),Z$4&amp;"; ","")&amp;IF(AND(AA56="✓",AA$4&lt;&gt;""),AA$4&amp;"; ","")&amp;IF(AND(AB56="✓",AB$4&lt;&gt;""),AB$4&amp;"; ","")&amp;IF(AND(AC56="✓",AC$4&lt;&gt;""),AC$4&amp;"; ","")&amp;IF(AND(AD56="✓",AD$4&lt;&gt;""),AD$4&amp;"; ","")&amp;IF(AND(AE56="✓",AE$4&lt;&gt;""),AE$4&amp;"; ","")&amp;IF(AND(AF56="✓",AF$4&lt;&gt;""),AF$4&amp;"; ","")&amp;IF(AND(AG56="✓",AG$4&lt;&gt;""),AG$4&amp;"; ","")&amp;IF(AND(AH56="✓",AH$4&lt;&gt;""),AH$4&amp;"; ","")&amp;IF(AND(AI56="✓",AI$4&lt;&gt;""),AI$4&amp;"; ","")&amp;IF(AND(AJ56="✓",AJ$4&lt;&gt;""),AJ$4&amp;"; ","")&amp;IF(AND(AK56="✓",AK$4&lt;&gt;""),AK$4&amp;"; ","")&amp;IF(AND(AL56="✓",AL$4&lt;&gt;""),AL$4&amp;"; ","")&amp;IF(AND(AM56="✓",AM$4&lt;&gt;""),AM$4&amp;"; ","")&amp;IF(AND(AN56="✓",AN$4&lt;&gt;""),AN$4&amp;"; ","")&amp;IF(AND(AO56="✓",AO$4&lt;&gt;""),AO$4&amp;"; ","")&amp;IF(AND(AP56="✓",AP$4&lt;&gt;""),AP$4&amp;"; ","")&amp;IF(AND(AQ56="✓",AQ$4&lt;&gt;""),AQ$4&amp;"; ","")&amp;IF(AND(AR56="✓",AR$4&lt;&gt;""),AR$4&amp;"; ","")&amp;IF(AND(AS56="✓",AS$4&lt;&gt;""),AS$4&amp;"; ","")&amp;IF(AND(AT56="✓",AT$4&lt;&gt;""),AT$4&amp;"; ","")&amp;IF(AND(AU56="✓",AU$4&lt;&gt;""),AU$4&amp;"; ","")&amp;IF(AND(AV56="✓",AV$4&lt;&gt;""),AV$4&amp;"; ","")&amp;IF(AND(AW56="✓",AW$4&lt;&gt;""),AW$4&amp;"; ","")&amp;IF(AND(AX56="✓",AX$4&lt;&gt;""),AX$4&amp;"; ","")&amp;IF(AND(AY56="✓",AY$4&lt;&gt;""),AY$4&amp;"; ","")&amp;IF(AND(AZ56="✓",AZ$4&lt;&gt;""),AZ$4&amp;"; ","")&amp;IF(AND(BA56="✓",BA$4&lt;&gt;""),BA$4&amp;"; ","")&amp;IF(AND(BB56="✓",BB$4&lt;&gt;""),BB$4&amp;"; ","")&amp;IF(AND(BC56="✓",BC$4&lt;&gt;""),BC$4&amp;"; ","")&amp;IF(AND(BD56="✓",BD$4&lt;&gt;""),BD$4&amp;"; ","")&amp;IF(AND(BE56="✓",BE$4&lt;&gt;""),BE$4&amp;"; ","")&amp;IF(AND(BF56="✓",BF$4&lt;&gt;""),BF$4&amp;"; ","")&amp;IF(AND(BG56="✓",BG$4&lt;&gt;""),BG$4&amp;"; ","")&amp;IF(AND(BH56="✓",BH$4&lt;&gt;""),BH$4&amp;"; ","")&amp;IF(AND(BI56="✓",BI$4&lt;&gt;""),BI$4&amp;"; ","")&amp;IF(AND(BJ56="✓",BJ$4&lt;&gt;""),BJ$4&amp;"; ","")&amp;IF(AND(BK56="✓",BK$4&lt;&gt;""),BK$4&amp;"; ","")&amp;IF(AND(BL56="✓",BL$4&lt;&gt;""),BL$4&amp;"; ","")&amp;IF(AND(BM56="✓",BM$4&lt;&gt;""),BM$4&amp;"; ","")&amp;IF(AND(BN56="✓",BN$4&lt;&gt;""),BN$4&amp;"; ","")&amp;IF(AND(BO56="✓",BO$4&lt;&gt;""),BO$4&amp;"; ","")&amp;IF(AND(BP56="✓",BP$4&lt;&gt;""),BP$4&amp;"; ","")&amp;IF(AND(BQ56="✓",BQ$4&lt;&gt;""),BQ$4&amp;"; ","")&amp;IF(AND(BR56="✓",BR$4&lt;&gt;""),BR$4&amp;"; ","")&amp;IF(AND(BS56="✓",BS$4&lt;&gt;""),BS$4&amp;"; ","")&amp;IF(AND(BT56="✓",BT$4&lt;&gt;""),BT$4&amp;"; ","")&amp;IF(AND(BU56="✓",BU$4&lt;&gt;""),BU$4&amp;"; ","")&amp;IF(AND(BV56="✓",BV$4&lt;&gt;""),BV$4&amp;"; ","")&amp;IF(AND(BW56="✓",BW$4&lt;&gt;""),BW$4&amp;"; ","")&amp;IF(AND(BX56="✓",BX$4&lt;&gt;""),BX$4&amp;"; ","")&amp;IF(AND(BY56="✓",BY$4&lt;&gt;""),BY$4&amp;"; ","")&amp;IF(AND(BZ56="✓",BZ$4&lt;&gt;""),BZ$4&amp;"; ","")&amp;IF(AND(CA56="✓",CA$4&lt;&gt;""),CA$4&amp;"; ","")&amp;IF(AND(CB56="✓",CB$4&lt;&gt;""),CB$4&amp;"; ","")&amp;IF(AND(CC56="✓",CC$4&lt;&gt;""),CC$4&amp;"; ","")&amp;IF(AND(CD56="✓",CD$4&lt;&gt;""),CD$4&amp;"; ","")&amp;IF(AND(CE56="✓",CE$4&lt;&gt;""),CE$4&amp;"; ","")&amp;IF(AND(CF56="✓",CF$4&lt;&gt;""),CF$4&amp;"; ","")&amp;IF(AND(CG56="✓",CG$4&lt;&gt;""),CG$4&amp;"; ","")&amp;IF(AND(CH56="✓",CH$4&lt;&gt;""),CH$4&amp;"; ","")&amp;IF(AND(CI56="✓",CI$4&lt;&gt;""),CI$4&amp;"; ","")&amp;IF(AND(CJ56="✓",CJ$4&lt;&gt;""),CJ$4&amp;"; ","")&amp;IF(AND(CK56="✓",CK$4&lt;&gt;""),CK$4&amp;"; ","")&amp;IF(AND(CL56="✓",CL$4&lt;&gt;""),CL$4&amp;"; ","")&amp;IF(AND(CM56="✓",CM$4&lt;&gt;""),CM$4&amp;"; ","")&amp;IF(AND(CN56="✓",CN$4&lt;&gt;""),CN$4&amp;"; ","")&amp;IF(AND(CO56="✓",CO$4&lt;&gt;""),CO$4&amp;"; ","")</f>
        <v>OPP-68; OPP-69; </v>
      </c>
      <c r="CQ56" s="104" t="str">
        <f aca="false">IF($CP56="","",LEFT($CP56,LEN($CP56)-2))</f>
        <v>OPP-68; OPP-69</v>
      </c>
      <c r="CR56" s="234" t="n">
        <f aca="false">IF($A56="","",COUNTIF($D56:$CO56,"✓"))</f>
        <v>2</v>
      </c>
    </row>
    <row r="57" customFormat="false" ht="21.75" hidden="false" customHeight="true" outlineLevel="0" collapsed="false">
      <c r="A57" s="231" t="str">
        <f aca="false">IF(03_能力總表_Master!$A57="","",03_能力總表_Master!$A57)</f>
        <v>CAP-053</v>
      </c>
      <c r="B57" s="166" t="str">
        <f aca="false">IF(03_能力總表_Master!$A57="","",03_能力總表_Master!$B57)</f>
        <v>D09 供應鏈與維運</v>
      </c>
      <c r="C57" s="95" t="str">
        <f aca="false">IF(03_能力總表_Master!$A57="","",03_能力總表_Master!$E57)</f>
        <v>CMMS與設施維運</v>
      </c>
      <c r="D57" s="232"/>
      <c r="E57" s="232"/>
      <c r="F57" s="232"/>
      <c r="G57" s="232"/>
      <c r="H57" s="232"/>
      <c r="I57" s="232"/>
      <c r="J57" s="232"/>
      <c r="K57" s="232"/>
      <c r="L57" s="232"/>
      <c r="M57" s="232"/>
      <c r="N57" s="232"/>
      <c r="O57" s="232"/>
      <c r="P57" s="232"/>
      <c r="Q57" s="232"/>
      <c r="R57" s="232"/>
      <c r="S57" s="232"/>
      <c r="T57" s="232"/>
      <c r="U57" s="232"/>
      <c r="V57" s="232"/>
      <c r="W57" s="232"/>
      <c r="X57" s="232"/>
      <c r="Y57" s="232"/>
      <c r="Z57" s="232"/>
      <c r="AA57" s="232"/>
      <c r="AB57" s="232"/>
      <c r="AC57" s="232" t="s">
        <v>1305</v>
      </c>
      <c r="AD57" s="232"/>
      <c r="AE57" s="232"/>
      <c r="AF57" s="232"/>
      <c r="AG57" s="232"/>
      <c r="AH57" s="232"/>
      <c r="AI57" s="232"/>
      <c r="AJ57" s="232"/>
      <c r="AK57" s="232"/>
      <c r="AL57" s="232"/>
      <c r="AM57" s="232"/>
      <c r="AN57" s="232" t="s">
        <v>1305</v>
      </c>
      <c r="AO57" s="232"/>
      <c r="AP57" s="232"/>
      <c r="AQ57" s="232"/>
      <c r="AR57" s="232"/>
      <c r="AS57" s="232"/>
      <c r="AT57" s="232"/>
      <c r="AU57" s="232"/>
      <c r="AV57" s="232"/>
      <c r="AW57" s="232"/>
      <c r="AX57" s="232"/>
      <c r="AY57" s="232"/>
      <c r="AZ57" s="232"/>
      <c r="BA57" s="232"/>
      <c r="BB57" s="232"/>
      <c r="BC57" s="232" t="s">
        <v>1305</v>
      </c>
      <c r="BD57" s="232"/>
      <c r="BE57" s="232" t="s">
        <v>1305</v>
      </c>
      <c r="BF57" s="232"/>
      <c r="BG57" s="232"/>
      <c r="BH57" s="232"/>
      <c r="BI57" s="232"/>
      <c r="BJ57" s="232"/>
      <c r="BK57" s="232"/>
      <c r="BL57" s="232"/>
      <c r="BM57" s="232"/>
      <c r="BN57" s="232"/>
      <c r="BO57" s="232"/>
      <c r="BP57" s="232"/>
      <c r="BQ57" s="232"/>
      <c r="BR57" s="232" t="s">
        <v>1305</v>
      </c>
      <c r="BS57" s="232"/>
      <c r="BT57" s="232"/>
      <c r="BU57" s="232"/>
      <c r="BV57" s="232"/>
      <c r="BW57" s="232"/>
      <c r="BX57" s="232"/>
      <c r="BY57" s="232"/>
      <c r="BZ57" s="232"/>
      <c r="CA57" s="232"/>
      <c r="CB57" s="232"/>
      <c r="CC57" s="232"/>
      <c r="CD57" s="232"/>
      <c r="CE57" s="232"/>
      <c r="CF57" s="232"/>
      <c r="CG57" s="232"/>
      <c r="CH57" s="232"/>
      <c r="CI57" s="232"/>
      <c r="CJ57" s="232"/>
      <c r="CK57" s="232"/>
      <c r="CL57" s="232"/>
      <c r="CM57" s="232"/>
      <c r="CN57" s="232"/>
      <c r="CO57" s="232"/>
      <c r="CP57" s="233" t="str">
        <f aca="false">IF(AND(D57="✓",D$4&lt;&gt;""),D$4&amp;"; ","")&amp;IF(AND(E57="✓",E$4&lt;&gt;""),E$4&amp;"; ","")&amp;IF(AND(F57="✓",F$4&lt;&gt;""),F$4&amp;"; ","")&amp;IF(AND(G57="✓",G$4&lt;&gt;""),G$4&amp;"; ","")&amp;IF(AND(H57="✓",H$4&lt;&gt;""),H$4&amp;"; ","")&amp;IF(AND(I57="✓",I$4&lt;&gt;""),I$4&amp;"; ","")&amp;IF(AND(J57="✓",J$4&lt;&gt;""),J$4&amp;"; ","")&amp;IF(AND(K57="✓",K$4&lt;&gt;""),K$4&amp;"; ","")&amp;IF(AND(L57="✓",L$4&lt;&gt;""),L$4&amp;"; ","")&amp;IF(AND(M57="✓",M$4&lt;&gt;""),M$4&amp;"; ","")&amp;IF(AND(N57="✓",N$4&lt;&gt;""),N$4&amp;"; ","")&amp;IF(AND(O57="✓",O$4&lt;&gt;""),O$4&amp;"; ","")&amp;IF(AND(P57="✓",P$4&lt;&gt;""),P$4&amp;"; ","")&amp;IF(AND(Q57="✓",Q$4&lt;&gt;""),Q$4&amp;"; ","")&amp;IF(AND(R57="✓",R$4&lt;&gt;""),R$4&amp;"; ","")&amp;IF(AND(S57="✓",S$4&lt;&gt;""),S$4&amp;"; ","")&amp;IF(AND(T57="✓",T$4&lt;&gt;""),T$4&amp;"; ","")&amp;IF(AND(U57="✓",U$4&lt;&gt;""),U$4&amp;"; ","")&amp;IF(AND(V57="✓",V$4&lt;&gt;""),V$4&amp;"; ","")&amp;IF(AND(W57="✓",W$4&lt;&gt;""),W$4&amp;"; ","")&amp;IF(AND(X57="✓",X$4&lt;&gt;""),X$4&amp;"; ","")&amp;IF(AND(Y57="✓",Y$4&lt;&gt;""),Y$4&amp;"; ","")&amp;IF(AND(Z57="✓",Z$4&lt;&gt;""),Z$4&amp;"; ","")&amp;IF(AND(AA57="✓",AA$4&lt;&gt;""),AA$4&amp;"; ","")&amp;IF(AND(AB57="✓",AB$4&lt;&gt;""),AB$4&amp;"; ","")&amp;IF(AND(AC57="✓",AC$4&lt;&gt;""),AC$4&amp;"; ","")&amp;IF(AND(AD57="✓",AD$4&lt;&gt;""),AD$4&amp;"; ","")&amp;IF(AND(AE57="✓",AE$4&lt;&gt;""),AE$4&amp;"; ","")&amp;IF(AND(AF57="✓",AF$4&lt;&gt;""),AF$4&amp;"; ","")&amp;IF(AND(AG57="✓",AG$4&lt;&gt;""),AG$4&amp;"; ","")&amp;IF(AND(AH57="✓",AH$4&lt;&gt;""),AH$4&amp;"; ","")&amp;IF(AND(AI57="✓",AI$4&lt;&gt;""),AI$4&amp;"; ","")&amp;IF(AND(AJ57="✓",AJ$4&lt;&gt;""),AJ$4&amp;"; ","")&amp;IF(AND(AK57="✓",AK$4&lt;&gt;""),AK$4&amp;"; ","")&amp;IF(AND(AL57="✓",AL$4&lt;&gt;""),AL$4&amp;"; ","")&amp;IF(AND(AM57="✓",AM$4&lt;&gt;""),AM$4&amp;"; ","")&amp;IF(AND(AN57="✓",AN$4&lt;&gt;""),AN$4&amp;"; ","")&amp;IF(AND(AO57="✓",AO$4&lt;&gt;""),AO$4&amp;"; ","")&amp;IF(AND(AP57="✓",AP$4&lt;&gt;""),AP$4&amp;"; ","")&amp;IF(AND(AQ57="✓",AQ$4&lt;&gt;""),AQ$4&amp;"; ","")&amp;IF(AND(AR57="✓",AR$4&lt;&gt;""),AR$4&amp;"; ","")&amp;IF(AND(AS57="✓",AS$4&lt;&gt;""),AS$4&amp;"; ","")&amp;IF(AND(AT57="✓",AT$4&lt;&gt;""),AT$4&amp;"; ","")&amp;IF(AND(AU57="✓",AU$4&lt;&gt;""),AU$4&amp;"; ","")&amp;IF(AND(AV57="✓",AV$4&lt;&gt;""),AV$4&amp;"; ","")&amp;IF(AND(AW57="✓",AW$4&lt;&gt;""),AW$4&amp;"; ","")&amp;IF(AND(AX57="✓",AX$4&lt;&gt;""),AX$4&amp;"; ","")&amp;IF(AND(AY57="✓",AY$4&lt;&gt;""),AY$4&amp;"; ","")&amp;IF(AND(AZ57="✓",AZ$4&lt;&gt;""),AZ$4&amp;"; ","")&amp;IF(AND(BA57="✓",BA$4&lt;&gt;""),BA$4&amp;"; ","")&amp;IF(AND(BB57="✓",BB$4&lt;&gt;""),BB$4&amp;"; ","")&amp;IF(AND(BC57="✓",BC$4&lt;&gt;""),BC$4&amp;"; ","")&amp;IF(AND(BD57="✓",BD$4&lt;&gt;""),BD$4&amp;"; ","")&amp;IF(AND(BE57="✓",BE$4&lt;&gt;""),BE$4&amp;"; ","")&amp;IF(AND(BF57="✓",BF$4&lt;&gt;""),BF$4&amp;"; ","")&amp;IF(AND(BG57="✓",BG$4&lt;&gt;""),BG$4&amp;"; ","")&amp;IF(AND(BH57="✓",BH$4&lt;&gt;""),BH$4&amp;"; ","")&amp;IF(AND(BI57="✓",BI$4&lt;&gt;""),BI$4&amp;"; ","")&amp;IF(AND(BJ57="✓",BJ$4&lt;&gt;""),BJ$4&amp;"; ","")&amp;IF(AND(BK57="✓",BK$4&lt;&gt;""),BK$4&amp;"; ","")&amp;IF(AND(BL57="✓",BL$4&lt;&gt;""),BL$4&amp;"; ","")&amp;IF(AND(BM57="✓",BM$4&lt;&gt;""),BM$4&amp;"; ","")&amp;IF(AND(BN57="✓",BN$4&lt;&gt;""),BN$4&amp;"; ","")&amp;IF(AND(BO57="✓",BO$4&lt;&gt;""),BO$4&amp;"; ","")&amp;IF(AND(BP57="✓",BP$4&lt;&gt;""),BP$4&amp;"; ","")&amp;IF(AND(BQ57="✓",BQ$4&lt;&gt;""),BQ$4&amp;"; ","")&amp;IF(AND(BR57="✓",BR$4&lt;&gt;""),BR$4&amp;"; ","")&amp;IF(AND(BS57="✓",BS$4&lt;&gt;""),BS$4&amp;"; ","")&amp;IF(AND(BT57="✓",BT$4&lt;&gt;""),BT$4&amp;"; ","")&amp;IF(AND(BU57="✓",BU$4&lt;&gt;""),BU$4&amp;"; ","")&amp;IF(AND(BV57="✓",BV$4&lt;&gt;""),BV$4&amp;"; ","")&amp;IF(AND(BW57="✓",BW$4&lt;&gt;""),BW$4&amp;"; ","")&amp;IF(AND(BX57="✓",BX$4&lt;&gt;""),BX$4&amp;"; ","")&amp;IF(AND(BY57="✓",BY$4&lt;&gt;""),BY$4&amp;"; ","")&amp;IF(AND(BZ57="✓",BZ$4&lt;&gt;""),BZ$4&amp;"; ","")&amp;IF(AND(CA57="✓",CA$4&lt;&gt;""),CA$4&amp;"; ","")&amp;IF(AND(CB57="✓",CB$4&lt;&gt;""),CB$4&amp;"; ","")&amp;IF(AND(CC57="✓",CC$4&lt;&gt;""),CC$4&amp;"; ","")&amp;IF(AND(CD57="✓",CD$4&lt;&gt;""),CD$4&amp;"; ","")&amp;IF(AND(CE57="✓",CE$4&lt;&gt;""),CE$4&amp;"; ","")&amp;IF(AND(CF57="✓",CF$4&lt;&gt;""),CF$4&amp;"; ","")&amp;IF(AND(CG57="✓",CG$4&lt;&gt;""),CG$4&amp;"; ","")&amp;IF(AND(CH57="✓",CH$4&lt;&gt;""),CH$4&amp;"; ","")&amp;IF(AND(CI57="✓",CI$4&lt;&gt;""),CI$4&amp;"; ","")&amp;IF(AND(CJ57="✓",CJ$4&lt;&gt;""),CJ$4&amp;"; ","")&amp;IF(AND(CK57="✓",CK$4&lt;&gt;""),CK$4&amp;"; ","")&amp;IF(AND(CL57="✓",CL$4&lt;&gt;""),CL$4&amp;"; ","")&amp;IF(AND(CM57="✓",CM$4&lt;&gt;""),CM$4&amp;"; ","")&amp;IF(AND(CN57="✓",CN$4&lt;&gt;""),CN$4&amp;"; ","")&amp;IF(AND(CO57="✓",CO$4&lt;&gt;""),CO$4&amp;"; ","")</f>
        <v>OPP-26; OPP-37; OPP-52; OPP-54; OPP-67; </v>
      </c>
      <c r="CQ57" s="104" t="str">
        <f aca="false">IF($CP57="","",LEFT($CP57,LEN($CP57)-2))</f>
        <v>OPP-26; OPP-37; OPP-52; OPP-54; OPP-67</v>
      </c>
      <c r="CR57" s="234" t="n">
        <f aca="false">IF($A57="","",COUNTIF($D57:$CO57,"✓"))</f>
        <v>5</v>
      </c>
    </row>
    <row r="58" customFormat="false" ht="21.75" hidden="false" customHeight="true" outlineLevel="0" collapsed="false">
      <c r="A58" s="231" t="str">
        <f aca="false">IF(03_能力總表_Master!$A58="","",03_能力總表_Master!$A58)</f>
        <v>CAP-054</v>
      </c>
      <c r="B58" s="166" t="str">
        <f aca="false">IF(03_能力總表_Master!$A58="","",03_能力總表_Master!$B58)</f>
        <v>D09 供應鏈與維運</v>
      </c>
      <c r="C58" s="95" t="str">
        <f aca="false">IF(03_能力總表_Master!$A58="","",03_能力總表_Master!$E58)</f>
        <v>在地備品、維修與汰換</v>
      </c>
      <c r="D58" s="232"/>
      <c r="E58" s="232"/>
      <c r="F58" s="232"/>
      <c r="G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2"/>
      <c r="AA58" s="232"/>
      <c r="AB58" s="232"/>
      <c r="AC58" s="232"/>
      <c r="AD58" s="232"/>
      <c r="AE58" s="232"/>
      <c r="AF58" s="232"/>
      <c r="AG58" s="232"/>
      <c r="AH58" s="232"/>
      <c r="AI58" s="232"/>
      <c r="AJ58" s="232"/>
      <c r="AK58" s="232"/>
      <c r="AL58" s="232"/>
      <c r="AM58" s="232"/>
      <c r="AN58" s="232"/>
      <c r="AO58" s="232"/>
      <c r="AP58" s="232"/>
      <c r="AQ58" s="232"/>
      <c r="AR58" s="232"/>
      <c r="AS58" s="232"/>
      <c r="AT58" s="232"/>
      <c r="AU58" s="232"/>
      <c r="AV58" s="232"/>
      <c r="AW58" s="232"/>
      <c r="AX58" s="232"/>
      <c r="AY58" s="232"/>
      <c r="AZ58" s="232"/>
      <c r="BA58" s="232"/>
      <c r="BB58" s="232"/>
      <c r="BC58" s="232"/>
      <c r="BD58" s="232"/>
      <c r="BE58" s="232"/>
      <c r="BF58" s="232"/>
      <c r="BG58" s="232"/>
      <c r="BH58" s="232"/>
      <c r="BI58" s="232"/>
      <c r="BJ58" s="232"/>
      <c r="BK58" s="232"/>
      <c r="BL58" s="232"/>
      <c r="BM58" s="232"/>
      <c r="BN58" s="232"/>
      <c r="BO58" s="232"/>
      <c r="BP58" s="232"/>
      <c r="BQ58" s="232" t="s">
        <v>1305</v>
      </c>
      <c r="BR58" s="232"/>
      <c r="BS58" s="232"/>
      <c r="BT58" s="232"/>
      <c r="BU58" s="232" t="s">
        <v>1305</v>
      </c>
      <c r="BV58" s="232"/>
      <c r="BW58" s="232"/>
      <c r="BX58" s="232"/>
      <c r="BY58" s="232"/>
      <c r="BZ58" s="232"/>
      <c r="CA58" s="232"/>
      <c r="CB58" s="232"/>
      <c r="CC58" s="232"/>
      <c r="CD58" s="232"/>
      <c r="CE58" s="232"/>
      <c r="CF58" s="232"/>
      <c r="CG58" s="232"/>
      <c r="CH58" s="232"/>
      <c r="CI58" s="232"/>
      <c r="CJ58" s="232"/>
      <c r="CK58" s="232"/>
      <c r="CL58" s="232"/>
      <c r="CM58" s="232"/>
      <c r="CN58" s="232"/>
      <c r="CO58" s="232"/>
      <c r="CP58" s="233" t="str">
        <f aca="false">IF(AND(D58="✓",D$4&lt;&gt;""),D$4&amp;"; ","")&amp;IF(AND(E58="✓",E$4&lt;&gt;""),E$4&amp;"; ","")&amp;IF(AND(F58="✓",F$4&lt;&gt;""),F$4&amp;"; ","")&amp;IF(AND(G58="✓",G$4&lt;&gt;""),G$4&amp;"; ","")&amp;IF(AND(H58="✓",H$4&lt;&gt;""),H$4&amp;"; ","")&amp;IF(AND(I58="✓",I$4&lt;&gt;""),I$4&amp;"; ","")&amp;IF(AND(J58="✓",J$4&lt;&gt;""),J$4&amp;"; ","")&amp;IF(AND(K58="✓",K$4&lt;&gt;""),K$4&amp;"; ","")&amp;IF(AND(L58="✓",L$4&lt;&gt;""),L$4&amp;"; ","")&amp;IF(AND(M58="✓",M$4&lt;&gt;""),M$4&amp;"; ","")&amp;IF(AND(N58="✓",N$4&lt;&gt;""),N$4&amp;"; ","")&amp;IF(AND(O58="✓",O$4&lt;&gt;""),O$4&amp;"; ","")&amp;IF(AND(P58="✓",P$4&lt;&gt;""),P$4&amp;"; ","")&amp;IF(AND(Q58="✓",Q$4&lt;&gt;""),Q$4&amp;"; ","")&amp;IF(AND(R58="✓",R$4&lt;&gt;""),R$4&amp;"; ","")&amp;IF(AND(S58="✓",S$4&lt;&gt;""),S$4&amp;"; ","")&amp;IF(AND(T58="✓",T$4&lt;&gt;""),T$4&amp;"; ","")&amp;IF(AND(U58="✓",U$4&lt;&gt;""),U$4&amp;"; ","")&amp;IF(AND(V58="✓",V$4&lt;&gt;""),V$4&amp;"; ","")&amp;IF(AND(W58="✓",W$4&lt;&gt;""),W$4&amp;"; ","")&amp;IF(AND(X58="✓",X$4&lt;&gt;""),X$4&amp;"; ","")&amp;IF(AND(Y58="✓",Y$4&lt;&gt;""),Y$4&amp;"; ","")&amp;IF(AND(Z58="✓",Z$4&lt;&gt;""),Z$4&amp;"; ","")&amp;IF(AND(AA58="✓",AA$4&lt;&gt;""),AA$4&amp;"; ","")&amp;IF(AND(AB58="✓",AB$4&lt;&gt;""),AB$4&amp;"; ","")&amp;IF(AND(AC58="✓",AC$4&lt;&gt;""),AC$4&amp;"; ","")&amp;IF(AND(AD58="✓",AD$4&lt;&gt;""),AD$4&amp;"; ","")&amp;IF(AND(AE58="✓",AE$4&lt;&gt;""),AE$4&amp;"; ","")&amp;IF(AND(AF58="✓",AF$4&lt;&gt;""),AF$4&amp;"; ","")&amp;IF(AND(AG58="✓",AG$4&lt;&gt;""),AG$4&amp;"; ","")&amp;IF(AND(AH58="✓",AH$4&lt;&gt;""),AH$4&amp;"; ","")&amp;IF(AND(AI58="✓",AI$4&lt;&gt;""),AI$4&amp;"; ","")&amp;IF(AND(AJ58="✓",AJ$4&lt;&gt;""),AJ$4&amp;"; ","")&amp;IF(AND(AK58="✓",AK$4&lt;&gt;""),AK$4&amp;"; ","")&amp;IF(AND(AL58="✓",AL$4&lt;&gt;""),AL$4&amp;"; ","")&amp;IF(AND(AM58="✓",AM$4&lt;&gt;""),AM$4&amp;"; ","")&amp;IF(AND(AN58="✓",AN$4&lt;&gt;""),AN$4&amp;"; ","")&amp;IF(AND(AO58="✓",AO$4&lt;&gt;""),AO$4&amp;"; ","")&amp;IF(AND(AP58="✓",AP$4&lt;&gt;""),AP$4&amp;"; ","")&amp;IF(AND(AQ58="✓",AQ$4&lt;&gt;""),AQ$4&amp;"; ","")&amp;IF(AND(AR58="✓",AR$4&lt;&gt;""),AR$4&amp;"; ","")&amp;IF(AND(AS58="✓",AS$4&lt;&gt;""),AS$4&amp;"; ","")&amp;IF(AND(AT58="✓",AT$4&lt;&gt;""),AT$4&amp;"; ","")&amp;IF(AND(AU58="✓",AU$4&lt;&gt;""),AU$4&amp;"; ","")&amp;IF(AND(AV58="✓",AV$4&lt;&gt;""),AV$4&amp;"; ","")&amp;IF(AND(AW58="✓",AW$4&lt;&gt;""),AW$4&amp;"; ","")&amp;IF(AND(AX58="✓",AX$4&lt;&gt;""),AX$4&amp;"; ","")&amp;IF(AND(AY58="✓",AY$4&lt;&gt;""),AY$4&amp;"; ","")&amp;IF(AND(AZ58="✓",AZ$4&lt;&gt;""),AZ$4&amp;"; ","")&amp;IF(AND(BA58="✓",BA$4&lt;&gt;""),BA$4&amp;"; ","")&amp;IF(AND(BB58="✓",BB$4&lt;&gt;""),BB$4&amp;"; ","")&amp;IF(AND(BC58="✓",BC$4&lt;&gt;""),BC$4&amp;"; ","")&amp;IF(AND(BD58="✓",BD$4&lt;&gt;""),BD$4&amp;"; ","")&amp;IF(AND(BE58="✓",BE$4&lt;&gt;""),BE$4&amp;"; ","")&amp;IF(AND(BF58="✓",BF$4&lt;&gt;""),BF$4&amp;"; ","")&amp;IF(AND(BG58="✓",BG$4&lt;&gt;""),BG$4&amp;"; ","")&amp;IF(AND(BH58="✓",BH$4&lt;&gt;""),BH$4&amp;"; ","")&amp;IF(AND(BI58="✓",BI$4&lt;&gt;""),BI$4&amp;"; ","")&amp;IF(AND(BJ58="✓",BJ$4&lt;&gt;""),BJ$4&amp;"; ","")&amp;IF(AND(BK58="✓",BK$4&lt;&gt;""),BK$4&amp;"; ","")&amp;IF(AND(BL58="✓",BL$4&lt;&gt;""),BL$4&amp;"; ","")&amp;IF(AND(BM58="✓",BM$4&lt;&gt;""),BM$4&amp;"; ","")&amp;IF(AND(BN58="✓",BN$4&lt;&gt;""),BN$4&amp;"; ","")&amp;IF(AND(BO58="✓",BO$4&lt;&gt;""),BO$4&amp;"; ","")&amp;IF(AND(BP58="✓",BP$4&lt;&gt;""),BP$4&amp;"; ","")&amp;IF(AND(BQ58="✓",BQ$4&lt;&gt;""),BQ$4&amp;"; ","")&amp;IF(AND(BR58="✓",BR$4&lt;&gt;""),BR$4&amp;"; ","")&amp;IF(AND(BS58="✓",BS$4&lt;&gt;""),BS$4&amp;"; ","")&amp;IF(AND(BT58="✓",BT$4&lt;&gt;""),BT$4&amp;"; ","")&amp;IF(AND(BU58="✓",BU$4&lt;&gt;""),BU$4&amp;"; ","")&amp;IF(AND(BV58="✓",BV$4&lt;&gt;""),BV$4&amp;"; ","")&amp;IF(AND(BW58="✓",BW$4&lt;&gt;""),BW$4&amp;"; ","")&amp;IF(AND(BX58="✓",BX$4&lt;&gt;""),BX$4&amp;"; ","")&amp;IF(AND(BY58="✓",BY$4&lt;&gt;""),BY$4&amp;"; ","")&amp;IF(AND(BZ58="✓",BZ$4&lt;&gt;""),BZ$4&amp;"; ","")&amp;IF(AND(CA58="✓",CA$4&lt;&gt;""),CA$4&amp;"; ","")&amp;IF(AND(CB58="✓",CB$4&lt;&gt;""),CB$4&amp;"; ","")&amp;IF(AND(CC58="✓",CC$4&lt;&gt;""),CC$4&amp;"; ","")&amp;IF(AND(CD58="✓",CD$4&lt;&gt;""),CD$4&amp;"; ","")&amp;IF(AND(CE58="✓",CE$4&lt;&gt;""),CE$4&amp;"; ","")&amp;IF(AND(CF58="✓",CF$4&lt;&gt;""),CF$4&amp;"; ","")&amp;IF(AND(CG58="✓",CG$4&lt;&gt;""),CG$4&amp;"; ","")&amp;IF(AND(CH58="✓",CH$4&lt;&gt;""),CH$4&amp;"; ","")&amp;IF(AND(CI58="✓",CI$4&lt;&gt;""),CI$4&amp;"; ","")&amp;IF(AND(CJ58="✓",CJ$4&lt;&gt;""),CJ$4&amp;"; ","")&amp;IF(AND(CK58="✓",CK$4&lt;&gt;""),CK$4&amp;"; ","")&amp;IF(AND(CL58="✓",CL$4&lt;&gt;""),CL$4&amp;"; ","")&amp;IF(AND(CM58="✓",CM$4&lt;&gt;""),CM$4&amp;"; ","")&amp;IF(AND(CN58="✓",CN$4&lt;&gt;""),CN$4&amp;"; ","")&amp;IF(AND(CO58="✓",CO$4&lt;&gt;""),CO$4&amp;"; ","")</f>
        <v>OPP-66; OPP-70; </v>
      </c>
      <c r="CQ58" s="104" t="str">
        <f aca="false">IF($CP58="","",LEFT($CP58,LEN($CP58)-2))</f>
        <v>OPP-66; OPP-70</v>
      </c>
      <c r="CR58" s="234" t="n">
        <f aca="false">IF($A58="","",COUNTIF($D58:$CO58,"✓"))</f>
        <v>2</v>
      </c>
    </row>
    <row r="59" customFormat="false" ht="21.75" hidden="false" customHeight="true" outlineLevel="0" collapsed="false">
      <c r="A59" s="231" t="str">
        <f aca="false">IF(03_能力總表_Master!$A59="","",03_能力總表_Master!$A59)</f>
        <v>CAP-055</v>
      </c>
      <c r="B59" s="166" t="str">
        <f aca="false">IF(03_能力總表_Master!$A59="","",03_能力總表_Master!$B59)</f>
        <v>D10 商模與病人生態</v>
      </c>
      <c r="C59" s="95" t="str">
        <f aca="false">IF(03_能力總表_Master!$A59="","",03_能力總表_Master!$E59)</f>
        <v>全生命週期成本模型</v>
      </c>
      <c r="D59" s="232" t="s">
        <v>1305</v>
      </c>
      <c r="E59" s="232"/>
      <c r="F59" s="232" t="s">
        <v>1305</v>
      </c>
      <c r="G59" s="232" t="s">
        <v>1305</v>
      </c>
      <c r="H59" s="232"/>
      <c r="I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232"/>
      <c r="Z59" s="232"/>
      <c r="AA59" s="232"/>
      <c r="AB59" s="232"/>
      <c r="AC59" s="232"/>
      <c r="AD59" s="232"/>
      <c r="AE59" s="232"/>
      <c r="AF59" s="232"/>
      <c r="AG59" s="232"/>
      <c r="AH59" s="232"/>
      <c r="AI59" s="232"/>
      <c r="AJ59" s="232"/>
      <c r="AK59" s="232"/>
      <c r="AL59" s="232"/>
      <c r="AM59" s="232"/>
      <c r="AN59" s="232"/>
      <c r="AO59" s="232"/>
      <c r="AP59" s="232"/>
      <c r="AQ59" s="232" t="s">
        <v>1305</v>
      </c>
      <c r="AR59" s="232"/>
      <c r="AS59" s="232"/>
      <c r="AT59" s="232"/>
      <c r="AU59" s="232"/>
      <c r="AV59" s="232"/>
      <c r="AW59" s="232"/>
      <c r="AX59" s="232"/>
      <c r="AY59" s="232"/>
      <c r="AZ59" s="232"/>
      <c r="BA59" s="232"/>
      <c r="BB59" s="232"/>
      <c r="BC59" s="232"/>
      <c r="BD59" s="232"/>
      <c r="BE59" s="232"/>
      <c r="BF59" s="232"/>
      <c r="BG59" s="232"/>
      <c r="BH59" s="232"/>
      <c r="BI59" s="232"/>
      <c r="BJ59" s="232"/>
      <c r="BK59" s="232"/>
      <c r="BL59" s="232"/>
      <c r="BM59" s="232"/>
      <c r="BN59" s="232"/>
      <c r="BO59" s="232"/>
      <c r="BP59" s="232"/>
      <c r="BQ59" s="232"/>
      <c r="BR59" s="232"/>
      <c r="BS59" s="232"/>
      <c r="BT59" s="232"/>
      <c r="BU59" s="232"/>
      <c r="BV59" s="232"/>
      <c r="BW59" s="232"/>
      <c r="BX59" s="232"/>
      <c r="BY59" s="232"/>
      <c r="BZ59" s="232"/>
      <c r="CA59" s="232"/>
      <c r="CB59" s="232"/>
      <c r="CC59" s="232"/>
      <c r="CD59" s="232"/>
      <c r="CE59" s="232"/>
      <c r="CF59" s="232"/>
      <c r="CG59" s="232"/>
      <c r="CH59" s="232"/>
      <c r="CI59" s="232" t="s">
        <v>1305</v>
      </c>
      <c r="CJ59" s="232"/>
      <c r="CK59" s="232"/>
      <c r="CL59" s="232"/>
      <c r="CM59" s="232"/>
      <c r="CN59" s="232"/>
      <c r="CO59" s="232"/>
      <c r="CP59" s="233" t="str">
        <f aca="false">IF(AND(D59="✓",D$4&lt;&gt;""),D$4&amp;"; ","")&amp;IF(AND(E59="✓",E$4&lt;&gt;""),E$4&amp;"; ","")&amp;IF(AND(F59="✓",F$4&lt;&gt;""),F$4&amp;"; ","")&amp;IF(AND(G59="✓",G$4&lt;&gt;""),G$4&amp;"; ","")&amp;IF(AND(H59="✓",H$4&lt;&gt;""),H$4&amp;"; ","")&amp;IF(AND(I59="✓",I$4&lt;&gt;""),I$4&amp;"; ","")&amp;IF(AND(J59="✓",J$4&lt;&gt;""),J$4&amp;"; ","")&amp;IF(AND(K59="✓",K$4&lt;&gt;""),K$4&amp;"; ","")&amp;IF(AND(L59="✓",L$4&lt;&gt;""),L$4&amp;"; ","")&amp;IF(AND(M59="✓",M$4&lt;&gt;""),M$4&amp;"; ","")&amp;IF(AND(N59="✓",N$4&lt;&gt;""),N$4&amp;"; ","")&amp;IF(AND(O59="✓",O$4&lt;&gt;""),O$4&amp;"; ","")&amp;IF(AND(P59="✓",P$4&lt;&gt;""),P$4&amp;"; ","")&amp;IF(AND(Q59="✓",Q$4&lt;&gt;""),Q$4&amp;"; ","")&amp;IF(AND(R59="✓",R$4&lt;&gt;""),R$4&amp;"; ","")&amp;IF(AND(S59="✓",S$4&lt;&gt;""),S$4&amp;"; ","")&amp;IF(AND(T59="✓",T$4&lt;&gt;""),T$4&amp;"; ","")&amp;IF(AND(U59="✓",U$4&lt;&gt;""),U$4&amp;"; ","")&amp;IF(AND(V59="✓",V$4&lt;&gt;""),V$4&amp;"; ","")&amp;IF(AND(W59="✓",W$4&lt;&gt;""),W$4&amp;"; ","")&amp;IF(AND(X59="✓",X$4&lt;&gt;""),X$4&amp;"; ","")&amp;IF(AND(Y59="✓",Y$4&lt;&gt;""),Y$4&amp;"; ","")&amp;IF(AND(Z59="✓",Z$4&lt;&gt;""),Z$4&amp;"; ","")&amp;IF(AND(AA59="✓",AA$4&lt;&gt;""),AA$4&amp;"; ","")&amp;IF(AND(AB59="✓",AB$4&lt;&gt;""),AB$4&amp;"; ","")&amp;IF(AND(AC59="✓",AC$4&lt;&gt;""),AC$4&amp;"; ","")&amp;IF(AND(AD59="✓",AD$4&lt;&gt;""),AD$4&amp;"; ","")&amp;IF(AND(AE59="✓",AE$4&lt;&gt;""),AE$4&amp;"; ","")&amp;IF(AND(AF59="✓",AF$4&lt;&gt;""),AF$4&amp;"; ","")&amp;IF(AND(AG59="✓",AG$4&lt;&gt;""),AG$4&amp;"; ","")&amp;IF(AND(AH59="✓",AH$4&lt;&gt;""),AH$4&amp;"; ","")&amp;IF(AND(AI59="✓",AI$4&lt;&gt;""),AI$4&amp;"; ","")&amp;IF(AND(AJ59="✓",AJ$4&lt;&gt;""),AJ$4&amp;"; ","")&amp;IF(AND(AK59="✓",AK$4&lt;&gt;""),AK$4&amp;"; ","")&amp;IF(AND(AL59="✓",AL$4&lt;&gt;""),AL$4&amp;"; ","")&amp;IF(AND(AM59="✓",AM$4&lt;&gt;""),AM$4&amp;"; ","")&amp;IF(AND(AN59="✓",AN$4&lt;&gt;""),AN$4&amp;"; ","")&amp;IF(AND(AO59="✓",AO$4&lt;&gt;""),AO$4&amp;"; ","")&amp;IF(AND(AP59="✓",AP$4&lt;&gt;""),AP$4&amp;"; ","")&amp;IF(AND(AQ59="✓",AQ$4&lt;&gt;""),AQ$4&amp;"; ","")&amp;IF(AND(AR59="✓",AR$4&lt;&gt;""),AR$4&amp;"; ","")&amp;IF(AND(AS59="✓",AS$4&lt;&gt;""),AS$4&amp;"; ","")&amp;IF(AND(AT59="✓",AT$4&lt;&gt;""),AT$4&amp;"; ","")&amp;IF(AND(AU59="✓",AU$4&lt;&gt;""),AU$4&amp;"; ","")&amp;IF(AND(AV59="✓",AV$4&lt;&gt;""),AV$4&amp;"; ","")&amp;IF(AND(AW59="✓",AW$4&lt;&gt;""),AW$4&amp;"; ","")&amp;IF(AND(AX59="✓",AX$4&lt;&gt;""),AX$4&amp;"; ","")&amp;IF(AND(AY59="✓",AY$4&lt;&gt;""),AY$4&amp;"; ","")&amp;IF(AND(AZ59="✓",AZ$4&lt;&gt;""),AZ$4&amp;"; ","")&amp;IF(AND(BA59="✓",BA$4&lt;&gt;""),BA$4&amp;"; ","")&amp;IF(AND(BB59="✓",BB$4&lt;&gt;""),BB$4&amp;"; ","")&amp;IF(AND(BC59="✓",BC$4&lt;&gt;""),BC$4&amp;"; ","")&amp;IF(AND(BD59="✓",BD$4&lt;&gt;""),BD$4&amp;"; ","")&amp;IF(AND(BE59="✓",BE$4&lt;&gt;""),BE$4&amp;"; ","")&amp;IF(AND(BF59="✓",BF$4&lt;&gt;""),BF$4&amp;"; ","")&amp;IF(AND(BG59="✓",BG$4&lt;&gt;""),BG$4&amp;"; ","")&amp;IF(AND(BH59="✓",BH$4&lt;&gt;""),BH$4&amp;"; ","")&amp;IF(AND(BI59="✓",BI$4&lt;&gt;""),BI$4&amp;"; ","")&amp;IF(AND(BJ59="✓",BJ$4&lt;&gt;""),BJ$4&amp;"; ","")&amp;IF(AND(BK59="✓",BK$4&lt;&gt;""),BK$4&amp;"; ","")&amp;IF(AND(BL59="✓",BL$4&lt;&gt;""),BL$4&amp;"; ","")&amp;IF(AND(BM59="✓",BM$4&lt;&gt;""),BM$4&amp;"; ","")&amp;IF(AND(BN59="✓",BN$4&lt;&gt;""),BN$4&amp;"; ","")&amp;IF(AND(BO59="✓",BO$4&lt;&gt;""),BO$4&amp;"; ","")&amp;IF(AND(BP59="✓",BP$4&lt;&gt;""),BP$4&amp;"; ","")&amp;IF(AND(BQ59="✓",BQ$4&lt;&gt;""),BQ$4&amp;"; ","")&amp;IF(AND(BR59="✓",BR$4&lt;&gt;""),BR$4&amp;"; ","")&amp;IF(AND(BS59="✓",BS$4&lt;&gt;""),BS$4&amp;"; ","")&amp;IF(AND(BT59="✓",BT$4&lt;&gt;""),BT$4&amp;"; ","")&amp;IF(AND(BU59="✓",BU$4&lt;&gt;""),BU$4&amp;"; ","")&amp;IF(AND(BV59="✓",BV$4&lt;&gt;""),BV$4&amp;"; ","")&amp;IF(AND(BW59="✓",BW$4&lt;&gt;""),BW$4&amp;"; ","")&amp;IF(AND(BX59="✓",BX$4&lt;&gt;""),BX$4&amp;"; ","")&amp;IF(AND(BY59="✓",BY$4&lt;&gt;""),BY$4&amp;"; ","")&amp;IF(AND(BZ59="✓",BZ$4&lt;&gt;""),BZ$4&amp;"; ","")&amp;IF(AND(CA59="✓",CA$4&lt;&gt;""),CA$4&amp;"; ","")&amp;IF(AND(CB59="✓",CB$4&lt;&gt;""),CB$4&amp;"; ","")&amp;IF(AND(CC59="✓",CC$4&lt;&gt;""),CC$4&amp;"; ","")&amp;IF(AND(CD59="✓",CD$4&lt;&gt;""),CD$4&amp;"; ","")&amp;IF(AND(CE59="✓",CE$4&lt;&gt;""),CE$4&amp;"; ","")&amp;IF(AND(CF59="✓",CF$4&lt;&gt;""),CF$4&amp;"; ","")&amp;IF(AND(CG59="✓",CG$4&lt;&gt;""),CG$4&amp;"; ","")&amp;IF(AND(CH59="✓",CH$4&lt;&gt;""),CH$4&amp;"; ","")&amp;IF(AND(CI59="✓",CI$4&lt;&gt;""),CI$4&amp;"; ","")&amp;IF(AND(CJ59="✓",CJ$4&lt;&gt;""),CJ$4&amp;"; ","")&amp;IF(AND(CK59="✓",CK$4&lt;&gt;""),CK$4&amp;"; ","")&amp;IF(AND(CL59="✓",CL$4&lt;&gt;""),CL$4&amp;"; ","")&amp;IF(AND(CM59="✓",CM$4&lt;&gt;""),CM$4&amp;"; ","")&amp;IF(AND(CN59="✓",CN$4&lt;&gt;""),CN$4&amp;"; ","")&amp;IF(AND(CO59="✓",CO$4&lt;&gt;""),CO$4&amp;"; ","")</f>
        <v>OPP-01; OPP-03; OPP-04; OPP-40; OPP-84; </v>
      </c>
      <c r="CQ59" s="104" t="str">
        <f aca="false">IF($CP59="","",LEFT($CP59,LEN($CP59)-2))</f>
        <v>OPP-01; OPP-03; OPP-04; OPP-40; OPP-84</v>
      </c>
      <c r="CR59" s="234" t="n">
        <f aca="false">IF($A59="","",COUNTIF($D59:$CO59,"✓"))</f>
        <v>5</v>
      </c>
    </row>
    <row r="60" customFormat="false" ht="21.75" hidden="false" customHeight="true" outlineLevel="0" collapsed="false">
      <c r="A60" s="231" t="str">
        <f aca="false">IF(03_能力總表_Master!$A60="","",03_能力總表_Master!$A60)</f>
        <v>CAP-056</v>
      </c>
      <c r="B60" s="166" t="str">
        <f aca="false">IF(03_能力總表_Master!$A60="","",03_能力總表_Master!$B60)</f>
        <v>D10 商模與病人生態</v>
      </c>
      <c r="C60" s="95" t="str">
        <f aca="false">IF(03_能力總表_Master!$A60="","",03_能力總表_Master!$E60)</f>
        <v>健保申報與數位理賠</v>
      </c>
      <c r="D60" s="232"/>
      <c r="E60" s="232"/>
      <c r="F60" s="232"/>
      <c r="G60" s="232"/>
      <c r="H60" s="232"/>
      <c r="I60" s="232"/>
      <c r="J60" s="232"/>
      <c r="K60" s="232"/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232"/>
      <c r="Z60" s="232"/>
      <c r="AA60" s="232"/>
      <c r="AB60" s="232"/>
      <c r="AC60" s="232"/>
      <c r="AD60" s="232"/>
      <c r="AE60" s="232"/>
      <c r="AF60" s="232"/>
      <c r="AG60" s="232"/>
      <c r="AH60" s="232"/>
      <c r="AI60" s="232"/>
      <c r="AJ60" s="232"/>
      <c r="AK60" s="232"/>
      <c r="AL60" s="232"/>
      <c r="AM60" s="232"/>
      <c r="AN60" s="232"/>
      <c r="AO60" s="232"/>
      <c r="AP60" s="232"/>
      <c r="AQ60" s="232"/>
      <c r="AR60" s="232"/>
      <c r="AS60" s="232"/>
      <c r="AT60" s="232"/>
      <c r="AU60" s="232"/>
      <c r="AV60" s="232"/>
      <c r="AW60" s="232"/>
      <c r="AX60" s="232"/>
      <c r="AY60" s="232"/>
      <c r="AZ60" s="232"/>
      <c r="BA60" s="232"/>
      <c r="BB60" s="232" t="s">
        <v>1305</v>
      </c>
      <c r="BC60" s="232"/>
      <c r="BD60" s="232"/>
      <c r="BE60" s="232"/>
      <c r="BF60" s="232"/>
      <c r="BG60" s="232"/>
      <c r="BH60" s="232"/>
      <c r="BI60" s="232"/>
      <c r="BJ60" s="232"/>
      <c r="BK60" s="232"/>
      <c r="BL60" s="232"/>
      <c r="BM60" s="232"/>
      <c r="BN60" s="232"/>
      <c r="BO60" s="232"/>
      <c r="BP60" s="232"/>
      <c r="BQ60" s="232"/>
      <c r="BR60" s="232"/>
      <c r="BS60" s="232"/>
      <c r="BT60" s="232"/>
      <c r="BU60" s="232"/>
      <c r="BV60" s="232"/>
      <c r="BW60" s="232"/>
      <c r="BX60" s="232"/>
      <c r="BY60" s="232"/>
      <c r="BZ60" s="232"/>
      <c r="CA60" s="232"/>
      <c r="CB60" s="232"/>
      <c r="CC60" s="232"/>
      <c r="CD60" s="232"/>
      <c r="CE60" s="232"/>
      <c r="CF60" s="232"/>
      <c r="CG60" s="232" t="s">
        <v>1305</v>
      </c>
      <c r="CH60" s="232"/>
      <c r="CI60" s="232"/>
      <c r="CJ60" s="232"/>
      <c r="CK60" s="232"/>
      <c r="CL60" s="232"/>
      <c r="CM60" s="232"/>
      <c r="CN60" s="232"/>
      <c r="CO60" s="232"/>
      <c r="CP60" s="233" t="str">
        <f aca="false">IF(AND(D60="✓",D$4&lt;&gt;""),D$4&amp;"; ","")&amp;IF(AND(E60="✓",E$4&lt;&gt;""),E$4&amp;"; ","")&amp;IF(AND(F60="✓",F$4&lt;&gt;""),F$4&amp;"; ","")&amp;IF(AND(G60="✓",G$4&lt;&gt;""),G$4&amp;"; ","")&amp;IF(AND(H60="✓",H$4&lt;&gt;""),H$4&amp;"; ","")&amp;IF(AND(I60="✓",I$4&lt;&gt;""),I$4&amp;"; ","")&amp;IF(AND(J60="✓",J$4&lt;&gt;""),J$4&amp;"; ","")&amp;IF(AND(K60="✓",K$4&lt;&gt;""),K$4&amp;"; ","")&amp;IF(AND(L60="✓",L$4&lt;&gt;""),L$4&amp;"; ","")&amp;IF(AND(M60="✓",M$4&lt;&gt;""),M$4&amp;"; ","")&amp;IF(AND(N60="✓",N$4&lt;&gt;""),N$4&amp;"; ","")&amp;IF(AND(O60="✓",O$4&lt;&gt;""),O$4&amp;"; ","")&amp;IF(AND(P60="✓",P$4&lt;&gt;""),P$4&amp;"; ","")&amp;IF(AND(Q60="✓",Q$4&lt;&gt;""),Q$4&amp;"; ","")&amp;IF(AND(R60="✓",R$4&lt;&gt;""),R$4&amp;"; ","")&amp;IF(AND(S60="✓",S$4&lt;&gt;""),S$4&amp;"; ","")&amp;IF(AND(T60="✓",T$4&lt;&gt;""),T$4&amp;"; ","")&amp;IF(AND(U60="✓",U$4&lt;&gt;""),U$4&amp;"; ","")&amp;IF(AND(V60="✓",V$4&lt;&gt;""),V$4&amp;"; ","")&amp;IF(AND(W60="✓",W$4&lt;&gt;""),W$4&amp;"; ","")&amp;IF(AND(X60="✓",X$4&lt;&gt;""),X$4&amp;"; ","")&amp;IF(AND(Y60="✓",Y$4&lt;&gt;""),Y$4&amp;"; ","")&amp;IF(AND(Z60="✓",Z$4&lt;&gt;""),Z$4&amp;"; ","")&amp;IF(AND(AA60="✓",AA$4&lt;&gt;""),AA$4&amp;"; ","")&amp;IF(AND(AB60="✓",AB$4&lt;&gt;""),AB$4&amp;"; ","")&amp;IF(AND(AC60="✓",AC$4&lt;&gt;""),AC$4&amp;"; ","")&amp;IF(AND(AD60="✓",AD$4&lt;&gt;""),AD$4&amp;"; ","")&amp;IF(AND(AE60="✓",AE$4&lt;&gt;""),AE$4&amp;"; ","")&amp;IF(AND(AF60="✓",AF$4&lt;&gt;""),AF$4&amp;"; ","")&amp;IF(AND(AG60="✓",AG$4&lt;&gt;""),AG$4&amp;"; ","")&amp;IF(AND(AH60="✓",AH$4&lt;&gt;""),AH$4&amp;"; ","")&amp;IF(AND(AI60="✓",AI$4&lt;&gt;""),AI$4&amp;"; ","")&amp;IF(AND(AJ60="✓",AJ$4&lt;&gt;""),AJ$4&amp;"; ","")&amp;IF(AND(AK60="✓",AK$4&lt;&gt;""),AK$4&amp;"; ","")&amp;IF(AND(AL60="✓",AL$4&lt;&gt;""),AL$4&amp;"; ","")&amp;IF(AND(AM60="✓",AM$4&lt;&gt;""),AM$4&amp;"; ","")&amp;IF(AND(AN60="✓",AN$4&lt;&gt;""),AN$4&amp;"; ","")&amp;IF(AND(AO60="✓",AO$4&lt;&gt;""),AO$4&amp;"; ","")&amp;IF(AND(AP60="✓",AP$4&lt;&gt;""),AP$4&amp;"; ","")&amp;IF(AND(AQ60="✓",AQ$4&lt;&gt;""),AQ$4&amp;"; ","")&amp;IF(AND(AR60="✓",AR$4&lt;&gt;""),AR$4&amp;"; ","")&amp;IF(AND(AS60="✓",AS$4&lt;&gt;""),AS$4&amp;"; ","")&amp;IF(AND(AT60="✓",AT$4&lt;&gt;""),AT$4&amp;"; ","")&amp;IF(AND(AU60="✓",AU$4&lt;&gt;""),AU$4&amp;"; ","")&amp;IF(AND(AV60="✓",AV$4&lt;&gt;""),AV$4&amp;"; ","")&amp;IF(AND(AW60="✓",AW$4&lt;&gt;""),AW$4&amp;"; ","")&amp;IF(AND(AX60="✓",AX$4&lt;&gt;""),AX$4&amp;"; ","")&amp;IF(AND(AY60="✓",AY$4&lt;&gt;""),AY$4&amp;"; ","")&amp;IF(AND(AZ60="✓",AZ$4&lt;&gt;""),AZ$4&amp;"; ","")&amp;IF(AND(BA60="✓",BA$4&lt;&gt;""),BA$4&amp;"; ","")&amp;IF(AND(BB60="✓",BB$4&lt;&gt;""),BB$4&amp;"; ","")&amp;IF(AND(BC60="✓",BC$4&lt;&gt;""),BC$4&amp;"; ","")&amp;IF(AND(BD60="✓",BD$4&lt;&gt;""),BD$4&amp;"; ","")&amp;IF(AND(BE60="✓",BE$4&lt;&gt;""),BE$4&amp;"; ","")&amp;IF(AND(BF60="✓",BF$4&lt;&gt;""),BF$4&amp;"; ","")&amp;IF(AND(BG60="✓",BG$4&lt;&gt;""),BG$4&amp;"; ","")&amp;IF(AND(BH60="✓",BH$4&lt;&gt;""),BH$4&amp;"; ","")&amp;IF(AND(BI60="✓",BI$4&lt;&gt;""),BI$4&amp;"; ","")&amp;IF(AND(BJ60="✓",BJ$4&lt;&gt;""),BJ$4&amp;"; ","")&amp;IF(AND(BK60="✓",BK$4&lt;&gt;""),BK$4&amp;"; ","")&amp;IF(AND(BL60="✓",BL$4&lt;&gt;""),BL$4&amp;"; ","")&amp;IF(AND(BM60="✓",BM$4&lt;&gt;""),BM$4&amp;"; ","")&amp;IF(AND(BN60="✓",BN$4&lt;&gt;""),BN$4&amp;"; ","")&amp;IF(AND(BO60="✓",BO$4&lt;&gt;""),BO$4&amp;"; ","")&amp;IF(AND(BP60="✓",BP$4&lt;&gt;""),BP$4&amp;"; ","")&amp;IF(AND(BQ60="✓",BQ$4&lt;&gt;""),BQ$4&amp;"; ","")&amp;IF(AND(BR60="✓",BR$4&lt;&gt;""),BR$4&amp;"; ","")&amp;IF(AND(BS60="✓",BS$4&lt;&gt;""),BS$4&amp;"; ","")&amp;IF(AND(BT60="✓",BT$4&lt;&gt;""),BT$4&amp;"; ","")&amp;IF(AND(BU60="✓",BU$4&lt;&gt;""),BU$4&amp;"; ","")&amp;IF(AND(BV60="✓",BV$4&lt;&gt;""),BV$4&amp;"; ","")&amp;IF(AND(BW60="✓",BW$4&lt;&gt;""),BW$4&amp;"; ","")&amp;IF(AND(BX60="✓",BX$4&lt;&gt;""),BX$4&amp;"; ","")&amp;IF(AND(BY60="✓",BY$4&lt;&gt;""),BY$4&amp;"; ","")&amp;IF(AND(BZ60="✓",BZ$4&lt;&gt;""),BZ$4&amp;"; ","")&amp;IF(AND(CA60="✓",CA$4&lt;&gt;""),CA$4&amp;"; ","")&amp;IF(AND(CB60="✓",CB$4&lt;&gt;""),CB$4&amp;"; ","")&amp;IF(AND(CC60="✓",CC$4&lt;&gt;""),CC$4&amp;"; ","")&amp;IF(AND(CD60="✓",CD$4&lt;&gt;""),CD$4&amp;"; ","")&amp;IF(AND(CE60="✓",CE$4&lt;&gt;""),CE$4&amp;"; ","")&amp;IF(AND(CF60="✓",CF$4&lt;&gt;""),CF$4&amp;"; ","")&amp;IF(AND(CG60="✓",CG$4&lt;&gt;""),CG$4&amp;"; ","")&amp;IF(AND(CH60="✓",CH$4&lt;&gt;""),CH$4&amp;"; ","")&amp;IF(AND(CI60="✓",CI$4&lt;&gt;""),CI$4&amp;"; ","")&amp;IF(AND(CJ60="✓",CJ$4&lt;&gt;""),CJ$4&amp;"; ","")&amp;IF(AND(CK60="✓",CK$4&lt;&gt;""),CK$4&amp;"; ","")&amp;IF(AND(CL60="✓",CL$4&lt;&gt;""),CL$4&amp;"; ","")&amp;IF(AND(CM60="✓",CM$4&lt;&gt;""),CM$4&amp;"; ","")&amp;IF(AND(CN60="✓",CN$4&lt;&gt;""),CN$4&amp;"; ","")&amp;IF(AND(CO60="✓",CO$4&lt;&gt;""),CO$4&amp;"; ","")</f>
        <v>OPP-51; OPP-82; </v>
      </c>
      <c r="CQ60" s="104" t="str">
        <f aca="false">IF($CP60="","",LEFT($CP60,LEN($CP60)-2))</f>
        <v>OPP-51; OPP-82</v>
      </c>
      <c r="CR60" s="234" t="n">
        <f aca="false">IF($A60="","",COUNTIF($D60:$CO60,"✓"))</f>
        <v>2</v>
      </c>
    </row>
    <row r="61" customFormat="false" ht="21.75" hidden="false" customHeight="true" outlineLevel="0" collapsed="false">
      <c r="A61" s="231" t="str">
        <f aca="false">IF(03_能力總表_Master!$A61="","",03_能力總表_Master!$A61)</f>
        <v>CAP-057</v>
      </c>
      <c r="B61" s="166" t="str">
        <f aca="false">IF(03_能力總表_Master!$A61="","",03_能力總表_Master!$B61)</f>
        <v>D10 商模與病人生態</v>
      </c>
      <c r="C61" s="95" t="str">
        <f aca="false">IF(03_能力總表_Master!$A61="","",03_能力總表_Master!$E61)</f>
        <v>現金流、支付與收入週期</v>
      </c>
      <c r="D61" s="232"/>
      <c r="E61" s="232"/>
      <c r="F61" s="232"/>
      <c r="G61" s="232"/>
      <c r="H61" s="232"/>
      <c r="I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232"/>
      <c r="Z61" s="232"/>
      <c r="AA61" s="232"/>
      <c r="AB61" s="232"/>
      <c r="AC61" s="232"/>
      <c r="AD61" s="232"/>
      <c r="AE61" s="232"/>
      <c r="AF61" s="232"/>
      <c r="AG61" s="232"/>
      <c r="AH61" s="232"/>
      <c r="AI61" s="232"/>
      <c r="AJ61" s="232"/>
      <c r="AK61" s="232"/>
      <c r="AL61" s="232"/>
      <c r="AM61" s="232"/>
      <c r="AN61" s="232"/>
      <c r="AO61" s="232"/>
      <c r="AP61" s="232"/>
      <c r="AQ61" s="232"/>
      <c r="AR61" s="232"/>
      <c r="AS61" s="232"/>
      <c r="AT61" s="232"/>
      <c r="AU61" s="232"/>
      <c r="AV61" s="232"/>
      <c r="AW61" s="232"/>
      <c r="AX61" s="232"/>
      <c r="AY61" s="232"/>
      <c r="AZ61" s="232"/>
      <c r="BA61" s="232"/>
      <c r="BB61" s="232"/>
      <c r="BC61" s="232"/>
      <c r="BD61" s="232"/>
      <c r="BE61" s="232"/>
      <c r="BF61" s="232"/>
      <c r="BG61" s="232"/>
      <c r="BH61" s="232"/>
      <c r="BI61" s="232"/>
      <c r="BJ61" s="232"/>
      <c r="BK61" s="232"/>
      <c r="BL61" s="232"/>
      <c r="BM61" s="232"/>
      <c r="BN61" s="232"/>
      <c r="BO61" s="232"/>
      <c r="BP61" s="232"/>
      <c r="BQ61" s="232"/>
      <c r="BR61" s="232"/>
      <c r="BS61" s="232"/>
      <c r="BT61" s="232"/>
      <c r="BU61" s="232"/>
      <c r="BV61" s="232"/>
      <c r="BW61" s="232"/>
      <c r="BX61" s="232"/>
      <c r="BY61" s="232"/>
      <c r="BZ61" s="232"/>
      <c r="CA61" s="232"/>
      <c r="CB61" s="232"/>
      <c r="CC61" s="232"/>
      <c r="CD61" s="232"/>
      <c r="CE61" s="232"/>
      <c r="CF61" s="232" t="s">
        <v>1305</v>
      </c>
      <c r="CG61" s="232" t="s">
        <v>1305</v>
      </c>
      <c r="CH61" s="232"/>
      <c r="CI61" s="232"/>
      <c r="CJ61" s="232"/>
      <c r="CK61" s="232"/>
      <c r="CL61" s="232"/>
      <c r="CM61" s="232"/>
      <c r="CN61" s="232"/>
      <c r="CO61" s="232"/>
      <c r="CP61" s="233" t="str">
        <f aca="false">IF(AND(D61="✓",D$4&lt;&gt;""),D$4&amp;"; ","")&amp;IF(AND(E61="✓",E$4&lt;&gt;""),E$4&amp;"; ","")&amp;IF(AND(F61="✓",F$4&lt;&gt;""),F$4&amp;"; ","")&amp;IF(AND(G61="✓",G$4&lt;&gt;""),G$4&amp;"; ","")&amp;IF(AND(H61="✓",H$4&lt;&gt;""),H$4&amp;"; ","")&amp;IF(AND(I61="✓",I$4&lt;&gt;""),I$4&amp;"; ","")&amp;IF(AND(J61="✓",J$4&lt;&gt;""),J$4&amp;"; ","")&amp;IF(AND(K61="✓",K$4&lt;&gt;""),K$4&amp;"; ","")&amp;IF(AND(L61="✓",L$4&lt;&gt;""),L$4&amp;"; ","")&amp;IF(AND(M61="✓",M$4&lt;&gt;""),M$4&amp;"; ","")&amp;IF(AND(N61="✓",N$4&lt;&gt;""),N$4&amp;"; ","")&amp;IF(AND(O61="✓",O$4&lt;&gt;""),O$4&amp;"; ","")&amp;IF(AND(P61="✓",P$4&lt;&gt;""),P$4&amp;"; ","")&amp;IF(AND(Q61="✓",Q$4&lt;&gt;""),Q$4&amp;"; ","")&amp;IF(AND(R61="✓",R$4&lt;&gt;""),R$4&amp;"; ","")&amp;IF(AND(S61="✓",S$4&lt;&gt;""),S$4&amp;"; ","")&amp;IF(AND(T61="✓",T$4&lt;&gt;""),T$4&amp;"; ","")&amp;IF(AND(U61="✓",U$4&lt;&gt;""),U$4&amp;"; ","")&amp;IF(AND(V61="✓",V$4&lt;&gt;""),V$4&amp;"; ","")&amp;IF(AND(W61="✓",W$4&lt;&gt;""),W$4&amp;"; ","")&amp;IF(AND(X61="✓",X$4&lt;&gt;""),X$4&amp;"; ","")&amp;IF(AND(Y61="✓",Y$4&lt;&gt;""),Y$4&amp;"; ","")&amp;IF(AND(Z61="✓",Z$4&lt;&gt;""),Z$4&amp;"; ","")&amp;IF(AND(AA61="✓",AA$4&lt;&gt;""),AA$4&amp;"; ","")&amp;IF(AND(AB61="✓",AB$4&lt;&gt;""),AB$4&amp;"; ","")&amp;IF(AND(AC61="✓",AC$4&lt;&gt;""),AC$4&amp;"; ","")&amp;IF(AND(AD61="✓",AD$4&lt;&gt;""),AD$4&amp;"; ","")&amp;IF(AND(AE61="✓",AE$4&lt;&gt;""),AE$4&amp;"; ","")&amp;IF(AND(AF61="✓",AF$4&lt;&gt;""),AF$4&amp;"; ","")&amp;IF(AND(AG61="✓",AG$4&lt;&gt;""),AG$4&amp;"; ","")&amp;IF(AND(AH61="✓",AH$4&lt;&gt;""),AH$4&amp;"; ","")&amp;IF(AND(AI61="✓",AI$4&lt;&gt;""),AI$4&amp;"; ","")&amp;IF(AND(AJ61="✓",AJ$4&lt;&gt;""),AJ$4&amp;"; ","")&amp;IF(AND(AK61="✓",AK$4&lt;&gt;""),AK$4&amp;"; ","")&amp;IF(AND(AL61="✓",AL$4&lt;&gt;""),AL$4&amp;"; ","")&amp;IF(AND(AM61="✓",AM$4&lt;&gt;""),AM$4&amp;"; ","")&amp;IF(AND(AN61="✓",AN$4&lt;&gt;""),AN$4&amp;"; ","")&amp;IF(AND(AO61="✓",AO$4&lt;&gt;""),AO$4&amp;"; ","")&amp;IF(AND(AP61="✓",AP$4&lt;&gt;""),AP$4&amp;"; ","")&amp;IF(AND(AQ61="✓",AQ$4&lt;&gt;""),AQ$4&amp;"; ","")&amp;IF(AND(AR61="✓",AR$4&lt;&gt;""),AR$4&amp;"; ","")&amp;IF(AND(AS61="✓",AS$4&lt;&gt;""),AS$4&amp;"; ","")&amp;IF(AND(AT61="✓",AT$4&lt;&gt;""),AT$4&amp;"; ","")&amp;IF(AND(AU61="✓",AU$4&lt;&gt;""),AU$4&amp;"; ","")&amp;IF(AND(AV61="✓",AV$4&lt;&gt;""),AV$4&amp;"; ","")&amp;IF(AND(AW61="✓",AW$4&lt;&gt;""),AW$4&amp;"; ","")&amp;IF(AND(AX61="✓",AX$4&lt;&gt;""),AX$4&amp;"; ","")&amp;IF(AND(AY61="✓",AY$4&lt;&gt;""),AY$4&amp;"; ","")&amp;IF(AND(AZ61="✓",AZ$4&lt;&gt;""),AZ$4&amp;"; ","")&amp;IF(AND(BA61="✓",BA$4&lt;&gt;""),BA$4&amp;"; ","")&amp;IF(AND(BB61="✓",BB$4&lt;&gt;""),BB$4&amp;"; ","")&amp;IF(AND(BC61="✓",BC$4&lt;&gt;""),BC$4&amp;"; ","")&amp;IF(AND(BD61="✓",BD$4&lt;&gt;""),BD$4&amp;"; ","")&amp;IF(AND(BE61="✓",BE$4&lt;&gt;""),BE$4&amp;"; ","")&amp;IF(AND(BF61="✓",BF$4&lt;&gt;""),BF$4&amp;"; ","")&amp;IF(AND(BG61="✓",BG$4&lt;&gt;""),BG$4&amp;"; ","")&amp;IF(AND(BH61="✓",BH$4&lt;&gt;""),BH$4&amp;"; ","")&amp;IF(AND(BI61="✓",BI$4&lt;&gt;""),BI$4&amp;"; ","")&amp;IF(AND(BJ61="✓",BJ$4&lt;&gt;""),BJ$4&amp;"; ","")&amp;IF(AND(BK61="✓",BK$4&lt;&gt;""),BK$4&amp;"; ","")&amp;IF(AND(BL61="✓",BL$4&lt;&gt;""),BL$4&amp;"; ","")&amp;IF(AND(BM61="✓",BM$4&lt;&gt;""),BM$4&amp;"; ","")&amp;IF(AND(BN61="✓",BN$4&lt;&gt;""),BN$4&amp;"; ","")&amp;IF(AND(BO61="✓",BO$4&lt;&gt;""),BO$4&amp;"; ","")&amp;IF(AND(BP61="✓",BP$4&lt;&gt;""),BP$4&amp;"; ","")&amp;IF(AND(BQ61="✓",BQ$4&lt;&gt;""),BQ$4&amp;"; ","")&amp;IF(AND(BR61="✓",BR$4&lt;&gt;""),BR$4&amp;"; ","")&amp;IF(AND(BS61="✓",BS$4&lt;&gt;""),BS$4&amp;"; ","")&amp;IF(AND(BT61="✓",BT$4&lt;&gt;""),BT$4&amp;"; ","")&amp;IF(AND(BU61="✓",BU$4&lt;&gt;""),BU$4&amp;"; ","")&amp;IF(AND(BV61="✓",BV$4&lt;&gt;""),BV$4&amp;"; ","")&amp;IF(AND(BW61="✓",BW$4&lt;&gt;""),BW$4&amp;"; ","")&amp;IF(AND(BX61="✓",BX$4&lt;&gt;""),BX$4&amp;"; ","")&amp;IF(AND(BY61="✓",BY$4&lt;&gt;""),BY$4&amp;"; ","")&amp;IF(AND(BZ61="✓",BZ$4&lt;&gt;""),BZ$4&amp;"; ","")&amp;IF(AND(CA61="✓",CA$4&lt;&gt;""),CA$4&amp;"; ","")&amp;IF(AND(CB61="✓",CB$4&lt;&gt;""),CB$4&amp;"; ","")&amp;IF(AND(CC61="✓",CC$4&lt;&gt;""),CC$4&amp;"; ","")&amp;IF(AND(CD61="✓",CD$4&lt;&gt;""),CD$4&amp;"; ","")&amp;IF(AND(CE61="✓",CE$4&lt;&gt;""),CE$4&amp;"; ","")&amp;IF(AND(CF61="✓",CF$4&lt;&gt;""),CF$4&amp;"; ","")&amp;IF(AND(CG61="✓",CG$4&lt;&gt;""),CG$4&amp;"; ","")&amp;IF(AND(CH61="✓",CH$4&lt;&gt;""),CH$4&amp;"; ","")&amp;IF(AND(CI61="✓",CI$4&lt;&gt;""),CI$4&amp;"; ","")&amp;IF(AND(CJ61="✓",CJ$4&lt;&gt;""),CJ$4&amp;"; ","")&amp;IF(AND(CK61="✓",CK$4&lt;&gt;""),CK$4&amp;"; ","")&amp;IF(AND(CL61="✓",CL$4&lt;&gt;""),CL$4&amp;"; ","")&amp;IF(AND(CM61="✓",CM$4&lt;&gt;""),CM$4&amp;"; ","")&amp;IF(AND(CN61="✓",CN$4&lt;&gt;""),CN$4&amp;"; ","")&amp;IF(AND(CO61="✓",CO$4&lt;&gt;""),CO$4&amp;"; ","")</f>
        <v>OPP-81; OPP-82; </v>
      </c>
      <c r="CQ61" s="104" t="str">
        <f aca="false">IF($CP61="","",LEFT($CP61,LEN($CP61)-2))</f>
        <v>OPP-81; OPP-82</v>
      </c>
      <c r="CR61" s="234" t="n">
        <f aca="false">IF($A61="","",COUNTIF($D61:$CO61,"✓"))</f>
        <v>2</v>
      </c>
    </row>
    <row r="62" customFormat="false" ht="21.75" hidden="false" customHeight="true" outlineLevel="0" collapsed="false">
      <c r="A62" s="231" t="str">
        <f aca="false">IF(03_能力總表_Master!$A62="","",03_能力總表_Master!$A62)</f>
        <v>CAP-058</v>
      </c>
      <c r="B62" s="166" t="str">
        <f aca="false">IF(03_能力總表_Master!$A62="","",03_能力總表_Master!$B62)</f>
        <v>D10 商模與病人生態</v>
      </c>
      <c r="C62" s="95" t="str">
        <f aca="false">IF(03_能力總表_Master!$A62="","",03_能力總表_Master!$E62)</f>
        <v>國際醫療與高價值服務</v>
      </c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232"/>
      <c r="Z62" s="232"/>
      <c r="AA62" s="232"/>
      <c r="AB62" s="232"/>
      <c r="AC62" s="232"/>
      <c r="AD62" s="232"/>
      <c r="AE62" s="232"/>
      <c r="AF62" s="232"/>
      <c r="AG62" s="232"/>
      <c r="AH62" s="232"/>
      <c r="AI62" s="232"/>
      <c r="AJ62" s="232"/>
      <c r="AK62" s="232"/>
      <c r="AL62" s="232"/>
      <c r="AM62" s="232"/>
      <c r="AN62" s="232"/>
      <c r="AO62" s="232"/>
      <c r="AP62" s="232"/>
      <c r="AQ62" s="232"/>
      <c r="AR62" s="232"/>
      <c r="AS62" s="232"/>
      <c r="AT62" s="232"/>
      <c r="AU62" s="232"/>
      <c r="AV62" s="232"/>
      <c r="AW62" s="232"/>
      <c r="AX62" s="232"/>
      <c r="AY62" s="232"/>
      <c r="AZ62" s="232"/>
      <c r="BA62" s="232"/>
      <c r="BB62" s="232"/>
      <c r="BC62" s="232"/>
      <c r="BD62" s="232"/>
      <c r="BE62" s="232"/>
      <c r="BF62" s="232"/>
      <c r="BG62" s="232"/>
      <c r="BH62" s="232"/>
      <c r="BI62" s="232"/>
      <c r="BJ62" s="232"/>
      <c r="BK62" s="232"/>
      <c r="BL62" s="232"/>
      <c r="BM62" s="232"/>
      <c r="BN62" s="232"/>
      <c r="BO62" s="232"/>
      <c r="BP62" s="232"/>
      <c r="BQ62" s="232"/>
      <c r="BR62" s="232"/>
      <c r="BS62" s="232"/>
      <c r="BT62" s="232"/>
      <c r="BU62" s="232"/>
      <c r="BV62" s="232"/>
      <c r="BW62" s="232"/>
      <c r="BX62" s="232"/>
      <c r="BY62" s="232"/>
      <c r="BZ62" s="232"/>
      <c r="CA62" s="232"/>
      <c r="CB62" s="232"/>
      <c r="CC62" s="232"/>
      <c r="CD62" s="232"/>
      <c r="CE62" s="232"/>
      <c r="CF62" s="232"/>
      <c r="CG62" s="232"/>
      <c r="CH62" s="232" t="s">
        <v>1305</v>
      </c>
      <c r="CI62" s="232" t="s">
        <v>1305</v>
      </c>
      <c r="CJ62" s="232"/>
      <c r="CK62" s="232"/>
      <c r="CL62" s="232"/>
      <c r="CM62" s="232"/>
      <c r="CN62" s="232"/>
      <c r="CO62" s="232"/>
      <c r="CP62" s="233" t="str">
        <f aca="false">IF(AND(D62="✓",D$4&lt;&gt;""),D$4&amp;"; ","")&amp;IF(AND(E62="✓",E$4&lt;&gt;""),E$4&amp;"; ","")&amp;IF(AND(F62="✓",F$4&lt;&gt;""),F$4&amp;"; ","")&amp;IF(AND(G62="✓",G$4&lt;&gt;""),G$4&amp;"; ","")&amp;IF(AND(H62="✓",H$4&lt;&gt;""),H$4&amp;"; ","")&amp;IF(AND(I62="✓",I$4&lt;&gt;""),I$4&amp;"; ","")&amp;IF(AND(J62="✓",J$4&lt;&gt;""),J$4&amp;"; ","")&amp;IF(AND(K62="✓",K$4&lt;&gt;""),K$4&amp;"; ","")&amp;IF(AND(L62="✓",L$4&lt;&gt;""),L$4&amp;"; ","")&amp;IF(AND(M62="✓",M$4&lt;&gt;""),M$4&amp;"; ","")&amp;IF(AND(N62="✓",N$4&lt;&gt;""),N$4&amp;"; ","")&amp;IF(AND(O62="✓",O$4&lt;&gt;""),O$4&amp;"; ","")&amp;IF(AND(P62="✓",P$4&lt;&gt;""),P$4&amp;"; ","")&amp;IF(AND(Q62="✓",Q$4&lt;&gt;""),Q$4&amp;"; ","")&amp;IF(AND(R62="✓",R$4&lt;&gt;""),R$4&amp;"; ","")&amp;IF(AND(S62="✓",S$4&lt;&gt;""),S$4&amp;"; ","")&amp;IF(AND(T62="✓",T$4&lt;&gt;""),T$4&amp;"; ","")&amp;IF(AND(U62="✓",U$4&lt;&gt;""),U$4&amp;"; ","")&amp;IF(AND(V62="✓",V$4&lt;&gt;""),V$4&amp;"; ","")&amp;IF(AND(W62="✓",W$4&lt;&gt;""),W$4&amp;"; ","")&amp;IF(AND(X62="✓",X$4&lt;&gt;""),X$4&amp;"; ","")&amp;IF(AND(Y62="✓",Y$4&lt;&gt;""),Y$4&amp;"; ","")&amp;IF(AND(Z62="✓",Z$4&lt;&gt;""),Z$4&amp;"; ","")&amp;IF(AND(AA62="✓",AA$4&lt;&gt;""),AA$4&amp;"; ","")&amp;IF(AND(AB62="✓",AB$4&lt;&gt;""),AB$4&amp;"; ","")&amp;IF(AND(AC62="✓",AC$4&lt;&gt;""),AC$4&amp;"; ","")&amp;IF(AND(AD62="✓",AD$4&lt;&gt;""),AD$4&amp;"; ","")&amp;IF(AND(AE62="✓",AE$4&lt;&gt;""),AE$4&amp;"; ","")&amp;IF(AND(AF62="✓",AF$4&lt;&gt;""),AF$4&amp;"; ","")&amp;IF(AND(AG62="✓",AG$4&lt;&gt;""),AG$4&amp;"; ","")&amp;IF(AND(AH62="✓",AH$4&lt;&gt;""),AH$4&amp;"; ","")&amp;IF(AND(AI62="✓",AI$4&lt;&gt;""),AI$4&amp;"; ","")&amp;IF(AND(AJ62="✓",AJ$4&lt;&gt;""),AJ$4&amp;"; ","")&amp;IF(AND(AK62="✓",AK$4&lt;&gt;""),AK$4&amp;"; ","")&amp;IF(AND(AL62="✓",AL$4&lt;&gt;""),AL$4&amp;"; ","")&amp;IF(AND(AM62="✓",AM$4&lt;&gt;""),AM$4&amp;"; ","")&amp;IF(AND(AN62="✓",AN$4&lt;&gt;""),AN$4&amp;"; ","")&amp;IF(AND(AO62="✓",AO$4&lt;&gt;""),AO$4&amp;"; ","")&amp;IF(AND(AP62="✓",AP$4&lt;&gt;""),AP$4&amp;"; ","")&amp;IF(AND(AQ62="✓",AQ$4&lt;&gt;""),AQ$4&amp;"; ","")&amp;IF(AND(AR62="✓",AR$4&lt;&gt;""),AR$4&amp;"; ","")&amp;IF(AND(AS62="✓",AS$4&lt;&gt;""),AS$4&amp;"; ","")&amp;IF(AND(AT62="✓",AT$4&lt;&gt;""),AT$4&amp;"; ","")&amp;IF(AND(AU62="✓",AU$4&lt;&gt;""),AU$4&amp;"; ","")&amp;IF(AND(AV62="✓",AV$4&lt;&gt;""),AV$4&amp;"; ","")&amp;IF(AND(AW62="✓",AW$4&lt;&gt;""),AW$4&amp;"; ","")&amp;IF(AND(AX62="✓",AX$4&lt;&gt;""),AX$4&amp;"; ","")&amp;IF(AND(AY62="✓",AY$4&lt;&gt;""),AY$4&amp;"; ","")&amp;IF(AND(AZ62="✓",AZ$4&lt;&gt;""),AZ$4&amp;"; ","")&amp;IF(AND(BA62="✓",BA$4&lt;&gt;""),BA$4&amp;"; ","")&amp;IF(AND(BB62="✓",BB$4&lt;&gt;""),BB$4&amp;"; ","")&amp;IF(AND(BC62="✓",BC$4&lt;&gt;""),BC$4&amp;"; ","")&amp;IF(AND(BD62="✓",BD$4&lt;&gt;""),BD$4&amp;"; ","")&amp;IF(AND(BE62="✓",BE$4&lt;&gt;""),BE$4&amp;"; ","")&amp;IF(AND(BF62="✓",BF$4&lt;&gt;""),BF$4&amp;"; ","")&amp;IF(AND(BG62="✓",BG$4&lt;&gt;""),BG$4&amp;"; ","")&amp;IF(AND(BH62="✓",BH$4&lt;&gt;""),BH$4&amp;"; ","")&amp;IF(AND(BI62="✓",BI$4&lt;&gt;""),BI$4&amp;"; ","")&amp;IF(AND(BJ62="✓",BJ$4&lt;&gt;""),BJ$4&amp;"; ","")&amp;IF(AND(BK62="✓",BK$4&lt;&gt;""),BK$4&amp;"; ","")&amp;IF(AND(BL62="✓",BL$4&lt;&gt;""),BL$4&amp;"; ","")&amp;IF(AND(BM62="✓",BM$4&lt;&gt;""),BM$4&amp;"; ","")&amp;IF(AND(BN62="✓",BN$4&lt;&gt;""),BN$4&amp;"; ","")&amp;IF(AND(BO62="✓",BO$4&lt;&gt;""),BO$4&amp;"; ","")&amp;IF(AND(BP62="✓",BP$4&lt;&gt;""),BP$4&amp;"; ","")&amp;IF(AND(BQ62="✓",BQ$4&lt;&gt;""),BQ$4&amp;"; ","")&amp;IF(AND(BR62="✓",BR$4&lt;&gt;""),BR$4&amp;"; ","")&amp;IF(AND(BS62="✓",BS$4&lt;&gt;""),BS$4&amp;"; ","")&amp;IF(AND(BT62="✓",BT$4&lt;&gt;""),BT$4&amp;"; ","")&amp;IF(AND(BU62="✓",BU$4&lt;&gt;""),BU$4&amp;"; ","")&amp;IF(AND(BV62="✓",BV$4&lt;&gt;""),BV$4&amp;"; ","")&amp;IF(AND(BW62="✓",BW$4&lt;&gt;""),BW$4&amp;"; ","")&amp;IF(AND(BX62="✓",BX$4&lt;&gt;""),BX$4&amp;"; ","")&amp;IF(AND(BY62="✓",BY$4&lt;&gt;""),BY$4&amp;"; ","")&amp;IF(AND(BZ62="✓",BZ$4&lt;&gt;""),BZ$4&amp;"; ","")&amp;IF(AND(CA62="✓",CA$4&lt;&gt;""),CA$4&amp;"; ","")&amp;IF(AND(CB62="✓",CB$4&lt;&gt;""),CB$4&amp;"; ","")&amp;IF(AND(CC62="✓",CC$4&lt;&gt;""),CC$4&amp;"; ","")&amp;IF(AND(CD62="✓",CD$4&lt;&gt;""),CD$4&amp;"; ","")&amp;IF(AND(CE62="✓",CE$4&lt;&gt;""),CE$4&amp;"; ","")&amp;IF(AND(CF62="✓",CF$4&lt;&gt;""),CF$4&amp;"; ","")&amp;IF(AND(CG62="✓",CG$4&lt;&gt;""),CG$4&amp;"; ","")&amp;IF(AND(CH62="✓",CH$4&lt;&gt;""),CH$4&amp;"; ","")&amp;IF(AND(CI62="✓",CI$4&lt;&gt;""),CI$4&amp;"; ","")&amp;IF(AND(CJ62="✓",CJ$4&lt;&gt;""),CJ$4&amp;"; ","")&amp;IF(AND(CK62="✓",CK$4&lt;&gt;""),CK$4&amp;"; ","")&amp;IF(AND(CL62="✓",CL$4&lt;&gt;""),CL$4&amp;"; ","")&amp;IF(AND(CM62="✓",CM$4&lt;&gt;""),CM$4&amp;"; ","")&amp;IF(AND(CN62="✓",CN$4&lt;&gt;""),CN$4&amp;"; ","")&amp;IF(AND(CO62="✓",CO$4&lt;&gt;""),CO$4&amp;"; ","")</f>
        <v>OPP-83; OPP-84; </v>
      </c>
      <c r="CQ62" s="104" t="str">
        <f aca="false">IF($CP62="","",LEFT($CP62,LEN($CP62)-2))</f>
        <v>OPP-83; OPP-84</v>
      </c>
      <c r="CR62" s="234" t="n">
        <f aca="false">IF($A62="","",COUNTIF($D62:$CO62,"✓"))</f>
        <v>2</v>
      </c>
    </row>
    <row r="63" customFormat="false" ht="21.75" hidden="false" customHeight="true" outlineLevel="0" collapsed="false">
      <c r="A63" s="231" t="str">
        <f aca="false">IF(03_能力總表_Master!$A63="","",03_能力總表_Master!$A63)</f>
        <v>CAP-059</v>
      </c>
      <c r="B63" s="166" t="str">
        <f aca="false">IF(03_能力總表_Master!$A63="","",03_能力總表_Master!$B63)</f>
        <v>D10 商模與病人生態</v>
      </c>
      <c r="C63" s="95" t="str">
        <f aca="false">IF(03_能力總表_Master!$A63="","",03_能力總表_Master!$E63)</f>
        <v>PPP／JV財務與風險分配</v>
      </c>
      <c r="D63" s="232" t="s">
        <v>1305</v>
      </c>
      <c r="E63" s="232"/>
      <c r="F63" s="232" t="s">
        <v>1305</v>
      </c>
      <c r="G63" s="232"/>
      <c r="H63" s="232"/>
      <c r="I63" s="232"/>
      <c r="J63" s="232"/>
      <c r="K63" s="232"/>
      <c r="L63" s="232"/>
      <c r="M63" s="232"/>
      <c r="N63" s="232"/>
      <c r="O63" s="232"/>
      <c r="P63" s="232"/>
      <c r="Q63" s="232"/>
      <c r="R63" s="232"/>
      <c r="S63" s="232"/>
      <c r="T63" s="232"/>
      <c r="U63" s="232"/>
      <c r="V63" s="232"/>
      <c r="W63" s="232"/>
      <c r="X63" s="232"/>
      <c r="Y63" s="232"/>
      <c r="Z63" s="232"/>
      <c r="AA63" s="232"/>
      <c r="AB63" s="232"/>
      <c r="AC63" s="232"/>
      <c r="AD63" s="232"/>
      <c r="AE63" s="232"/>
      <c r="AF63" s="232"/>
      <c r="AG63" s="232"/>
      <c r="AH63" s="232"/>
      <c r="AI63" s="232"/>
      <c r="AJ63" s="232"/>
      <c r="AK63" s="232"/>
      <c r="AL63" s="232"/>
      <c r="AM63" s="232"/>
      <c r="AN63" s="232"/>
      <c r="AO63" s="232"/>
      <c r="AP63" s="232"/>
      <c r="AQ63" s="232"/>
      <c r="AR63" s="232"/>
      <c r="AS63" s="232"/>
      <c r="AT63" s="232"/>
      <c r="AU63" s="232"/>
      <c r="AV63" s="232"/>
      <c r="AW63" s="232"/>
      <c r="AX63" s="232"/>
      <c r="AY63" s="232"/>
      <c r="AZ63" s="232"/>
      <c r="BA63" s="232"/>
      <c r="BB63" s="232"/>
      <c r="BC63" s="232"/>
      <c r="BD63" s="232"/>
      <c r="BE63" s="232"/>
      <c r="BF63" s="232"/>
      <c r="BG63" s="232"/>
      <c r="BH63" s="232"/>
      <c r="BI63" s="232"/>
      <c r="BJ63" s="232"/>
      <c r="BK63" s="232"/>
      <c r="BL63" s="232"/>
      <c r="BM63" s="232"/>
      <c r="BN63" s="232"/>
      <c r="BO63" s="232"/>
      <c r="BP63" s="232"/>
      <c r="BQ63" s="232"/>
      <c r="BR63" s="232"/>
      <c r="BS63" s="232"/>
      <c r="BT63" s="232"/>
      <c r="BU63" s="232"/>
      <c r="BV63" s="232"/>
      <c r="BW63" s="232"/>
      <c r="BX63" s="232"/>
      <c r="BY63" s="232"/>
      <c r="BZ63" s="232"/>
      <c r="CA63" s="232"/>
      <c r="CB63" s="232"/>
      <c r="CC63" s="232"/>
      <c r="CD63" s="232"/>
      <c r="CE63" s="232"/>
      <c r="CF63" s="232"/>
      <c r="CG63" s="232"/>
      <c r="CH63" s="232"/>
      <c r="CI63" s="232"/>
      <c r="CJ63" s="232"/>
      <c r="CK63" s="232"/>
      <c r="CL63" s="232"/>
      <c r="CM63" s="232"/>
      <c r="CN63" s="232"/>
      <c r="CO63" s="232"/>
      <c r="CP63" s="233" t="str">
        <f aca="false">IF(AND(D63="✓",D$4&lt;&gt;""),D$4&amp;"; ","")&amp;IF(AND(E63="✓",E$4&lt;&gt;""),E$4&amp;"; ","")&amp;IF(AND(F63="✓",F$4&lt;&gt;""),F$4&amp;"; ","")&amp;IF(AND(G63="✓",G$4&lt;&gt;""),G$4&amp;"; ","")&amp;IF(AND(H63="✓",H$4&lt;&gt;""),H$4&amp;"; ","")&amp;IF(AND(I63="✓",I$4&lt;&gt;""),I$4&amp;"; ","")&amp;IF(AND(J63="✓",J$4&lt;&gt;""),J$4&amp;"; ","")&amp;IF(AND(K63="✓",K$4&lt;&gt;""),K$4&amp;"; ","")&amp;IF(AND(L63="✓",L$4&lt;&gt;""),L$4&amp;"; ","")&amp;IF(AND(M63="✓",M$4&lt;&gt;""),M$4&amp;"; ","")&amp;IF(AND(N63="✓",N$4&lt;&gt;""),N$4&amp;"; ","")&amp;IF(AND(O63="✓",O$4&lt;&gt;""),O$4&amp;"; ","")&amp;IF(AND(P63="✓",P$4&lt;&gt;""),P$4&amp;"; ","")&amp;IF(AND(Q63="✓",Q$4&lt;&gt;""),Q$4&amp;"; ","")&amp;IF(AND(R63="✓",R$4&lt;&gt;""),R$4&amp;"; ","")&amp;IF(AND(S63="✓",S$4&lt;&gt;""),S$4&amp;"; ","")&amp;IF(AND(T63="✓",T$4&lt;&gt;""),T$4&amp;"; ","")&amp;IF(AND(U63="✓",U$4&lt;&gt;""),U$4&amp;"; ","")&amp;IF(AND(V63="✓",V$4&lt;&gt;""),V$4&amp;"; ","")&amp;IF(AND(W63="✓",W$4&lt;&gt;""),W$4&amp;"; ","")&amp;IF(AND(X63="✓",X$4&lt;&gt;""),X$4&amp;"; ","")&amp;IF(AND(Y63="✓",Y$4&lt;&gt;""),Y$4&amp;"; ","")&amp;IF(AND(Z63="✓",Z$4&lt;&gt;""),Z$4&amp;"; ","")&amp;IF(AND(AA63="✓",AA$4&lt;&gt;""),AA$4&amp;"; ","")&amp;IF(AND(AB63="✓",AB$4&lt;&gt;""),AB$4&amp;"; ","")&amp;IF(AND(AC63="✓",AC$4&lt;&gt;""),AC$4&amp;"; ","")&amp;IF(AND(AD63="✓",AD$4&lt;&gt;""),AD$4&amp;"; ","")&amp;IF(AND(AE63="✓",AE$4&lt;&gt;""),AE$4&amp;"; ","")&amp;IF(AND(AF63="✓",AF$4&lt;&gt;""),AF$4&amp;"; ","")&amp;IF(AND(AG63="✓",AG$4&lt;&gt;""),AG$4&amp;"; ","")&amp;IF(AND(AH63="✓",AH$4&lt;&gt;""),AH$4&amp;"; ","")&amp;IF(AND(AI63="✓",AI$4&lt;&gt;""),AI$4&amp;"; ","")&amp;IF(AND(AJ63="✓",AJ$4&lt;&gt;""),AJ$4&amp;"; ","")&amp;IF(AND(AK63="✓",AK$4&lt;&gt;""),AK$4&amp;"; ","")&amp;IF(AND(AL63="✓",AL$4&lt;&gt;""),AL$4&amp;"; ","")&amp;IF(AND(AM63="✓",AM$4&lt;&gt;""),AM$4&amp;"; ","")&amp;IF(AND(AN63="✓",AN$4&lt;&gt;""),AN$4&amp;"; ","")&amp;IF(AND(AO63="✓",AO$4&lt;&gt;""),AO$4&amp;"; ","")&amp;IF(AND(AP63="✓",AP$4&lt;&gt;""),AP$4&amp;"; ","")&amp;IF(AND(AQ63="✓",AQ$4&lt;&gt;""),AQ$4&amp;"; ","")&amp;IF(AND(AR63="✓",AR$4&lt;&gt;""),AR$4&amp;"; ","")&amp;IF(AND(AS63="✓",AS$4&lt;&gt;""),AS$4&amp;"; ","")&amp;IF(AND(AT63="✓",AT$4&lt;&gt;""),AT$4&amp;"; ","")&amp;IF(AND(AU63="✓",AU$4&lt;&gt;""),AU$4&amp;"; ","")&amp;IF(AND(AV63="✓",AV$4&lt;&gt;""),AV$4&amp;"; ","")&amp;IF(AND(AW63="✓",AW$4&lt;&gt;""),AW$4&amp;"; ","")&amp;IF(AND(AX63="✓",AX$4&lt;&gt;""),AX$4&amp;"; ","")&amp;IF(AND(AY63="✓",AY$4&lt;&gt;""),AY$4&amp;"; ","")&amp;IF(AND(AZ63="✓",AZ$4&lt;&gt;""),AZ$4&amp;"; ","")&amp;IF(AND(BA63="✓",BA$4&lt;&gt;""),BA$4&amp;"; ","")&amp;IF(AND(BB63="✓",BB$4&lt;&gt;""),BB$4&amp;"; ","")&amp;IF(AND(BC63="✓",BC$4&lt;&gt;""),BC$4&amp;"; ","")&amp;IF(AND(BD63="✓",BD$4&lt;&gt;""),BD$4&amp;"; ","")&amp;IF(AND(BE63="✓",BE$4&lt;&gt;""),BE$4&amp;"; ","")&amp;IF(AND(BF63="✓",BF$4&lt;&gt;""),BF$4&amp;"; ","")&amp;IF(AND(BG63="✓",BG$4&lt;&gt;""),BG$4&amp;"; ","")&amp;IF(AND(BH63="✓",BH$4&lt;&gt;""),BH$4&amp;"; ","")&amp;IF(AND(BI63="✓",BI$4&lt;&gt;""),BI$4&amp;"; ","")&amp;IF(AND(BJ63="✓",BJ$4&lt;&gt;""),BJ$4&amp;"; ","")&amp;IF(AND(BK63="✓",BK$4&lt;&gt;""),BK$4&amp;"; ","")&amp;IF(AND(BL63="✓",BL$4&lt;&gt;""),BL$4&amp;"; ","")&amp;IF(AND(BM63="✓",BM$4&lt;&gt;""),BM$4&amp;"; ","")&amp;IF(AND(BN63="✓",BN$4&lt;&gt;""),BN$4&amp;"; ","")&amp;IF(AND(BO63="✓",BO$4&lt;&gt;""),BO$4&amp;"; ","")&amp;IF(AND(BP63="✓",BP$4&lt;&gt;""),BP$4&amp;"; ","")&amp;IF(AND(BQ63="✓",BQ$4&lt;&gt;""),BQ$4&amp;"; ","")&amp;IF(AND(BR63="✓",BR$4&lt;&gt;""),BR$4&amp;"; ","")&amp;IF(AND(BS63="✓",BS$4&lt;&gt;""),BS$4&amp;"; ","")&amp;IF(AND(BT63="✓",BT$4&lt;&gt;""),BT$4&amp;"; ","")&amp;IF(AND(BU63="✓",BU$4&lt;&gt;""),BU$4&amp;"; ","")&amp;IF(AND(BV63="✓",BV$4&lt;&gt;""),BV$4&amp;"; ","")&amp;IF(AND(BW63="✓",BW$4&lt;&gt;""),BW$4&amp;"; ","")&amp;IF(AND(BX63="✓",BX$4&lt;&gt;""),BX$4&amp;"; ","")&amp;IF(AND(BY63="✓",BY$4&lt;&gt;""),BY$4&amp;"; ","")&amp;IF(AND(BZ63="✓",BZ$4&lt;&gt;""),BZ$4&amp;"; ","")&amp;IF(AND(CA63="✓",CA$4&lt;&gt;""),CA$4&amp;"; ","")&amp;IF(AND(CB63="✓",CB$4&lt;&gt;""),CB$4&amp;"; ","")&amp;IF(AND(CC63="✓",CC$4&lt;&gt;""),CC$4&amp;"; ","")&amp;IF(AND(CD63="✓",CD$4&lt;&gt;""),CD$4&amp;"; ","")&amp;IF(AND(CE63="✓",CE$4&lt;&gt;""),CE$4&amp;"; ","")&amp;IF(AND(CF63="✓",CF$4&lt;&gt;""),CF$4&amp;"; ","")&amp;IF(AND(CG63="✓",CG$4&lt;&gt;""),CG$4&amp;"; ","")&amp;IF(AND(CH63="✓",CH$4&lt;&gt;""),CH$4&amp;"; ","")&amp;IF(AND(CI63="✓",CI$4&lt;&gt;""),CI$4&amp;"; ","")&amp;IF(AND(CJ63="✓",CJ$4&lt;&gt;""),CJ$4&amp;"; ","")&amp;IF(AND(CK63="✓",CK$4&lt;&gt;""),CK$4&amp;"; ","")&amp;IF(AND(CL63="✓",CL$4&lt;&gt;""),CL$4&amp;"; ","")&amp;IF(AND(CM63="✓",CM$4&lt;&gt;""),CM$4&amp;"; ","")&amp;IF(AND(CN63="✓",CN$4&lt;&gt;""),CN$4&amp;"; ","")&amp;IF(AND(CO63="✓",CO$4&lt;&gt;""),CO$4&amp;"; ","")</f>
        <v>OPP-01; OPP-03; </v>
      </c>
      <c r="CQ63" s="104" t="str">
        <f aca="false">IF($CP63="","",LEFT($CP63,LEN($CP63)-2))</f>
        <v>OPP-01; OPP-03</v>
      </c>
      <c r="CR63" s="234" t="n">
        <f aca="false">IF($A63="","",COUNTIF($D63:$CO63,"✓"))</f>
        <v>2</v>
      </c>
    </row>
    <row r="64" customFormat="false" ht="21.75" hidden="false" customHeight="true" outlineLevel="0" collapsed="false">
      <c r="A64" s="231" t="str">
        <f aca="false">IF(03_能力總表_Master!$A64="","",03_能力總表_Master!$A64)</f>
        <v>CAP-060</v>
      </c>
      <c r="B64" s="166" t="str">
        <f aca="false">IF(03_能力總表_Master!$A64="","",03_能力總表_Master!$B64)</f>
        <v>D10 商模與病人生態</v>
      </c>
      <c r="C64" s="95" t="str">
        <f aca="false">IF(03_能力總表_Master!$A64="","",03_能力總表_Master!$E64)</f>
        <v>效益實現與複製藍圖</v>
      </c>
      <c r="D64" s="232" t="s">
        <v>1305</v>
      </c>
      <c r="E64" s="232"/>
      <c r="F64" s="232"/>
      <c r="G64" s="232"/>
      <c r="H64" s="232"/>
      <c r="I64" s="232"/>
      <c r="J64" s="232"/>
      <c r="K64" s="232"/>
      <c r="L64" s="232"/>
      <c r="M64" s="232"/>
      <c r="N64" s="232"/>
      <c r="O64" s="232"/>
      <c r="P64" s="232"/>
      <c r="Q64" s="232"/>
      <c r="R64" s="232"/>
      <c r="S64" s="232"/>
      <c r="T64" s="232"/>
      <c r="U64" s="232"/>
      <c r="V64" s="232"/>
      <c r="W64" s="232"/>
      <c r="X64" s="232"/>
      <c r="Y64" s="232"/>
      <c r="Z64" s="232"/>
      <c r="AA64" s="232"/>
      <c r="AB64" s="232"/>
      <c r="AC64" s="232"/>
      <c r="AD64" s="232"/>
      <c r="AE64" s="232"/>
      <c r="AF64" s="232"/>
      <c r="AG64" s="232"/>
      <c r="AH64" s="232"/>
      <c r="AI64" s="232"/>
      <c r="AJ64" s="232"/>
      <c r="AK64" s="232"/>
      <c r="AL64" s="232"/>
      <c r="AM64" s="232"/>
      <c r="AN64" s="232"/>
      <c r="AO64" s="232"/>
      <c r="AP64" s="232"/>
      <c r="AQ64" s="232"/>
      <c r="AR64" s="232"/>
      <c r="AS64" s="232"/>
      <c r="AT64" s="232"/>
      <c r="AU64" s="232"/>
      <c r="AV64" s="232"/>
      <c r="AW64" s="232"/>
      <c r="AX64" s="232"/>
      <c r="AY64" s="232"/>
      <c r="AZ64" s="232"/>
      <c r="BA64" s="232"/>
      <c r="BB64" s="232"/>
      <c r="BC64" s="232"/>
      <c r="BD64" s="232"/>
      <c r="BE64" s="232"/>
      <c r="BF64" s="232"/>
      <c r="BG64" s="232"/>
      <c r="BH64" s="232"/>
      <c r="BI64" s="232"/>
      <c r="BJ64" s="232"/>
      <c r="BK64" s="232"/>
      <c r="BL64" s="232"/>
      <c r="BM64" s="232"/>
      <c r="BN64" s="232"/>
      <c r="BO64" s="232"/>
      <c r="BP64" s="232"/>
      <c r="BQ64" s="232"/>
      <c r="BR64" s="232"/>
      <c r="BS64" s="232"/>
      <c r="BT64" s="232"/>
      <c r="BU64" s="232"/>
      <c r="BV64" s="232"/>
      <c r="BW64" s="232"/>
      <c r="BX64" s="232"/>
      <c r="BY64" s="232"/>
      <c r="BZ64" s="232"/>
      <c r="CA64" s="232"/>
      <c r="CB64" s="232"/>
      <c r="CC64" s="232"/>
      <c r="CD64" s="232"/>
      <c r="CE64" s="232"/>
      <c r="CF64" s="232"/>
      <c r="CG64" s="232"/>
      <c r="CH64" s="232"/>
      <c r="CI64" s="232"/>
      <c r="CJ64" s="232" t="s">
        <v>1305</v>
      </c>
      <c r="CK64" s="232"/>
      <c r="CL64" s="232"/>
      <c r="CM64" s="232"/>
      <c r="CN64" s="232"/>
      <c r="CO64" s="232"/>
      <c r="CP64" s="233" t="str">
        <f aca="false">IF(AND(D64="✓",D$4&lt;&gt;""),D$4&amp;"; ","")&amp;IF(AND(E64="✓",E$4&lt;&gt;""),E$4&amp;"; ","")&amp;IF(AND(F64="✓",F$4&lt;&gt;""),F$4&amp;"; ","")&amp;IF(AND(G64="✓",G$4&lt;&gt;""),G$4&amp;"; ","")&amp;IF(AND(H64="✓",H$4&lt;&gt;""),H$4&amp;"; ","")&amp;IF(AND(I64="✓",I$4&lt;&gt;""),I$4&amp;"; ","")&amp;IF(AND(J64="✓",J$4&lt;&gt;""),J$4&amp;"; ","")&amp;IF(AND(K64="✓",K$4&lt;&gt;""),K$4&amp;"; ","")&amp;IF(AND(L64="✓",L$4&lt;&gt;""),L$4&amp;"; ","")&amp;IF(AND(M64="✓",M$4&lt;&gt;""),M$4&amp;"; ","")&amp;IF(AND(N64="✓",N$4&lt;&gt;""),N$4&amp;"; ","")&amp;IF(AND(O64="✓",O$4&lt;&gt;""),O$4&amp;"; ","")&amp;IF(AND(P64="✓",P$4&lt;&gt;""),P$4&amp;"; ","")&amp;IF(AND(Q64="✓",Q$4&lt;&gt;""),Q$4&amp;"; ","")&amp;IF(AND(R64="✓",R$4&lt;&gt;""),R$4&amp;"; ","")&amp;IF(AND(S64="✓",S$4&lt;&gt;""),S$4&amp;"; ","")&amp;IF(AND(T64="✓",T$4&lt;&gt;""),T$4&amp;"; ","")&amp;IF(AND(U64="✓",U$4&lt;&gt;""),U$4&amp;"; ","")&amp;IF(AND(V64="✓",V$4&lt;&gt;""),V$4&amp;"; ","")&amp;IF(AND(W64="✓",W$4&lt;&gt;""),W$4&amp;"; ","")&amp;IF(AND(X64="✓",X$4&lt;&gt;""),X$4&amp;"; ","")&amp;IF(AND(Y64="✓",Y$4&lt;&gt;""),Y$4&amp;"; ","")&amp;IF(AND(Z64="✓",Z$4&lt;&gt;""),Z$4&amp;"; ","")&amp;IF(AND(AA64="✓",AA$4&lt;&gt;""),AA$4&amp;"; ","")&amp;IF(AND(AB64="✓",AB$4&lt;&gt;""),AB$4&amp;"; ","")&amp;IF(AND(AC64="✓",AC$4&lt;&gt;""),AC$4&amp;"; ","")&amp;IF(AND(AD64="✓",AD$4&lt;&gt;""),AD$4&amp;"; ","")&amp;IF(AND(AE64="✓",AE$4&lt;&gt;""),AE$4&amp;"; ","")&amp;IF(AND(AF64="✓",AF$4&lt;&gt;""),AF$4&amp;"; ","")&amp;IF(AND(AG64="✓",AG$4&lt;&gt;""),AG$4&amp;"; ","")&amp;IF(AND(AH64="✓",AH$4&lt;&gt;""),AH$4&amp;"; ","")&amp;IF(AND(AI64="✓",AI$4&lt;&gt;""),AI$4&amp;"; ","")&amp;IF(AND(AJ64="✓",AJ$4&lt;&gt;""),AJ$4&amp;"; ","")&amp;IF(AND(AK64="✓",AK$4&lt;&gt;""),AK$4&amp;"; ","")&amp;IF(AND(AL64="✓",AL$4&lt;&gt;""),AL$4&amp;"; ","")&amp;IF(AND(AM64="✓",AM$4&lt;&gt;""),AM$4&amp;"; ","")&amp;IF(AND(AN64="✓",AN$4&lt;&gt;""),AN$4&amp;"; ","")&amp;IF(AND(AO64="✓",AO$4&lt;&gt;""),AO$4&amp;"; ","")&amp;IF(AND(AP64="✓",AP$4&lt;&gt;""),AP$4&amp;"; ","")&amp;IF(AND(AQ64="✓",AQ$4&lt;&gt;""),AQ$4&amp;"; ","")&amp;IF(AND(AR64="✓",AR$4&lt;&gt;""),AR$4&amp;"; ","")&amp;IF(AND(AS64="✓",AS$4&lt;&gt;""),AS$4&amp;"; ","")&amp;IF(AND(AT64="✓",AT$4&lt;&gt;""),AT$4&amp;"; ","")&amp;IF(AND(AU64="✓",AU$4&lt;&gt;""),AU$4&amp;"; ","")&amp;IF(AND(AV64="✓",AV$4&lt;&gt;""),AV$4&amp;"; ","")&amp;IF(AND(AW64="✓",AW$4&lt;&gt;""),AW$4&amp;"; ","")&amp;IF(AND(AX64="✓",AX$4&lt;&gt;""),AX$4&amp;"; ","")&amp;IF(AND(AY64="✓",AY$4&lt;&gt;""),AY$4&amp;"; ","")&amp;IF(AND(AZ64="✓",AZ$4&lt;&gt;""),AZ$4&amp;"; ","")&amp;IF(AND(BA64="✓",BA$4&lt;&gt;""),BA$4&amp;"; ","")&amp;IF(AND(BB64="✓",BB$4&lt;&gt;""),BB$4&amp;"; ","")&amp;IF(AND(BC64="✓",BC$4&lt;&gt;""),BC$4&amp;"; ","")&amp;IF(AND(BD64="✓",BD$4&lt;&gt;""),BD$4&amp;"; ","")&amp;IF(AND(BE64="✓",BE$4&lt;&gt;""),BE$4&amp;"; ","")&amp;IF(AND(BF64="✓",BF$4&lt;&gt;""),BF$4&amp;"; ","")&amp;IF(AND(BG64="✓",BG$4&lt;&gt;""),BG$4&amp;"; ","")&amp;IF(AND(BH64="✓",BH$4&lt;&gt;""),BH$4&amp;"; ","")&amp;IF(AND(BI64="✓",BI$4&lt;&gt;""),BI$4&amp;"; ","")&amp;IF(AND(BJ64="✓",BJ$4&lt;&gt;""),BJ$4&amp;"; ","")&amp;IF(AND(BK64="✓",BK$4&lt;&gt;""),BK$4&amp;"; ","")&amp;IF(AND(BL64="✓",BL$4&lt;&gt;""),BL$4&amp;"; ","")&amp;IF(AND(BM64="✓",BM$4&lt;&gt;""),BM$4&amp;"; ","")&amp;IF(AND(BN64="✓",BN$4&lt;&gt;""),BN$4&amp;"; ","")&amp;IF(AND(BO64="✓",BO$4&lt;&gt;""),BO$4&amp;"; ","")&amp;IF(AND(BP64="✓",BP$4&lt;&gt;""),BP$4&amp;"; ","")&amp;IF(AND(BQ64="✓",BQ$4&lt;&gt;""),BQ$4&amp;"; ","")&amp;IF(AND(BR64="✓",BR$4&lt;&gt;""),BR$4&amp;"; ","")&amp;IF(AND(BS64="✓",BS$4&lt;&gt;""),BS$4&amp;"; ","")&amp;IF(AND(BT64="✓",BT$4&lt;&gt;""),BT$4&amp;"; ","")&amp;IF(AND(BU64="✓",BU$4&lt;&gt;""),BU$4&amp;"; ","")&amp;IF(AND(BV64="✓",BV$4&lt;&gt;""),BV$4&amp;"; ","")&amp;IF(AND(BW64="✓",BW$4&lt;&gt;""),BW$4&amp;"; ","")&amp;IF(AND(BX64="✓",BX$4&lt;&gt;""),BX$4&amp;"; ","")&amp;IF(AND(BY64="✓",BY$4&lt;&gt;""),BY$4&amp;"; ","")&amp;IF(AND(BZ64="✓",BZ$4&lt;&gt;""),BZ$4&amp;"; ","")&amp;IF(AND(CA64="✓",CA$4&lt;&gt;""),CA$4&amp;"; ","")&amp;IF(AND(CB64="✓",CB$4&lt;&gt;""),CB$4&amp;"; ","")&amp;IF(AND(CC64="✓",CC$4&lt;&gt;""),CC$4&amp;"; ","")&amp;IF(AND(CD64="✓",CD$4&lt;&gt;""),CD$4&amp;"; ","")&amp;IF(AND(CE64="✓",CE$4&lt;&gt;""),CE$4&amp;"; ","")&amp;IF(AND(CF64="✓",CF$4&lt;&gt;""),CF$4&amp;"; ","")&amp;IF(AND(CG64="✓",CG$4&lt;&gt;""),CG$4&amp;"; ","")&amp;IF(AND(CH64="✓",CH$4&lt;&gt;""),CH$4&amp;"; ","")&amp;IF(AND(CI64="✓",CI$4&lt;&gt;""),CI$4&amp;"; ","")&amp;IF(AND(CJ64="✓",CJ$4&lt;&gt;""),CJ$4&amp;"; ","")&amp;IF(AND(CK64="✓",CK$4&lt;&gt;""),CK$4&amp;"; ","")&amp;IF(AND(CL64="✓",CL$4&lt;&gt;""),CL$4&amp;"; ","")&amp;IF(AND(CM64="✓",CM$4&lt;&gt;""),CM$4&amp;"; ","")&amp;IF(AND(CN64="✓",CN$4&lt;&gt;""),CN$4&amp;"; ","")&amp;IF(AND(CO64="✓",CO$4&lt;&gt;""),CO$4&amp;"; ","")</f>
        <v>OPP-01; OPP-85; </v>
      </c>
      <c r="CQ64" s="104" t="str">
        <f aca="false">IF($CP64="","",LEFT($CP64,LEN($CP64)-2))</f>
        <v>OPP-01; OPP-85</v>
      </c>
      <c r="CR64" s="234" t="n">
        <f aca="false">IF($A64="","",COUNTIF($D64:$CO64,"✓"))</f>
        <v>2</v>
      </c>
    </row>
    <row r="65" customFormat="false" ht="21.75" hidden="false" customHeight="true" outlineLevel="0" collapsed="false">
      <c r="A65" s="231" t="str">
        <f aca="false">IF(03_能力總表_Master!$A65="","",03_能力總表_Master!$A65)</f>
        <v/>
      </c>
      <c r="B65" s="166" t="str">
        <f aca="false">IF(03_能力總表_Master!$A65="","",03_能力總表_Master!$B65)</f>
        <v/>
      </c>
      <c r="C65" s="95" t="str">
        <f aca="false">IF(03_能力總表_Master!$A65="","",03_能力總表_Master!$E65)</f>
        <v/>
      </c>
      <c r="D65" s="232"/>
      <c r="E65" s="232"/>
      <c r="F65" s="232"/>
      <c r="G65" s="232"/>
      <c r="H65" s="232"/>
      <c r="I65" s="232"/>
      <c r="J65" s="232"/>
      <c r="K65" s="232"/>
      <c r="L65" s="232"/>
      <c r="M65" s="232"/>
      <c r="N65" s="232"/>
      <c r="O65" s="232"/>
      <c r="P65" s="232"/>
      <c r="Q65" s="232"/>
      <c r="R65" s="232"/>
      <c r="S65" s="232"/>
      <c r="T65" s="232"/>
      <c r="U65" s="232"/>
      <c r="V65" s="232"/>
      <c r="W65" s="232"/>
      <c r="X65" s="232"/>
      <c r="Y65" s="232"/>
      <c r="Z65" s="232"/>
      <c r="AA65" s="232"/>
      <c r="AB65" s="232"/>
      <c r="AC65" s="232"/>
      <c r="AD65" s="232"/>
      <c r="AE65" s="232"/>
      <c r="AF65" s="232"/>
      <c r="AG65" s="232"/>
      <c r="AH65" s="232"/>
      <c r="AI65" s="232"/>
      <c r="AJ65" s="232"/>
      <c r="AK65" s="232"/>
      <c r="AL65" s="232"/>
      <c r="AM65" s="232"/>
      <c r="AN65" s="232"/>
      <c r="AO65" s="232"/>
      <c r="AP65" s="232"/>
      <c r="AQ65" s="232"/>
      <c r="AR65" s="232"/>
      <c r="AS65" s="232"/>
      <c r="AT65" s="232"/>
      <c r="AU65" s="232"/>
      <c r="AV65" s="232"/>
      <c r="AW65" s="232"/>
      <c r="AX65" s="232"/>
      <c r="AY65" s="232"/>
      <c r="AZ65" s="232"/>
      <c r="BA65" s="232"/>
      <c r="BB65" s="232"/>
      <c r="BC65" s="232"/>
      <c r="BD65" s="232"/>
      <c r="BE65" s="232"/>
      <c r="BF65" s="232"/>
      <c r="BG65" s="232"/>
      <c r="BH65" s="232"/>
      <c r="BI65" s="232"/>
      <c r="BJ65" s="232"/>
      <c r="BK65" s="232"/>
      <c r="BL65" s="232"/>
      <c r="BM65" s="232"/>
      <c r="BN65" s="232"/>
      <c r="BO65" s="232"/>
      <c r="BP65" s="232"/>
      <c r="BQ65" s="232"/>
      <c r="BR65" s="232"/>
      <c r="BS65" s="232"/>
      <c r="BT65" s="232"/>
      <c r="BU65" s="232"/>
      <c r="BV65" s="232"/>
      <c r="BW65" s="232"/>
      <c r="BX65" s="232"/>
      <c r="BY65" s="232"/>
      <c r="BZ65" s="232"/>
      <c r="CA65" s="232"/>
      <c r="CB65" s="232"/>
      <c r="CC65" s="232"/>
      <c r="CD65" s="232"/>
      <c r="CE65" s="232"/>
      <c r="CF65" s="232"/>
      <c r="CG65" s="232"/>
      <c r="CH65" s="232"/>
      <c r="CI65" s="232"/>
      <c r="CJ65" s="232"/>
      <c r="CK65" s="232"/>
      <c r="CL65" s="232"/>
      <c r="CM65" s="232"/>
      <c r="CN65" s="232"/>
      <c r="CO65" s="232"/>
      <c r="CP65" s="233" t="str">
        <f aca="false">IF(AND(D65="✓",D$4&lt;&gt;""),D$4&amp;"; ","")&amp;IF(AND(E65="✓",E$4&lt;&gt;""),E$4&amp;"; ","")&amp;IF(AND(F65="✓",F$4&lt;&gt;""),F$4&amp;"; ","")&amp;IF(AND(G65="✓",G$4&lt;&gt;""),G$4&amp;"; ","")&amp;IF(AND(H65="✓",H$4&lt;&gt;""),H$4&amp;"; ","")&amp;IF(AND(I65="✓",I$4&lt;&gt;""),I$4&amp;"; ","")&amp;IF(AND(J65="✓",J$4&lt;&gt;""),J$4&amp;"; ","")&amp;IF(AND(K65="✓",K$4&lt;&gt;""),K$4&amp;"; ","")&amp;IF(AND(L65="✓",L$4&lt;&gt;""),L$4&amp;"; ","")&amp;IF(AND(M65="✓",M$4&lt;&gt;""),M$4&amp;"; ","")&amp;IF(AND(N65="✓",N$4&lt;&gt;""),N$4&amp;"; ","")&amp;IF(AND(O65="✓",O$4&lt;&gt;""),O$4&amp;"; ","")&amp;IF(AND(P65="✓",P$4&lt;&gt;""),P$4&amp;"; ","")&amp;IF(AND(Q65="✓",Q$4&lt;&gt;""),Q$4&amp;"; ","")&amp;IF(AND(R65="✓",R$4&lt;&gt;""),R$4&amp;"; ","")&amp;IF(AND(S65="✓",S$4&lt;&gt;""),S$4&amp;"; ","")&amp;IF(AND(T65="✓",T$4&lt;&gt;""),T$4&amp;"; ","")&amp;IF(AND(U65="✓",U$4&lt;&gt;""),U$4&amp;"; ","")&amp;IF(AND(V65="✓",V$4&lt;&gt;""),V$4&amp;"; ","")&amp;IF(AND(W65="✓",W$4&lt;&gt;""),W$4&amp;"; ","")&amp;IF(AND(X65="✓",X$4&lt;&gt;""),X$4&amp;"; ","")&amp;IF(AND(Y65="✓",Y$4&lt;&gt;""),Y$4&amp;"; ","")&amp;IF(AND(Z65="✓",Z$4&lt;&gt;""),Z$4&amp;"; ","")&amp;IF(AND(AA65="✓",AA$4&lt;&gt;""),AA$4&amp;"; ","")&amp;IF(AND(AB65="✓",AB$4&lt;&gt;""),AB$4&amp;"; ","")&amp;IF(AND(AC65="✓",AC$4&lt;&gt;""),AC$4&amp;"; ","")&amp;IF(AND(AD65="✓",AD$4&lt;&gt;""),AD$4&amp;"; ","")&amp;IF(AND(AE65="✓",AE$4&lt;&gt;""),AE$4&amp;"; ","")&amp;IF(AND(AF65="✓",AF$4&lt;&gt;""),AF$4&amp;"; ","")&amp;IF(AND(AG65="✓",AG$4&lt;&gt;""),AG$4&amp;"; ","")&amp;IF(AND(AH65="✓",AH$4&lt;&gt;""),AH$4&amp;"; ","")&amp;IF(AND(AI65="✓",AI$4&lt;&gt;""),AI$4&amp;"; ","")&amp;IF(AND(AJ65="✓",AJ$4&lt;&gt;""),AJ$4&amp;"; ","")&amp;IF(AND(AK65="✓",AK$4&lt;&gt;""),AK$4&amp;"; ","")&amp;IF(AND(AL65="✓",AL$4&lt;&gt;""),AL$4&amp;"; ","")&amp;IF(AND(AM65="✓",AM$4&lt;&gt;""),AM$4&amp;"; ","")&amp;IF(AND(AN65="✓",AN$4&lt;&gt;""),AN$4&amp;"; ","")&amp;IF(AND(AO65="✓",AO$4&lt;&gt;""),AO$4&amp;"; ","")&amp;IF(AND(AP65="✓",AP$4&lt;&gt;""),AP$4&amp;"; ","")&amp;IF(AND(AQ65="✓",AQ$4&lt;&gt;""),AQ$4&amp;"; ","")&amp;IF(AND(AR65="✓",AR$4&lt;&gt;""),AR$4&amp;"; ","")&amp;IF(AND(AS65="✓",AS$4&lt;&gt;""),AS$4&amp;"; ","")&amp;IF(AND(AT65="✓",AT$4&lt;&gt;""),AT$4&amp;"; ","")&amp;IF(AND(AU65="✓",AU$4&lt;&gt;""),AU$4&amp;"; ","")&amp;IF(AND(AV65="✓",AV$4&lt;&gt;""),AV$4&amp;"; ","")&amp;IF(AND(AW65="✓",AW$4&lt;&gt;""),AW$4&amp;"; ","")&amp;IF(AND(AX65="✓",AX$4&lt;&gt;""),AX$4&amp;"; ","")&amp;IF(AND(AY65="✓",AY$4&lt;&gt;""),AY$4&amp;"; ","")&amp;IF(AND(AZ65="✓",AZ$4&lt;&gt;""),AZ$4&amp;"; ","")&amp;IF(AND(BA65="✓",BA$4&lt;&gt;""),BA$4&amp;"; ","")&amp;IF(AND(BB65="✓",BB$4&lt;&gt;""),BB$4&amp;"; ","")&amp;IF(AND(BC65="✓",BC$4&lt;&gt;""),BC$4&amp;"; ","")&amp;IF(AND(BD65="✓",BD$4&lt;&gt;""),BD$4&amp;"; ","")&amp;IF(AND(BE65="✓",BE$4&lt;&gt;""),BE$4&amp;"; ","")&amp;IF(AND(BF65="✓",BF$4&lt;&gt;""),BF$4&amp;"; ","")&amp;IF(AND(BG65="✓",BG$4&lt;&gt;""),BG$4&amp;"; ","")&amp;IF(AND(BH65="✓",BH$4&lt;&gt;""),BH$4&amp;"; ","")&amp;IF(AND(BI65="✓",BI$4&lt;&gt;""),BI$4&amp;"; ","")&amp;IF(AND(BJ65="✓",BJ$4&lt;&gt;""),BJ$4&amp;"; ","")&amp;IF(AND(BK65="✓",BK$4&lt;&gt;""),BK$4&amp;"; ","")&amp;IF(AND(BL65="✓",BL$4&lt;&gt;""),BL$4&amp;"; ","")&amp;IF(AND(BM65="✓",BM$4&lt;&gt;""),BM$4&amp;"; ","")&amp;IF(AND(BN65="✓",BN$4&lt;&gt;""),BN$4&amp;"; ","")&amp;IF(AND(BO65="✓",BO$4&lt;&gt;""),BO$4&amp;"; ","")&amp;IF(AND(BP65="✓",BP$4&lt;&gt;""),BP$4&amp;"; ","")&amp;IF(AND(BQ65="✓",BQ$4&lt;&gt;""),BQ$4&amp;"; ","")&amp;IF(AND(BR65="✓",BR$4&lt;&gt;""),BR$4&amp;"; ","")&amp;IF(AND(BS65="✓",BS$4&lt;&gt;""),BS$4&amp;"; ","")&amp;IF(AND(BT65="✓",BT$4&lt;&gt;""),BT$4&amp;"; ","")&amp;IF(AND(BU65="✓",BU$4&lt;&gt;""),BU$4&amp;"; ","")&amp;IF(AND(BV65="✓",BV$4&lt;&gt;""),BV$4&amp;"; ","")&amp;IF(AND(BW65="✓",BW$4&lt;&gt;""),BW$4&amp;"; ","")&amp;IF(AND(BX65="✓",BX$4&lt;&gt;""),BX$4&amp;"; ","")&amp;IF(AND(BY65="✓",BY$4&lt;&gt;""),BY$4&amp;"; ","")&amp;IF(AND(BZ65="✓",BZ$4&lt;&gt;""),BZ$4&amp;"; ","")&amp;IF(AND(CA65="✓",CA$4&lt;&gt;""),CA$4&amp;"; ","")&amp;IF(AND(CB65="✓",CB$4&lt;&gt;""),CB$4&amp;"; ","")&amp;IF(AND(CC65="✓",CC$4&lt;&gt;""),CC$4&amp;"; ","")&amp;IF(AND(CD65="✓",CD$4&lt;&gt;""),CD$4&amp;"; ","")&amp;IF(AND(CE65="✓",CE$4&lt;&gt;""),CE$4&amp;"; ","")&amp;IF(AND(CF65="✓",CF$4&lt;&gt;""),CF$4&amp;"; ","")&amp;IF(AND(CG65="✓",CG$4&lt;&gt;""),CG$4&amp;"; ","")&amp;IF(AND(CH65="✓",CH$4&lt;&gt;""),CH$4&amp;"; ","")&amp;IF(AND(CI65="✓",CI$4&lt;&gt;""),CI$4&amp;"; ","")&amp;IF(AND(CJ65="✓",CJ$4&lt;&gt;""),CJ$4&amp;"; ","")&amp;IF(AND(CK65="✓",CK$4&lt;&gt;""),CK$4&amp;"; ","")&amp;IF(AND(CL65="✓",CL$4&lt;&gt;""),CL$4&amp;"; ","")&amp;IF(AND(CM65="✓",CM$4&lt;&gt;""),CM$4&amp;"; ","")&amp;IF(AND(CN65="✓",CN$4&lt;&gt;""),CN$4&amp;"; ","")&amp;IF(AND(CO65="✓",CO$4&lt;&gt;""),CO$4&amp;"; ","")</f>
        <v/>
      </c>
      <c r="CQ65" s="104" t="str">
        <f aca="false">IF($CP65="","",LEFT($CP65,LEN($CP65)-2))</f>
        <v/>
      </c>
      <c r="CR65" s="234" t="str">
        <f aca="false">IF($A65="","",COUNTIF($D65:$CO65,"✓"))</f>
        <v/>
      </c>
    </row>
    <row r="66" customFormat="false" ht="21.75" hidden="false" customHeight="true" outlineLevel="0" collapsed="false">
      <c r="A66" s="231" t="str">
        <f aca="false">IF(03_能力總表_Master!$A66="","",03_能力總表_Master!$A66)</f>
        <v/>
      </c>
      <c r="B66" s="166" t="str">
        <f aca="false">IF(03_能力總表_Master!$A66="","",03_能力總表_Master!$B66)</f>
        <v/>
      </c>
      <c r="C66" s="95" t="str">
        <f aca="false">IF(03_能力總表_Master!$A66="","",03_能力總表_Master!$E66)</f>
        <v/>
      </c>
      <c r="D66" s="232"/>
      <c r="E66" s="232"/>
      <c r="F66" s="232"/>
      <c r="G66" s="232"/>
      <c r="H66" s="232"/>
      <c r="I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  <c r="AA66" s="232"/>
      <c r="AB66" s="232"/>
      <c r="AC66" s="232"/>
      <c r="AD66" s="232"/>
      <c r="AE66" s="232"/>
      <c r="AF66" s="232"/>
      <c r="AG66" s="232"/>
      <c r="AH66" s="232"/>
      <c r="AI66" s="232"/>
      <c r="AJ66" s="232"/>
      <c r="AK66" s="232"/>
      <c r="AL66" s="232"/>
      <c r="AM66" s="232"/>
      <c r="AN66" s="232"/>
      <c r="AO66" s="232"/>
      <c r="AP66" s="232"/>
      <c r="AQ66" s="232"/>
      <c r="AR66" s="232"/>
      <c r="AS66" s="232"/>
      <c r="AT66" s="232"/>
      <c r="AU66" s="232"/>
      <c r="AV66" s="232"/>
      <c r="AW66" s="232"/>
      <c r="AX66" s="232"/>
      <c r="AY66" s="232"/>
      <c r="AZ66" s="232"/>
      <c r="BA66" s="232"/>
      <c r="BB66" s="232"/>
      <c r="BC66" s="232"/>
      <c r="BD66" s="232"/>
      <c r="BE66" s="232"/>
      <c r="BF66" s="232"/>
      <c r="BG66" s="232"/>
      <c r="BH66" s="232"/>
      <c r="BI66" s="232"/>
      <c r="BJ66" s="232"/>
      <c r="BK66" s="232"/>
      <c r="BL66" s="232"/>
      <c r="BM66" s="232"/>
      <c r="BN66" s="232"/>
      <c r="BO66" s="232"/>
      <c r="BP66" s="232"/>
      <c r="BQ66" s="232"/>
      <c r="BR66" s="232"/>
      <c r="BS66" s="232"/>
      <c r="BT66" s="232"/>
      <c r="BU66" s="232"/>
      <c r="BV66" s="232"/>
      <c r="BW66" s="232"/>
      <c r="BX66" s="232"/>
      <c r="BY66" s="232"/>
      <c r="BZ66" s="232"/>
      <c r="CA66" s="232"/>
      <c r="CB66" s="232"/>
      <c r="CC66" s="232"/>
      <c r="CD66" s="232"/>
      <c r="CE66" s="232"/>
      <c r="CF66" s="232"/>
      <c r="CG66" s="232"/>
      <c r="CH66" s="232"/>
      <c r="CI66" s="232"/>
      <c r="CJ66" s="232"/>
      <c r="CK66" s="232"/>
      <c r="CL66" s="232"/>
      <c r="CM66" s="232"/>
      <c r="CN66" s="232"/>
      <c r="CO66" s="232"/>
      <c r="CP66" s="233" t="str">
        <f aca="false">IF(AND(D66="✓",D$4&lt;&gt;""),D$4&amp;"; ","")&amp;IF(AND(E66="✓",E$4&lt;&gt;""),E$4&amp;"; ","")&amp;IF(AND(F66="✓",F$4&lt;&gt;""),F$4&amp;"; ","")&amp;IF(AND(G66="✓",G$4&lt;&gt;""),G$4&amp;"; ","")&amp;IF(AND(H66="✓",H$4&lt;&gt;""),H$4&amp;"; ","")&amp;IF(AND(I66="✓",I$4&lt;&gt;""),I$4&amp;"; ","")&amp;IF(AND(J66="✓",J$4&lt;&gt;""),J$4&amp;"; ","")&amp;IF(AND(K66="✓",K$4&lt;&gt;""),K$4&amp;"; ","")&amp;IF(AND(L66="✓",L$4&lt;&gt;""),L$4&amp;"; ","")&amp;IF(AND(M66="✓",M$4&lt;&gt;""),M$4&amp;"; ","")&amp;IF(AND(N66="✓",N$4&lt;&gt;""),N$4&amp;"; ","")&amp;IF(AND(O66="✓",O$4&lt;&gt;""),O$4&amp;"; ","")&amp;IF(AND(P66="✓",P$4&lt;&gt;""),P$4&amp;"; ","")&amp;IF(AND(Q66="✓",Q$4&lt;&gt;""),Q$4&amp;"; ","")&amp;IF(AND(R66="✓",R$4&lt;&gt;""),R$4&amp;"; ","")&amp;IF(AND(S66="✓",S$4&lt;&gt;""),S$4&amp;"; ","")&amp;IF(AND(T66="✓",T$4&lt;&gt;""),T$4&amp;"; ","")&amp;IF(AND(U66="✓",U$4&lt;&gt;""),U$4&amp;"; ","")&amp;IF(AND(V66="✓",V$4&lt;&gt;""),V$4&amp;"; ","")&amp;IF(AND(W66="✓",W$4&lt;&gt;""),W$4&amp;"; ","")&amp;IF(AND(X66="✓",X$4&lt;&gt;""),X$4&amp;"; ","")&amp;IF(AND(Y66="✓",Y$4&lt;&gt;""),Y$4&amp;"; ","")&amp;IF(AND(Z66="✓",Z$4&lt;&gt;""),Z$4&amp;"; ","")&amp;IF(AND(AA66="✓",AA$4&lt;&gt;""),AA$4&amp;"; ","")&amp;IF(AND(AB66="✓",AB$4&lt;&gt;""),AB$4&amp;"; ","")&amp;IF(AND(AC66="✓",AC$4&lt;&gt;""),AC$4&amp;"; ","")&amp;IF(AND(AD66="✓",AD$4&lt;&gt;""),AD$4&amp;"; ","")&amp;IF(AND(AE66="✓",AE$4&lt;&gt;""),AE$4&amp;"; ","")&amp;IF(AND(AF66="✓",AF$4&lt;&gt;""),AF$4&amp;"; ","")&amp;IF(AND(AG66="✓",AG$4&lt;&gt;""),AG$4&amp;"; ","")&amp;IF(AND(AH66="✓",AH$4&lt;&gt;""),AH$4&amp;"; ","")&amp;IF(AND(AI66="✓",AI$4&lt;&gt;""),AI$4&amp;"; ","")&amp;IF(AND(AJ66="✓",AJ$4&lt;&gt;""),AJ$4&amp;"; ","")&amp;IF(AND(AK66="✓",AK$4&lt;&gt;""),AK$4&amp;"; ","")&amp;IF(AND(AL66="✓",AL$4&lt;&gt;""),AL$4&amp;"; ","")&amp;IF(AND(AM66="✓",AM$4&lt;&gt;""),AM$4&amp;"; ","")&amp;IF(AND(AN66="✓",AN$4&lt;&gt;""),AN$4&amp;"; ","")&amp;IF(AND(AO66="✓",AO$4&lt;&gt;""),AO$4&amp;"; ","")&amp;IF(AND(AP66="✓",AP$4&lt;&gt;""),AP$4&amp;"; ","")&amp;IF(AND(AQ66="✓",AQ$4&lt;&gt;""),AQ$4&amp;"; ","")&amp;IF(AND(AR66="✓",AR$4&lt;&gt;""),AR$4&amp;"; ","")&amp;IF(AND(AS66="✓",AS$4&lt;&gt;""),AS$4&amp;"; ","")&amp;IF(AND(AT66="✓",AT$4&lt;&gt;""),AT$4&amp;"; ","")&amp;IF(AND(AU66="✓",AU$4&lt;&gt;""),AU$4&amp;"; ","")&amp;IF(AND(AV66="✓",AV$4&lt;&gt;""),AV$4&amp;"; ","")&amp;IF(AND(AW66="✓",AW$4&lt;&gt;""),AW$4&amp;"; ","")&amp;IF(AND(AX66="✓",AX$4&lt;&gt;""),AX$4&amp;"; ","")&amp;IF(AND(AY66="✓",AY$4&lt;&gt;""),AY$4&amp;"; ","")&amp;IF(AND(AZ66="✓",AZ$4&lt;&gt;""),AZ$4&amp;"; ","")&amp;IF(AND(BA66="✓",BA$4&lt;&gt;""),BA$4&amp;"; ","")&amp;IF(AND(BB66="✓",BB$4&lt;&gt;""),BB$4&amp;"; ","")&amp;IF(AND(BC66="✓",BC$4&lt;&gt;""),BC$4&amp;"; ","")&amp;IF(AND(BD66="✓",BD$4&lt;&gt;""),BD$4&amp;"; ","")&amp;IF(AND(BE66="✓",BE$4&lt;&gt;""),BE$4&amp;"; ","")&amp;IF(AND(BF66="✓",BF$4&lt;&gt;""),BF$4&amp;"; ","")&amp;IF(AND(BG66="✓",BG$4&lt;&gt;""),BG$4&amp;"; ","")&amp;IF(AND(BH66="✓",BH$4&lt;&gt;""),BH$4&amp;"; ","")&amp;IF(AND(BI66="✓",BI$4&lt;&gt;""),BI$4&amp;"; ","")&amp;IF(AND(BJ66="✓",BJ$4&lt;&gt;""),BJ$4&amp;"; ","")&amp;IF(AND(BK66="✓",BK$4&lt;&gt;""),BK$4&amp;"; ","")&amp;IF(AND(BL66="✓",BL$4&lt;&gt;""),BL$4&amp;"; ","")&amp;IF(AND(BM66="✓",BM$4&lt;&gt;""),BM$4&amp;"; ","")&amp;IF(AND(BN66="✓",BN$4&lt;&gt;""),BN$4&amp;"; ","")&amp;IF(AND(BO66="✓",BO$4&lt;&gt;""),BO$4&amp;"; ","")&amp;IF(AND(BP66="✓",BP$4&lt;&gt;""),BP$4&amp;"; ","")&amp;IF(AND(BQ66="✓",BQ$4&lt;&gt;""),BQ$4&amp;"; ","")&amp;IF(AND(BR66="✓",BR$4&lt;&gt;""),BR$4&amp;"; ","")&amp;IF(AND(BS66="✓",BS$4&lt;&gt;""),BS$4&amp;"; ","")&amp;IF(AND(BT66="✓",BT$4&lt;&gt;""),BT$4&amp;"; ","")&amp;IF(AND(BU66="✓",BU$4&lt;&gt;""),BU$4&amp;"; ","")&amp;IF(AND(BV66="✓",BV$4&lt;&gt;""),BV$4&amp;"; ","")&amp;IF(AND(BW66="✓",BW$4&lt;&gt;""),BW$4&amp;"; ","")&amp;IF(AND(BX66="✓",BX$4&lt;&gt;""),BX$4&amp;"; ","")&amp;IF(AND(BY66="✓",BY$4&lt;&gt;""),BY$4&amp;"; ","")&amp;IF(AND(BZ66="✓",BZ$4&lt;&gt;""),BZ$4&amp;"; ","")&amp;IF(AND(CA66="✓",CA$4&lt;&gt;""),CA$4&amp;"; ","")&amp;IF(AND(CB66="✓",CB$4&lt;&gt;""),CB$4&amp;"; ","")&amp;IF(AND(CC66="✓",CC$4&lt;&gt;""),CC$4&amp;"; ","")&amp;IF(AND(CD66="✓",CD$4&lt;&gt;""),CD$4&amp;"; ","")&amp;IF(AND(CE66="✓",CE$4&lt;&gt;""),CE$4&amp;"; ","")&amp;IF(AND(CF66="✓",CF$4&lt;&gt;""),CF$4&amp;"; ","")&amp;IF(AND(CG66="✓",CG$4&lt;&gt;""),CG$4&amp;"; ","")&amp;IF(AND(CH66="✓",CH$4&lt;&gt;""),CH$4&amp;"; ","")&amp;IF(AND(CI66="✓",CI$4&lt;&gt;""),CI$4&amp;"; ","")&amp;IF(AND(CJ66="✓",CJ$4&lt;&gt;""),CJ$4&amp;"; ","")&amp;IF(AND(CK66="✓",CK$4&lt;&gt;""),CK$4&amp;"; ","")&amp;IF(AND(CL66="✓",CL$4&lt;&gt;""),CL$4&amp;"; ","")&amp;IF(AND(CM66="✓",CM$4&lt;&gt;""),CM$4&amp;"; ","")&amp;IF(AND(CN66="✓",CN$4&lt;&gt;""),CN$4&amp;"; ","")&amp;IF(AND(CO66="✓",CO$4&lt;&gt;""),CO$4&amp;"; ","")</f>
        <v/>
      </c>
      <c r="CQ66" s="104" t="str">
        <f aca="false">IF($CP66="","",LEFT($CP66,LEN($CP66)-2))</f>
        <v/>
      </c>
      <c r="CR66" s="234" t="str">
        <f aca="false">IF($A66="","",COUNTIF($D66:$CO66,"✓"))</f>
        <v/>
      </c>
    </row>
    <row r="67" customFormat="false" ht="21.75" hidden="false" customHeight="true" outlineLevel="0" collapsed="false">
      <c r="A67" s="231" t="str">
        <f aca="false">IF(03_能力總表_Master!$A67="","",03_能力總表_Master!$A67)</f>
        <v/>
      </c>
      <c r="B67" s="166" t="str">
        <f aca="false">IF(03_能力總表_Master!$A67="","",03_能力總表_Master!$B67)</f>
        <v/>
      </c>
      <c r="C67" s="95" t="str">
        <f aca="false">IF(03_能力總表_Master!$A67="","",03_能力總表_Master!$E67)</f>
        <v/>
      </c>
      <c r="D67" s="232"/>
      <c r="E67" s="232"/>
      <c r="F67" s="232"/>
      <c r="G67" s="232"/>
      <c r="H67" s="232"/>
      <c r="I67" s="232"/>
      <c r="J67" s="232"/>
      <c r="K67" s="232"/>
      <c r="L67" s="232"/>
      <c r="M67" s="232"/>
      <c r="N67" s="232"/>
      <c r="O67" s="232"/>
      <c r="P67" s="232"/>
      <c r="Q67" s="232"/>
      <c r="R67" s="232"/>
      <c r="S67" s="232"/>
      <c r="T67" s="232"/>
      <c r="U67" s="232"/>
      <c r="V67" s="232"/>
      <c r="W67" s="232"/>
      <c r="X67" s="232"/>
      <c r="Y67" s="232"/>
      <c r="Z67" s="232"/>
      <c r="AA67" s="232"/>
      <c r="AB67" s="232"/>
      <c r="AC67" s="232"/>
      <c r="AD67" s="232"/>
      <c r="AE67" s="232"/>
      <c r="AF67" s="232"/>
      <c r="AG67" s="232"/>
      <c r="AH67" s="232"/>
      <c r="AI67" s="232"/>
      <c r="AJ67" s="232"/>
      <c r="AK67" s="232"/>
      <c r="AL67" s="232"/>
      <c r="AM67" s="232"/>
      <c r="AN67" s="232"/>
      <c r="AO67" s="232"/>
      <c r="AP67" s="232"/>
      <c r="AQ67" s="232"/>
      <c r="AR67" s="232"/>
      <c r="AS67" s="232"/>
      <c r="AT67" s="232"/>
      <c r="AU67" s="232"/>
      <c r="AV67" s="232"/>
      <c r="AW67" s="232"/>
      <c r="AX67" s="232"/>
      <c r="AY67" s="232"/>
      <c r="AZ67" s="232"/>
      <c r="BA67" s="232"/>
      <c r="BB67" s="232"/>
      <c r="BC67" s="232"/>
      <c r="BD67" s="232"/>
      <c r="BE67" s="232"/>
      <c r="BF67" s="232"/>
      <c r="BG67" s="232"/>
      <c r="BH67" s="232"/>
      <c r="BI67" s="232"/>
      <c r="BJ67" s="232"/>
      <c r="BK67" s="232"/>
      <c r="BL67" s="232"/>
      <c r="BM67" s="232"/>
      <c r="BN67" s="232"/>
      <c r="BO67" s="232"/>
      <c r="BP67" s="232"/>
      <c r="BQ67" s="232"/>
      <c r="BR67" s="232"/>
      <c r="BS67" s="232"/>
      <c r="BT67" s="232"/>
      <c r="BU67" s="232"/>
      <c r="BV67" s="232"/>
      <c r="BW67" s="232"/>
      <c r="BX67" s="232"/>
      <c r="BY67" s="232"/>
      <c r="BZ67" s="232"/>
      <c r="CA67" s="232"/>
      <c r="CB67" s="232"/>
      <c r="CC67" s="232"/>
      <c r="CD67" s="232"/>
      <c r="CE67" s="232"/>
      <c r="CF67" s="232"/>
      <c r="CG67" s="232"/>
      <c r="CH67" s="232"/>
      <c r="CI67" s="232"/>
      <c r="CJ67" s="232"/>
      <c r="CK67" s="232"/>
      <c r="CL67" s="232"/>
      <c r="CM67" s="232"/>
      <c r="CN67" s="232"/>
      <c r="CO67" s="232"/>
      <c r="CP67" s="233" t="str">
        <f aca="false">IF(AND(D67="✓",D$4&lt;&gt;""),D$4&amp;"; ","")&amp;IF(AND(E67="✓",E$4&lt;&gt;""),E$4&amp;"; ","")&amp;IF(AND(F67="✓",F$4&lt;&gt;""),F$4&amp;"; ","")&amp;IF(AND(G67="✓",G$4&lt;&gt;""),G$4&amp;"; ","")&amp;IF(AND(H67="✓",H$4&lt;&gt;""),H$4&amp;"; ","")&amp;IF(AND(I67="✓",I$4&lt;&gt;""),I$4&amp;"; ","")&amp;IF(AND(J67="✓",J$4&lt;&gt;""),J$4&amp;"; ","")&amp;IF(AND(K67="✓",K$4&lt;&gt;""),K$4&amp;"; ","")&amp;IF(AND(L67="✓",L$4&lt;&gt;""),L$4&amp;"; ","")&amp;IF(AND(M67="✓",M$4&lt;&gt;""),M$4&amp;"; ","")&amp;IF(AND(N67="✓",N$4&lt;&gt;""),N$4&amp;"; ","")&amp;IF(AND(O67="✓",O$4&lt;&gt;""),O$4&amp;"; ","")&amp;IF(AND(P67="✓",P$4&lt;&gt;""),P$4&amp;"; ","")&amp;IF(AND(Q67="✓",Q$4&lt;&gt;""),Q$4&amp;"; ","")&amp;IF(AND(R67="✓",R$4&lt;&gt;""),R$4&amp;"; ","")&amp;IF(AND(S67="✓",S$4&lt;&gt;""),S$4&amp;"; ","")&amp;IF(AND(T67="✓",T$4&lt;&gt;""),T$4&amp;"; ","")&amp;IF(AND(U67="✓",U$4&lt;&gt;""),U$4&amp;"; ","")&amp;IF(AND(V67="✓",V$4&lt;&gt;""),V$4&amp;"; ","")&amp;IF(AND(W67="✓",W$4&lt;&gt;""),W$4&amp;"; ","")&amp;IF(AND(X67="✓",X$4&lt;&gt;""),X$4&amp;"; ","")&amp;IF(AND(Y67="✓",Y$4&lt;&gt;""),Y$4&amp;"; ","")&amp;IF(AND(Z67="✓",Z$4&lt;&gt;""),Z$4&amp;"; ","")&amp;IF(AND(AA67="✓",AA$4&lt;&gt;""),AA$4&amp;"; ","")&amp;IF(AND(AB67="✓",AB$4&lt;&gt;""),AB$4&amp;"; ","")&amp;IF(AND(AC67="✓",AC$4&lt;&gt;""),AC$4&amp;"; ","")&amp;IF(AND(AD67="✓",AD$4&lt;&gt;""),AD$4&amp;"; ","")&amp;IF(AND(AE67="✓",AE$4&lt;&gt;""),AE$4&amp;"; ","")&amp;IF(AND(AF67="✓",AF$4&lt;&gt;""),AF$4&amp;"; ","")&amp;IF(AND(AG67="✓",AG$4&lt;&gt;""),AG$4&amp;"; ","")&amp;IF(AND(AH67="✓",AH$4&lt;&gt;""),AH$4&amp;"; ","")&amp;IF(AND(AI67="✓",AI$4&lt;&gt;""),AI$4&amp;"; ","")&amp;IF(AND(AJ67="✓",AJ$4&lt;&gt;""),AJ$4&amp;"; ","")&amp;IF(AND(AK67="✓",AK$4&lt;&gt;""),AK$4&amp;"; ","")&amp;IF(AND(AL67="✓",AL$4&lt;&gt;""),AL$4&amp;"; ","")&amp;IF(AND(AM67="✓",AM$4&lt;&gt;""),AM$4&amp;"; ","")&amp;IF(AND(AN67="✓",AN$4&lt;&gt;""),AN$4&amp;"; ","")&amp;IF(AND(AO67="✓",AO$4&lt;&gt;""),AO$4&amp;"; ","")&amp;IF(AND(AP67="✓",AP$4&lt;&gt;""),AP$4&amp;"; ","")&amp;IF(AND(AQ67="✓",AQ$4&lt;&gt;""),AQ$4&amp;"; ","")&amp;IF(AND(AR67="✓",AR$4&lt;&gt;""),AR$4&amp;"; ","")&amp;IF(AND(AS67="✓",AS$4&lt;&gt;""),AS$4&amp;"; ","")&amp;IF(AND(AT67="✓",AT$4&lt;&gt;""),AT$4&amp;"; ","")&amp;IF(AND(AU67="✓",AU$4&lt;&gt;""),AU$4&amp;"; ","")&amp;IF(AND(AV67="✓",AV$4&lt;&gt;""),AV$4&amp;"; ","")&amp;IF(AND(AW67="✓",AW$4&lt;&gt;""),AW$4&amp;"; ","")&amp;IF(AND(AX67="✓",AX$4&lt;&gt;""),AX$4&amp;"; ","")&amp;IF(AND(AY67="✓",AY$4&lt;&gt;""),AY$4&amp;"; ","")&amp;IF(AND(AZ67="✓",AZ$4&lt;&gt;""),AZ$4&amp;"; ","")&amp;IF(AND(BA67="✓",BA$4&lt;&gt;""),BA$4&amp;"; ","")&amp;IF(AND(BB67="✓",BB$4&lt;&gt;""),BB$4&amp;"; ","")&amp;IF(AND(BC67="✓",BC$4&lt;&gt;""),BC$4&amp;"; ","")&amp;IF(AND(BD67="✓",BD$4&lt;&gt;""),BD$4&amp;"; ","")&amp;IF(AND(BE67="✓",BE$4&lt;&gt;""),BE$4&amp;"; ","")&amp;IF(AND(BF67="✓",BF$4&lt;&gt;""),BF$4&amp;"; ","")&amp;IF(AND(BG67="✓",BG$4&lt;&gt;""),BG$4&amp;"; ","")&amp;IF(AND(BH67="✓",BH$4&lt;&gt;""),BH$4&amp;"; ","")&amp;IF(AND(BI67="✓",BI$4&lt;&gt;""),BI$4&amp;"; ","")&amp;IF(AND(BJ67="✓",BJ$4&lt;&gt;""),BJ$4&amp;"; ","")&amp;IF(AND(BK67="✓",BK$4&lt;&gt;""),BK$4&amp;"; ","")&amp;IF(AND(BL67="✓",BL$4&lt;&gt;""),BL$4&amp;"; ","")&amp;IF(AND(BM67="✓",BM$4&lt;&gt;""),BM$4&amp;"; ","")&amp;IF(AND(BN67="✓",BN$4&lt;&gt;""),BN$4&amp;"; ","")&amp;IF(AND(BO67="✓",BO$4&lt;&gt;""),BO$4&amp;"; ","")&amp;IF(AND(BP67="✓",BP$4&lt;&gt;""),BP$4&amp;"; ","")&amp;IF(AND(BQ67="✓",BQ$4&lt;&gt;""),BQ$4&amp;"; ","")&amp;IF(AND(BR67="✓",BR$4&lt;&gt;""),BR$4&amp;"; ","")&amp;IF(AND(BS67="✓",BS$4&lt;&gt;""),BS$4&amp;"; ","")&amp;IF(AND(BT67="✓",BT$4&lt;&gt;""),BT$4&amp;"; ","")&amp;IF(AND(BU67="✓",BU$4&lt;&gt;""),BU$4&amp;"; ","")&amp;IF(AND(BV67="✓",BV$4&lt;&gt;""),BV$4&amp;"; ","")&amp;IF(AND(BW67="✓",BW$4&lt;&gt;""),BW$4&amp;"; ","")&amp;IF(AND(BX67="✓",BX$4&lt;&gt;""),BX$4&amp;"; ","")&amp;IF(AND(BY67="✓",BY$4&lt;&gt;""),BY$4&amp;"; ","")&amp;IF(AND(BZ67="✓",BZ$4&lt;&gt;""),BZ$4&amp;"; ","")&amp;IF(AND(CA67="✓",CA$4&lt;&gt;""),CA$4&amp;"; ","")&amp;IF(AND(CB67="✓",CB$4&lt;&gt;""),CB$4&amp;"; ","")&amp;IF(AND(CC67="✓",CC$4&lt;&gt;""),CC$4&amp;"; ","")&amp;IF(AND(CD67="✓",CD$4&lt;&gt;""),CD$4&amp;"; ","")&amp;IF(AND(CE67="✓",CE$4&lt;&gt;""),CE$4&amp;"; ","")&amp;IF(AND(CF67="✓",CF$4&lt;&gt;""),CF$4&amp;"; ","")&amp;IF(AND(CG67="✓",CG$4&lt;&gt;""),CG$4&amp;"; ","")&amp;IF(AND(CH67="✓",CH$4&lt;&gt;""),CH$4&amp;"; ","")&amp;IF(AND(CI67="✓",CI$4&lt;&gt;""),CI$4&amp;"; ","")&amp;IF(AND(CJ67="✓",CJ$4&lt;&gt;""),CJ$4&amp;"; ","")&amp;IF(AND(CK67="✓",CK$4&lt;&gt;""),CK$4&amp;"; ","")&amp;IF(AND(CL67="✓",CL$4&lt;&gt;""),CL$4&amp;"; ","")&amp;IF(AND(CM67="✓",CM$4&lt;&gt;""),CM$4&amp;"; ","")&amp;IF(AND(CN67="✓",CN$4&lt;&gt;""),CN$4&amp;"; ","")&amp;IF(AND(CO67="✓",CO$4&lt;&gt;""),CO$4&amp;"; ","")</f>
        <v/>
      </c>
      <c r="CQ67" s="104" t="str">
        <f aca="false">IF($CP67="","",LEFT($CP67,LEN($CP67)-2))</f>
        <v/>
      </c>
      <c r="CR67" s="234" t="str">
        <f aca="false">IF($A67="","",COUNTIF($D67:$CO67,"✓"))</f>
        <v/>
      </c>
    </row>
    <row r="68" customFormat="false" ht="21.75" hidden="false" customHeight="true" outlineLevel="0" collapsed="false">
      <c r="A68" s="231" t="str">
        <f aca="false">IF(03_能力總表_Master!$A68="","",03_能力總表_Master!$A68)</f>
        <v/>
      </c>
      <c r="B68" s="166" t="str">
        <f aca="false">IF(03_能力總表_Master!$A68="","",03_能力總表_Master!$B68)</f>
        <v/>
      </c>
      <c r="C68" s="95" t="str">
        <f aca="false">IF(03_能力總表_Master!$A68="","",03_能力總表_Master!$E68)</f>
        <v/>
      </c>
      <c r="D68" s="232"/>
      <c r="E68" s="232"/>
      <c r="F68" s="232"/>
      <c r="G68" s="232"/>
      <c r="H68" s="232"/>
      <c r="I68" s="232"/>
      <c r="J68" s="232"/>
      <c r="K68" s="232"/>
      <c r="L68" s="232"/>
      <c r="M68" s="232"/>
      <c r="N68" s="232"/>
      <c r="O68" s="232"/>
      <c r="P68" s="232"/>
      <c r="Q68" s="232"/>
      <c r="R68" s="232"/>
      <c r="S68" s="232"/>
      <c r="T68" s="232"/>
      <c r="U68" s="232"/>
      <c r="V68" s="232"/>
      <c r="W68" s="232"/>
      <c r="X68" s="232"/>
      <c r="Y68" s="232"/>
      <c r="Z68" s="232"/>
      <c r="AA68" s="232"/>
      <c r="AB68" s="232"/>
      <c r="AC68" s="232"/>
      <c r="AD68" s="232"/>
      <c r="AE68" s="232"/>
      <c r="AF68" s="232"/>
      <c r="AG68" s="232"/>
      <c r="AH68" s="232"/>
      <c r="AI68" s="232"/>
      <c r="AJ68" s="232"/>
      <c r="AK68" s="232"/>
      <c r="AL68" s="232"/>
      <c r="AM68" s="232"/>
      <c r="AN68" s="232"/>
      <c r="AO68" s="232"/>
      <c r="AP68" s="232"/>
      <c r="AQ68" s="232"/>
      <c r="AR68" s="232"/>
      <c r="AS68" s="232"/>
      <c r="AT68" s="232"/>
      <c r="AU68" s="232"/>
      <c r="AV68" s="232"/>
      <c r="AW68" s="232"/>
      <c r="AX68" s="232"/>
      <c r="AY68" s="232"/>
      <c r="AZ68" s="232"/>
      <c r="BA68" s="232"/>
      <c r="BB68" s="232"/>
      <c r="BC68" s="232"/>
      <c r="BD68" s="232"/>
      <c r="BE68" s="232"/>
      <c r="BF68" s="232"/>
      <c r="BG68" s="232"/>
      <c r="BH68" s="232"/>
      <c r="BI68" s="232"/>
      <c r="BJ68" s="232"/>
      <c r="BK68" s="232"/>
      <c r="BL68" s="232"/>
      <c r="BM68" s="232"/>
      <c r="BN68" s="232"/>
      <c r="BO68" s="232"/>
      <c r="BP68" s="232"/>
      <c r="BQ68" s="232"/>
      <c r="BR68" s="232"/>
      <c r="BS68" s="232"/>
      <c r="BT68" s="232"/>
      <c r="BU68" s="232"/>
      <c r="BV68" s="232"/>
      <c r="BW68" s="232"/>
      <c r="BX68" s="232"/>
      <c r="BY68" s="232"/>
      <c r="BZ68" s="232"/>
      <c r="CA68" s="232"/>
      <c r="CB68" s="232"/>
      <c r="CC68" s="232"/>
      <c r="CD68" s="232"/>
      <c r="CE68" s="232"/>
      <c r="CF68" s="232"/>
      <c r="CG68" s="232"/>
      <c r="CH68" s="232"/>
      <c r="CI68" s="232"/>
      <c r="CJ68" s="232"/>
      <c r="CK68" s="232"/>
      <c r="CL68" s="232"/>
      <c r="CM68" s="232"/>
      <c r="CN68" s="232"/>
      <c r="CO68" s="232"/>
      <c r="CP68" s="233" t="str">
        <f aca="false">IF(AND(D68="✓",D$4&lt;&gt;""),D$4&amp;"; ","")&amp;IF(AND(E68="✓",E$4&lt;&gt;""),E$4&amp;"; ","")&amp;IF(AND(F68="✓",F$4&lt;&gt;""),F$4&amp;"; ","")&amp;IF(AND(G68="✓",G$4&lt;&gt;""),G$4&amp;"; ","")&amp;IF(AND(H68="✓",H$4&lt;&gt;""),H$4&amp;"; ","")&amp;IF(AND(I68="✓",I$4&lt;&gt;""),I$4&amp;"; ","")&amp;IF(AND(J68="✓",J$4&lt;&gt;""),J$4&amp;"; ","")&amp;IF(AND(K68="✓",K$4&lt;&gt;""),K$4&amp;"; ","")&amp;IF(AND(L68="✓",L$4&lt;&gt;""),L$4&amp;"; ","")&amp;IF(AND(M68="✓",M$4&lt;&gt;""),M$4&amp;"; ","")&amp;IF(AND(N68="✓",N$4&lt;&gt;""),N$4&amp;"; ","")&amp;IF(AND(O68="✓",O$4&lt;&gt;""),O$4&amp;"; ","")&amp;IF(AND(P68="✓",P$4&lt;&gt;""),P$4&amp;"; ","")&amp;IF(AND(Q68="✓",Q$4&lt;&gt;""),Q$4&amp;"; ","")&amp;IF(AND(R68="✓",R$4&lt;&gt;""),R$4&amp;"; ","")&amp;IF(AND(S68="✓",S$4&lt;&gt;""),S$4&amp;"; ","")&amp;IF(AND(T68="✓",T$4&lt;&gt;""),T$4&amp;"; ","")&amp;IF(AND(U68="✓",U$4&lt;&gt;""),U$4&amp;"; ","")&amp;IF(AND(V68="✓",V$4&lt;&gt;""),V$4&amp;"; ","")&amp;IF(AND(W68="✓",W$4&lt;&gt;""),W$4&amp;"; ","")&amp;IF(AND(X68="✓",X$4&lt;&gt;""),X$4&amp;"; ","")&amp;IF(AND(Y68="✓",Y$4&lt;&gt;""),Y$4&amp;"; ","")&amp;IF(AND(Z68="✓",Z$4&lt;&gt;""),Z$4&amp;"; ","")&amp;IF(AND(AA68="✓",AA$4&lt;&gt;""),AA$4&amp;"; ","")&amp;IF(AND(AB68="✓",AB$4&lt;&gt;""),AB$4&amp;"; ","")&amp;IF(AND(AC68="✓",AC$4&lt;&gt;""),AC$4&amp;"; ","")&amp;IF(AND(AD68="✓",AD$4&lt;&gt;""),AD$4&amp;"; ","")&amp;IF(AND(AE68="✓",AE$4&lt;&gt;""),AE$4&amp;"; ","")&amp;IF(AND(AF68="✓",AF$4&lt;&gt;""),AF$4&amp;"; ","")&amp;IF(AND(AG68="✓",AG$4&lt;&gt;""),AG$4&amp;"; ","")&amp;IF(AND(AH68="✓",AH$4&lt;&gt;""),AH$4&amp;"; ","")&amp;IF(AND(AI68="✓",AI$4&lt;&gt;""),AI$4&amp;"; ","")&amp;IF(AND(AJ68="✓",AJ$4&lt;&gt;""),AJ$4&amp;"; ","")&amp;IF(AND(AK68="✓",AK$4&lt;&gt;""),AK$4&amp;"; ","")&amp;IF(AND(AL68="✓",AL$4&lt;&gt;""),AL$4&amp;"; ","")&amp;IF(AND(AM68="✓",AM$4&lt;&gt;""),AM$4&amp;"; ","")&amp;IF(AND(AN68="✓",AN$4&lt;&gt;""),AN$4&amp;"; ","")&amp;IF(AND(AO68="✓",AO$4&lt;&gt;""),AO$4&amp;"; ","")&amp;IF(AND(AP68="✓",AP$4&lt;&gt;""),AP$4&amp;"; ","")&amp;IF(AND(AQ68="✓",AQ$4&lt;&gt;""),AQ$4&amp;"; ","")&amp;IF(AND(AR68="✓",AR$4&lt;&gt;""),AR$4&amp;"; ","")&amp;IF(AND(AS68="✓",AS$4&lt;&gt;""),AS$4&amp;"; ","")&amp;IF(AND(AT68="✓",AT$4&lt;&gt;""),AT$4&amp;"; ","")&amp;IF(AND(AU68="✓",AU$4&lt;&gt;""),AU$4&amp;"; ","")&amp;IF(AND(AV68="✓",AV$4&lt;&gt;""),AV$4&amp;"; ","")&amp;IF(AND(AW68="✓",AW$4&lt;&gt;""),AW$4&amp;"; ","")&amp;IF(AND(AX68="✓",AX$4&lt;&gt;""),AX$4&amp;"; ","")&amp;IF(AND(AY68="✓",AY$4&lt;&gt;""),AY$4&amp;"; ","")&amp;IF(AND(AZ68="✓",AZ$4&lt;&gt;""),AZ$4&amp;"; ","")&amp;IF(AND(BA68="✓",BA$4&lt;&gt;""),BA$4&amp;"; ","")&amp;IF(AND(BB68="✓",BB$4&lt;&gt;""),BB$4&amp;"; ","")&amp;IF(AND(BC68="✓",BC$4&lt;&gt;""),BC$4&amp;"; ","")&amp;IF(AND(BD68="✓",BD$4&lt;&gt;""),BD$4&amp;"; ","")&amp;IF(AND(BE68="✓",BE$4&lt;&gt;""),BE$4&amp;"; ","")&amp;IF(AND(BF68="✓",BF$4&lt;&gt;""),BF$4&amp;"; ","")&amp;IF(AND(BG68="✓",BG$4&lt;&gt;""),BG$4&amp;"; ","")&amp;IF(AND(BH68="✓",BH$4&lt;&gt;""),BH$4&amp;"; ","")&amp;IF(AND(BI68="✓",BI$4&lt;&gt;""),BI$4&amp;"; ","")&amp;IF(AND(BJ68="✓",BJ$4&lt;&gt;""),BJ$4&amp;"; ","")&amp;IF(AND(BK68="✓",BK$4&lt;&gt;""),BK$4&amp;"; ","")&amp;IF(AND(BL68="✓",BL$4&lt;&gt;""),BL$4&amp;"; ","")&amp;IF(AND(BM68="✓",BM$4&lt;&gt;""),BM$4&amp;"; ","")&amp;IF(AND(BN68="✓",BN$4&lt;&gt;""),BN$4&amp;"; ","")&amp;IF(AND(BO68="✓",BO$4&lt;&gt;""),BO$4&amp;"; ","")&amp;IF(AND(BP68="✓",BP$4&lt;&gt;""),BP$4&amp;"; ","")&amp;IF(AND(BQ68="✓",BQ$4&lt;&gt;""),BQ$4&amp;"; ","")&amp;IF(AND(BR68="✓",BR$4&lt;&gt;""),BR$4&amp;"; ","")&amp;IF(AND(BS68="✓",BS$4&lt;&gt;""),BS$4&amp;"; ","")&amp;IF(AND(BT68="✓",BT$4&lt;&gt;""),BT$4&amp;"; ","")&amp;IF(AND(BU68="✓",BU$4&lt;&gt;""),BU$4&amp;"; ","")&amp;IF(AND(BV68="✓",BV$4&lt;&gt;""),BV$4&amp;"; ","")&amp;IF(AND(BW68="✓",BW$4&lt;&gt;""),BW$4&amp;"; ","")&amp;IF(AND(BX68="✓",BX$4&lt;&gt;""),BX$4&amp;"; ","")&amp;IF(AND(BY68="✓",BY$4&lt;&gt;""),BY$4&amp;"; ","")&amp;IF(AND(BZ68="✓",BZ$4&lt;&gt;""),BZ$4&amp;"; ","")&amp;IF(AND(CA68="✓",CA$4&lt;&gt;""),CA$4&amp;"; ","")&amp;IF(AND(CB68="✓",CB$4&lt;&gt;""),CB$4&amp;"; ","")&amp;IF(AND(CC68="✓",CC$4&lt;&gt;""),CC$4&amp;"; ","")&amp;IF(AND(CD68="✓",CD$4&lt;&gt;""),CD$4&amp;"; ","")&amp;IF(AND(CE68="✓",CE$4&lt;&gt;""),CE$4&amp;"; ","")&amp;IF(AND(CF68="✓",CF$4&lt;&gt;""),CF$4&amp;"; ","")&amp;IF(AND(CG68="✓",CG$4&lt;&gt;""),CG$4&amp;"; ","")&amp;IF(AND(CH68="✓",CH$4&lt;&gt;""),CH$4&amp;"; ","")&amp;IF(AND(CI68="✓",CI$4&lt;&gt;""),CI$4&amp;"; ","")&amp;IF(AND(CJ68="✓",CJ$4&lt;&gt;""),CJ$4&amp;"; ","")&amp;IF(AND(CK68="✓",CK$4&lt;&gt;""),CK$4&amp;"; ","")&amp;IF(AND(CL68="✓",CL$4&lt;&gt;""),CL$4&amp;"; ","")&amp;IF(AND(CM68="✓",CM$4&lt;&gt;""),CM$4&amp;"; ","")&amp;IF(AND(CN68="✓",CN$4&lt;&gt;""),CN$4&amp;"; ","")&amp;IF(AND(CO68="✓",CO$4&lt;&gt;""),CO$4&amp;"; ","")</f>
        <v/>
      </c>
      <c r="CQ68" s="104" t="str">
        <f aca="false">IF($CP68="","",LEFT($CP68,LEN($CP68)-2))</f>
        <v/>
      </c>
      <c r="CR68" s="234" t="str">
        <f aca="false">IF($A68="","",COUNTIF($D68:$CO68,"✓"))</f>
        <v/>
      </c>
    </row>
    <row r="69" customFormat="false" ht="21.75" hidden="false" customHeight="true" outlineLevel="0" collapsed="false">
      <c r="A69" s="231" t="str">
        <f aca="false">IF(03_能力總表_Master!$A69="","",03_能力總表_Master!$A69)</f>
        <v/>
      </c>
      <c r="B69" s="166" t="str">
        <f aca="false">IF(03_能力總表_Master!$A69="","",03_能力總表_Master!$B69)</f>
        <v/>
      </c>
      <c r="C69" s="95" t="str">
        <f aca="false">IF(03_能力總表_Master!$A69="","",03_能力總表_Master!$E69)</f>
        <v/>
      </c>
      <c r="D69" s="232"/>
      <c r="E69" s="232"/>
      <c r="F69" s="232"/>
      <c r="G69" s="232"/>
      <c r="H69" s="232"/>
      <c r="I69" s="232"/>
      <c r="J69" s="232"/>
      <c r="K69" s="232"/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232"/>
      <c r="Z69" s="232"/>
      <c r="AA69" s="232"/>
      <c r="AB69" s="232"/>
      <c r="AC69" s="232"/>
      <c r="AD69" s="232"/>
      <c r="AE69" s="232"/>
      <c r="AF69" s="232"/>
      <c r="AG69" s="232"/>
      <c r="AH69" s="232"/>
      <c r="AI69" s="232"/>
      <c r="AJ69" s="232"/>
      <c r="AK69" s="232"/>
      <c r="AL69" s="232"/>
      <c r="AM69" s="232"/>
      <c r="AN69" s="232"/>
      <c r="AO69" s="232"/>
      <c r="AP69" s="232"/>
      <c r="AQ69" s="232"/>
      <c r="AR69" s="232"/>
      <c r="AS69" s="232"/>
      <c r="AT69" s="232"/>
      <c r="AU69" s="232"/>
      <c r="AV69" s="232"/>
      <c r="AW69" s="232"/>
      <c r="AX69" s="232"/>
      <c r="AY69" s="232"/>
      <c r="AZ69" s="232"/>
      <c r="BA69" s="232"/>
      <c r="BB69" s="232"/>
      <c r="BC69" s="232"/>
      <c r="BD69" s="232"/>
      <c r="BE69" s="232"/>
      <c r="BF69" s="232"/>
      <c r="BG69" s="232"/>
      <c r="BH69" s="232"/>
      <c r="BI69" s="232"/>
      <c r="BJ69" s="232"/>
      <c r="BK69" s="232"/>
      <c r="BL69" s="232"/>
      <c r="BM69" s="232"/>
      <c r="BN69" s="232"/>
      <c r="BO69" s="232"/>
      <c r="BP69" s="232"/>
      <c r="BQ69" s="232"/>
      <c r="BR69" s="232"/>
      <c r="BS69" s="232"/>
      <c r="BT69" s="232"/>
      <c r="BU69" s="232"/>
      <c r="BV69" s="232"/>
      <c r="BW69" s="232"/>
      <c r="BX69" s="232"/>
      <c r="BY69" s="232"/>
      <c r="BZ69" s="232"/>
      <c r="CA69" s="232"/>
      <c r="CB69" s="232"/>
      <c r="CC69" s="232"/>
      <c r="CD69" s="232"/>
      <c r="CE69" s="232"/>
      <c r="CF69" s="232"/>
      <c r="CG69" s="232"/>
      <c r="CH69" s="232"/>
      <c r="CI69" s="232"/>
      <c r="CJ69" s="232"/>
      <c r="CK69" s="232"/>
      <c r="CL69" s="232"/>
      <c r="CM69" s="232"/>
      <c r="CN69" s="232"/>
      <c r="CO69" s="232"/>
      <c r="CP69" s="233" t="str">
        <f aca="false">IF(AND(D69="✓",D$4&lt;&gt;""),D$4&amp;"; ","")&amp;IF(AND(E69="✓",E$4&lt;&gt;""),E$4&amp;"; ","")&amp;IF(AND(F69="✓",F$4&lt;&gt;""),F$4&amp;"; ","")&amp;IF(AND(G69="✓",G$4&lt;&gt;""),G$4&amp;"; ","")&amp;IF(AND(H69="✓",H$4&lt;&gt;""),H$4&amp;"; ","")&amp;IF(AND(I69="✓",I$4&lt;&gt;""),I$4&amp;"; ","")&amp;IF(AND(J69="✓",J$4&lt;&gt;""),J$4&amp;"; ","")&amp;IF(AND(K69="✓",K$4&lt;&gt;""),K$4&amp;"; ","")&amp;IF(AND(L69="✓",L$4&lt;&gt;""),L$4&amp;"; ","")&amp;IF(AND(M69="✓",M$4&lt;&gt;""),M$4&amp;"; ","")&amp;IF(AND(N69="✓",N$4&lt;&gt;""),N$4&amp;"; ","")&amp;IF(AND(O69="✓",O$4&lt;&gt;""),O$4&amp;"; ","")&amp;IF(AND(P69="✓",P$4&lt;&gt;""),P$4&amp;"; ","")&amp;IF(AND(Q69="✓",Q$4&lt;&gt;""),Q$4&amp;"; ","")&amp;IF(AND(R69="✓",R$4&lt;&gt;""),R$4&amp;"; ","")&amp;IF(AND(S69="✓",S$4&lt;&gt;""),S$4&amp;"; ","")&amp;IF(AND(T69="✓",T$4&lt;&gt;""),T$4&amp;"; ","")&amp;IF(AND(U69="✓",U$4&lt;&gt;""),U$4&amp;"; ","")&amp;IF(AND(V69="✓",V$4&lt;&gt;""),V$4&amp;"; ","")&amp;IF(AND(W69="✓",W$4&lt;&gt;""),W$4&amp;"; ","")&amp;IF(AND(X69="✓",X$4&lt;&gt;""),X$4&amp;"; ","")&amp;IF(AND(Y69="✓",Y$4&lt;&gt;""),Y$4&amp;"; ","")&amp;IF(AND(Z69="✓",Z$4&lt;&gt;""),Z$4&amp;"; ","")&amp;IF(AND(AA69="✓",AA$4&lt;&gt;""),AA$4&amp;"; ","")&amp;IF(AND(AB69="✓",AB$4&lt;&gt;""),AB$4&amp;"; ","")&amp;IF(AND(AC69="✓",AC$4&lt;&gt;""),AC$4&amp;"; ","")&amp;IF(AND(AD69="✓",AD$4&lt;&gt;""),AD$4&amp;"; ","")&amp;IF(AND(AE69="✓",AE$4&lt;&gt;""),AE$4&amp;"; ","")&amp;IF(AND(AF69="✓",AF$4&lt;&gt;""),AF$4&amp;"; ","")&amp;IF(AND(AG69="✓",AG$4&lt;&gt;""),AG$4&amp;"; ","")&amp;IF(AND(AH69="✓",AH$4&lt;&gt;""),AH$4&amp;"; ","")&amp;IF(AND(AI69="✓",AI$4&lt;&gt;""),AI$4&amp;"; ","")&amp;IF(AND(AJ69="✓",AJ$4&lt;&gt;""),AJ$4&amp;"; ","")&amp;IF(AND(AK69="✓",AK$4&lt;&gt;""),AK$4&amp;"; ","")&amp;IF(AND(AL69="✓",AL$4&lt;&gt;""),AL$4&amp;"; ","")&amp;IF(AND(AM69="✓",AM$4&lt;&gt;""),AM$4&amp;"; ","")&amp;IF(AND(AN69="✓",AN$4&lt;&gt;""),AN$4&amp;"; ","")&amp;IF(AND(AO69="✓",AO$4&lt;&gt;""),AO$4&amp;"; ","")&amp;IF(AND(AP69="✓",AP$4&lt;&gt;""),AP$4&amp;"; ","")&amp;IF(AND(AQ69="✓",AQ$4&lt;&gt;""),AQ$4&amp;"; ","")&amp;IF(AND(AR69="✓",AR$4&lt;&gt;""),AR$4&amp;"; ","")&amp;IF(AND(AS69="✓",AS$4&lt;&gt;""),AS$4&amp;"; ","")&amp;IF(AND(AT69="✓",AT$4&lt;&gt;""),AT$4&amp;"; ","")&amp;IF(AND(AU69="✓",AU$4&lt;&gt;""),AU$4&amp;"; ","")&amp;IF(AND(AV69="✓",AV$4&lt;&gt;""),AV$4&amp;"; ","")&amp;IF(AND(AW69="✓",AW$4&lt;&gt;""),AW$4&amp;"; ","")&amp;IF(AND(AX69="✓",AX$4&lt;&gt;""),AX$4&amp;"; ","")&amp;IF(AND(AY69="✓",AY$4&lt;&gt;""),AY$4&amp;"; ","")&amp;IF(AND(AZ69="✓",AZ$4&lt;&gt;""),AZ$4&amp;"; ","")&amp;IF(AND(BA69="✓",BA$4&lt;&gt;""),BA$4&amp;"; ","")&amp;IF(AND(BB69="✓",BB$4&lt;&gt;""),BB$4&amp;"; ","")&amp;IF(AND(BC69="✓",BC$4&lt;&gt;""),BC$4&amp;"; ","")&amp;IF(AND(BD69="✓",BD$4&lt;&gt;""),BD$4&amp;"; ","")&amp;IF(AND(BE69="✓",BE$4&lt;&gt;""),BE$4&amp;"; ","")&amp;IF(AND(BF69="✓",BF$4&lt;&gt;""),BF$4&amp;"; ","")&amp;IF(AND(BG69="✓",BG$4&lt;&gt;""),BG$4&amp;"; ","")&amp;IF(AND(BH69="✓",BH$4&lt;&gt;""),BH$4&amp;"; ","")&amp;IF(AND(BI69="✓",BI$4&lt;&gt;""),BI$4&amp;"; ","")&amp;IF(AND(BJ69="✓",BJ$4&lt;&gt;""),BJ$4&amp;"; ","")&amp;IF(AND(BK69="✓",BK$4&lt;&gt;""),BK$4&amp;"; ","")&amp;IF(AND(BL69="✓",BL$4&lt;&gt;""),BL$4&amp;"; ","")&amp;IF(AND(BM69="✓",BM$4&lt;&gt;""),BM$4&amp;"; ","")&amp;IF(AND(BN69="✓",BN$4&lt;&gt;""),BN$4&amp;"; ","")&amp;IF(AND(BO69="✓",BO$4&lt;&gt;""),BO$4&amp;"; ","")&amp;IF(AND(BP69="✓",BP$4&lt;&gt;""),BP$4&amp;"; ","")&amp;IF(AND(BQ69="✓",BQ$4&lt;&gt;""),BQ$4&amp;"; ","")&amp;IF(AND(BR69="✓",BR$4&lt;&gt;""),BR$4&amp;"; ","")&amp;IF(AND(BS69="✓",BS$4&lt;&gt;""),BS$4&amp;"; ","")&amp;IF(AND(BT69="✓",BT$4&lt;&gt;""),BT$4&amp;"; ","")&amp;IF(AND(BU69="✓",BU$4&lt;&gt;""),BU$4&amp;"; ","")&amp;IF(AND(BV69="✓",BV$4&lt;&gt;""),BV$4&amp;"; ","")&amp;IF(AND(BW69="✓",BW$4&lt;&gt;""),BW$4&amp;"; ","")&amp;IF(AND(BX69="✓",BX$4&lt;&gt;""),BX$4&amp;"; ","")&amp;IF(AND(BY69="✓",BY$4&lt;&gt;""),BY$4&amp;"; ","")&amp;IF(AND(BZ69="✓",BZ$4&lt;&gt;""),BZ$4&amp;"; ","")&amp;IF(AND(CA69="✓",CA$4&lt;&gt;""),CA$4&amp;"; ","")&amp;IF(AND(CB69="✓",CB$4&lt;&gt;""),CB$4&amp;"; ","")&amp;IF(AND(CC69="✓",CC$4&lt;&gt;""),CC$4&amp;"; ","")&amp;IF(AND(CD69="✓",CD$4&lt;&gt;""),CD$4&amp;"; ","")&amp;IF(AND(CE69="✓",CE$4&lt;&gt;""),CE$4&amp;"; ","")&amp;IF(AND(CF69="✓",CF$4&lt;&gt;""),CF$4&amp;"; ","")&amp;IF(AND(CG69="✓",CG$4&lt;&gt;""),CG$4&amp;"; ","")&amp;IF(AND(CH69="✓",CH$4&lt;&gt;""),CH$4&amp;"; ","")&amp;IF(AND(CI69="✓",CI$4&lt;&gt;""),CI$4&amp;"; ","")&amp;IF(AND(CJ69="✓",CJ$4&lt;&gt;""),CJ$4&amp;"; ","")&amp;IF(AND(CK69="✓",CK$4&lt;&gt;""),CK$4&amp;"; ","")&amp;IF(AND(CL69="✓",CL$4&lt;&gt;""),CL$4&amp;"; ","")&amp;IF(AND(CM69="✓",CM$4&lt;&gt;""),CM$4&amp;"; ","")&amp;IF(AND(CN69="✓",CN$4&lt;&gt;""),CN$4&amp;"; ","")&amp;IF(AND(CO69="✓",CO$4&lt;&gt;""),CO$4&amp;"; ","")</f>
        <v/>
      </c>
      <c r="CQ69" s="104" t="str">
        <f aca="false">IF($CP69="","",LEFT($CP69,LEN($CP69)-2))</f>
        <v/>
      </c>
      <c r="CR69" s="234" t="str">
        <f aca="false">IF($A69="","",COUNTIF($D69:$CO69,"✓"))</f>
        <v/>
      </c>
    </row>
    <row r="70" customFormat="false" ht="21.75" hidden="false" customHeight="true" outlineLevel="0" collapsed="false">
      <c r="A70" s="231" t="str">
        <f aca="false">IF(03_能力總表_Master!$A70="","",03_能力總表_Master!$A70)</f>
        <v/>
      </c>
      <c r="B70" s="166" t="str">
        <f aca="false">IF(03_能力總表_Master!$A70="","",03_能力總表_Master!$B70)</f>
        <v/>
      </c>
      <c r="C70" s="95" t="str">
        <f aca="false">IF(03_能力總表_Master!$A70="","",03_能力總表_Master!$E70)</f>
        <v/>
      </c>
      <c r="D70" s="232"/>
      <c r="E70" s="232"/>
      <c r="F70" s="232"/>
      <c r="G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  <c r="AA70" s="232"/>
      <c r="AB70" s="232"/>
      <c r="AC70" s="232"/>
      <c r="AD70" s="232"/>
      <c r="AE70" s="232"/>
      <c r="AF70" s="232"/>
      <c r="AG70" s="232"/>
      <c r="AH70" s="232"/>
      <c r="AI70" s="232"/>
      <c r="AJ70" s="232"/>
      <c r="AK70" s="232"/>
      <c r="AL70" s="232"/>
      <c r="AM70" s="232"/>
      <c r="AN70" s="232"/>
      <c r="AO70" s="232"/>
      <c r="AP70" s="232"/>
      <c r="AQ70" s="232"/>
      <c r="AR70" s="232"/>
      <c r="AS70" s="232"/>
      <c r="AT70" s="232"/>
      <c r="AU70" s="232"/>
      <c r="AV70" s="232"/>
      <c r="AW70" s="232"/>
      <c r="AX70" s="232"/>
      <c r="AY70" s="232"/>
      <c r="AZ70" s="232"/>
      <c r="BA70" s="232"/>
      <c r="BB70" s="232"/>
      <c r="BC70" s="232"/>
      <c r="BD70" s="232"/>
      <c r="BE70" s="232"/>
      <c r="BF70" s="232"/>
      <c r="BG70" s="232"/>
      <c r="BH70" s="232"/>
      <c r="BI70" s="232"/>
      <c r="BJ70" s="232"/>
      <c r="BK70" s="232"/>
      <c r="BL70" s="232"/>
      <c r="BM70" s="232"/>
      <c r="BN70" s="232"/>
      <c r="BO70" s="232"/>
      <c r="BP70" s="232"/>
      <c r="BQ70" s="232"/>
      <c r="BR70" s="232"/>
      <c r="BS70" s="232"/>
      <c r="BT70" s="232"/>
      <c r="BU70" s="232"/>
      <c r="BV70" s="232"/>
      <c r="BW70" s="232"/>
      <c r="BX70" s="232"/>
      <c r="BY70" s="232"/>
      <c r="BZ70" s="232"/>
      <c r="CA70" s="232"/>
      <c r="CB70" s="232"/>
      <c r="CC70" s="232"/>
      <c r="CD70" s="232"/>
      <c r="CE70" s="232"/>
      <c r="CF70" s="232"/>
      <c r="CG70" s="232"/>
      <c r="CH70" s="232"/>
      <c r="CI70" s="232"/>
      <c r="CJ70" s="232"/>
      <c r="CK70" s="232"/>
      <c r="CL70" s="232"/>
      <c r="CM70" s="232"/>
      <c r="CN70" s="232"/>
      <c r="CO70" s="232"/>
      <c r="CP70" s="233" t="str">
        <f aca="false">IF(AND(D70="✓",D$4&lt;&gt;""),D$4&amp;"; ","")&amp;IF(AND(E70="✓",E$4&lt;&gt;""),E$4&amp;"; ","")&amp;IF(AND(F70="✓",F$4&lt;&gt;""),F$4&amp;"; ","")&amp;IF(AND(G70="✓",G$4&lt;&gt;""),G$4&amp;"; ","")&amp;IF(AND(H70="✓",H$4&lt;&gt;""),H$4&amp;"; ","")&amp;IF(AND(I70="✓",I$4&lt;&gt;""),I$4&amp;"; ","")&amp;IF(AND(J70="✓",J$4&lt;&gt;""),J$4&amp;"; ","")&amp;IF(AND(K70="✓",K$4&lt;&gt;""),K$4&amp;"; ","")&amp;IF(AND(L70="✓",L$4&lt;&gt;""),L$4&amp;"; ","")&amp;IF(AND(M70="✓",M$4&lt;&gt;""),M$4&amp;"; ","")&amp;IF(AND(N70="✓",N$4&lt;&gt;""),N$4&amp;"; ","")&amp;IF(AND(O70="✓",O$4&lt;&gt;""),O$4&amp;"; ","")&amp;IF(AND(P70="✓",P$4&lt;&gt;""),P$4&amp;"; ","")&amp;IF(AND(Q70="✓",Q$4&lt;&gt;""),Q$4&amp;"; ","")&amp;IF(AND(R70="✓",R$4&lt;&gt;""),R$4&amp;"; ","")&amp;IF(AND(S70="✓",S$4&lt;&gt;""),S$4&amp;"; ","")&amp;IF(AND(T70="✓",T$4&lt;&gt;""),T$4&amp;"; ","")&amp;IF(AND(U70="✓",U$4&lt;&gt;""),U$4&amp;"; ","")&amp;IF(AND(V70="✓",V$4&lt;&gt;""),V$4&amp;"; ","")&amp;IF(AND(W70="✓",W$4&lt;&gt;""),W$4&amp;"; ","")&amp;IF(AND(X70="✓",X$4&lt;&gt;""),X$4&amp;"; ","")&amp;IF(AND(Y70="✓",Y$4&lt;&gt;""),Y$4&amp;"; ","")&amp;IF(AND(Z70="✓",Z$4&lt;&gt;""),Z$4&amp;"; ","")&amp;IF(AND(AA70="✓",AA$4&lt;&gt;""),AA$4&amp;"; ","")&amp;IF(AND(AB70="✓",AB$4&lt;&gt;""),AB$4&amp;"; ","")&amp;IF(AND(AC70="✓",AC$4&lt;&gt;""),AC$4&amp;"; ","")&amp;IF(AND(AD70="✓",AD$4&lt;&gt;""),AD$4&amp;"; ","")&amp;IF(AND(AE70="✓",AE$4&lt;&gt;""),AE$4&amp;"; ","")&amp;IF(AND(AF70="✓",AF$4&lt;&gt;""),AF$4&amp;"; ","")&amp;IF(AND(AG70="✓",AG$4&lt;&gt;""),AG$4&amp;"; ","")&amp;IF(AND(AH70="✓",AH$4&lt;&gt;""),AH$4&amp;"; ","")&amp;IF(AND(AI70="✓",AI$4&lt;&gt;""),AI$4&amp;"; ","")&amp;IF(AND(AJ70="✓",AJ$4&lt;&gt;""),AJ$4&amp;"; ","")&amp;IF(AND(AK70="✓",AK$4&lt;&gt;""),AK$4&amp;"; ","")&amp;IF(AND(AL70="✓",AL$4&lt;&gt;""),AL$4&amp;"; ","")&amp;IF(AND(AM70="✓",AM$4&lt;&gt;""),AM$4&amp;"; ","")&amp;IF(AND(AN70="✓",AN$4&lt;&gt;""),AN$4&amp;"; ","")&amp;IF(AND(AO70="✓",AO$4&lt;&gt;""),AO$4&amp;"; ","")&amp;IF(AND(AP70="✓",AP$4&lt;&gt;""),AP$4&amp;"; ","")&amp;IF(AND(AQ70="✓",AQ$4&lt;&gt;""),AQ$4&amp;"; ","")&amp;IF(AND(AR70="✓",AR$4&lt;&gt;""),AR$4&amp;"; ","")&amp;IF(AND(AS70="✓",AS$4&lt;&gt;""),AS$4&amp;"; ","")&amp;IF(AND(AT70="✓",AT$4&lt;&gt;""),AT$4&amp;"; ","")&amp;IF(AND(AU70="✓",AU$4&lt;&gt;""),AU$4&amp;"; ","")&amp;IF(AND(AV70="✓",AV$4&lt;&gt;""),AV$4&amp;"; ","")&amp;IF(AND(AW70="✓",AW$4&lt;&gt;""),AW$4&amp;"; ","")&amp;IF(AND(AX70="✓",AX$4&lt;&gt;""),AX$4&amp;"; ","")&amp;IF(AND(AY70="✓",AY$4&lt;&gt;""),AY$4&amp;"; ","")&amp;IF(AND(AZ70="✓",AZ$4&lt;&gt;""),AZ$4&amp;"; ","")&amp;IF(AND(BA70="✓",BA$4&lt;&gt;""),BA$4&amp;"; ","")&amp;IF(AND(BB70="✓",BB$4&lt;&gt;""),BB$4&amp;"; ","")&amp;IF(AND(BC70="✓",BC$4&lt;&gt;""),BC$4&amp;"; ","")&amp;IF(AND(BD70="✓",BD$4&lt;&gt;""),BD$4&amp;"; ","")&amp;IF(AND(BE70="✓",BE$4&lt;&gt;""),BE$4&amp;"; ","")&amp;IF(AND(BF70="✓",BF$4&lt;&gt;""),BF$4&amp;"; ","")&amp;IF(AND(BG70="✓",BG$4&lt;&gt;""),BG$4&amp;"; ","")&amp;IF(AND(BH70="✓",BH$4&lt;&gt;""),BH$4&amp;"; ","")&amp;IF(AND(BI70="✓",BI$4&lt;&gt;""),BI$4&amp;"; ","")&amp;IF(AND(BJ70="✓",BJ$4&lt;&gt;""),BJ$4&amp;"; ","")&amp;IF(AND(BK70="✓",BK$4&lt;&gt;""),BK$4&amp;"; ","")&amp;IF(AND(BL70="✓",BL$4&lt;&gt;""),BL$4&amp;"; ","")&amp;IF(AND(BM70="✓",BM$4&lt;&gt;""),BM$4&amp;"; ","")&amp;IF(AND(BN70="✓",BN$4&lt;&gt;""),BN$4&amp;"; ","")&amp;IF(AND(BO70="✓",BO$4&lt;&gt;""),BO$4&amp;"; ","")&amp;IF(AND(BP70="✓",BP$4&lt;&gt;""),BP$4&amp;"; ","")&amp;IF(AND(BQ70="✓",BQ$4&lt;&gt;""),BQ$4&amp;"; ","")&amp;IF(AND(BR70="✓",BR$4&lt;&gt;""),BR$4&amp;"; ","")&amp;IF(AND(BS70="✓",BS$4&lt;&gt;""),BS$4&amp;"; ","")&amp;IF(AND(BT70="✓",BT$4&lt;&gt;""),BT$4&amp;"; ","")&amp;IF(AND(BU70="✓",BU$4&lt;&gt;""),BU$4&amp;"; ","")&amp;IF(AND(BV70="✓",BV$4&lt;&gt;""),BV$4&amp;"; ","")&amp;IF(AND(BW70="✓",BW$4&lt;&gt;""),BW$4&amp;"; ","")&amp;IF(AND(BX70="✓",BX$4&lt;&gt;""),BX$4&amp;"; ","")&amp;IF(AND(BY70="✓",BY$4&lt;&gt;""),BY$4&amp;"; ","")&amp;IF(AND(BZ70="✓",BZ$4&lt;&gt;""),BZ$4&amp;"; ","")&amp;IF(AND(CA70="✓",CA$4&lt;&gt;""),CA$4&amp;"; ","")&amp;IF(AND(CB70="✓",CB$4&lt;&gt;""),CB$4&amp;"; ","")&amp;IF(AND(CC70="✓",CC$4&lt;&gt;""),CC$4&amp;"; ","")&amp;IF(AND(CD70="✓",CD$4&lt;&gt;""),CD$4&amp;"; ","")&amp;IF(AND(CE70="✓",CE$4&lt;&gt;""),CE$4&amp;"; ","")&amp;IF(AND(CF70="✓",CF$4&lt;&gt;""),CF$4&amp;"; ","")&amp;IF(AND(CG70="✓",CG$4&lt;&gt;""),CG$4&amp;"; ","")&amp;IF(AND(CH70="✓",CH$4&lt;&gt;""),CH$4&amp;"; ","")&amp;IF(AND(CI70="✓",CI$4&lt;&gt;""),CI$4&amp;"; ","")&amp;IF(AND(CJ70="✓",CJ$4&lt;&gt;""),CJ$4&amp;"; ","")&amp;IF(AND(CK70="✓",CK$4&lt;&gt;""),CK$4&amp;"; ","")&amp;IF(AND(CL70="✓",CL$4&lt;&gt;""),CL$4&amp;"; ","")&amp;IF(AND(CM70="✓",CM$4&lt;&gt;""),CM$4&amp;"; ","")&amp;IF(AND(CN70="✓",CN$4&lt;&gt;""),CN$4&amp;"; ","")&amp;IF(AND(CO70="✓",CO$4&lt;&gt;""),CO$4&amp;"; ","")</f>
        <v/>
      </c>
      <c r="CQ70" s="104" t="str">
        <f aca="false">IF($CP70="","",LEFT($CP70,LEN($CP70)-2))</f>
        <v/>
      </c>
      <c r="CR70" s="234" t="str">
        <f aca="false">IF($A70="","",COUNTIF($D70:$CO70,"✓"))</f>
        <v/>
      </c>
    </row>
    <row r="71" customFormat="false" ht="21.75" hidden="false" customHeight="true" outlineLevel="0" collapsed="false">
      <c r="A71" s="231" t="str">
        <f aca="false">IF(03_能力總表_Master!$A71="","",03_能力總表_Master!$A71)</f>
        <v/>
      </c>
      <c r="B71" s="166" t="str">
        <f aca="false">IF(03_能力總表_Master!$A71="","",03_能力總表_Master!$B71)</f>
        <v/>
      </c>
      <c r="C71" s="95" t="str">
        <f aca="false">IF(03_能力總表_Master!$A71="","",03_能力總表_Master!$E71)</f>
        <v/>
      </c>
      <c r="D71" s="232"/>
      <c r="E71" s="232"/>
      <c r="F71" s="232"/>
      <c r="G71" s="232"/>
      <c r="H71" s="232"/>
      <c r="I71" s="232"/>
      <c r="J71" s="232"/>
      <c r="K71" s="232"/>
      <c r="L71" s="232"/>
      <c r="M71" s="232"/>
      <c r="N71" s="232"/>
      <c r="O71" s="232"/>
      <c r="P71" s="232"/>
      <c r="Q71" s="232"/>
      <c r="R71" s="232"/>
      <c r="S71" s="232"/>
      <c r="T71" s="232"/>
      <c r="U71" s="232"/>
      <c r="V71" s="232"/>
      <c r="W71" s="232"/>
      <c r="X71" s="232"/>
      <c r="Y71" s="232"/>
      <c r="Z71" s="232"/>
      <c r="AA71" s="232"/>
      <c r="AB71" s="232"/>
      <c r="AC71" s="232"/>
      <c r="AD71" s="232"/>
      <c r="AE71" s="232"/>
      <c r="AF71" s="232"/>
      <c r="AG71" s="232"/>
      <c r="AH71" s="232"/>
      <c r="AI71" s="232"/>
      <c r="AJ71" s="232"/>
      <c r="AK71" s="232"/>
      <c r="AL71" s="232"/>
      <c r="AM71" s="232"/>
      <c r="AN71" s="232"/>
      <c r="AO71" s="232"/>
      <c r="AP71" s="232"/>
      <c r="AQ71" s="232"/>
      <c r="AR71" s="232"/>
      <c r="AS71" s="232"/>
      <c r="AT71" s="232"/>
      <c r="AU71" s="232"/>
      <c r="AV71" s="232"/>
      <c r="AW71" s="232"/>
      <c r="AX71" s="232"/>
      <c r="AY71" s="232"/>
      <c r="AZ71" s="232"/>
      <c r="BA71" s="232"/>
      <c r="BB71" s="232"/>
      <c r="BC71" s="232"/>
      <c r="BD71" s="232"/>
      <c r="BE71" s="232"/>
      <c r="BF71" s="232"/>
      <c r="BG71" s="232"/>
      <c r="BH71" s="232"/>
      <c r="BI71" s="232"/>
      <c r="BJ71" s="232"/>
      <c r="BK71" s="232"/>
      <c r="BL71" s="232"/>
      <c r="BM71" s="232"/>
      <c r="BN71" s="232"/>
      <c r="BO71" s="232"/>
      <c r="BP71" s="232"/>
      <c r="BQ71" s="232"/>
      <c r="BR71" s="232"/>
      <c r="BS71" s="232"/>
      <c r="BT71" s="232"/>
      <c r="BU71" s="232"/>
      <c r="BV71" s="232"/>
      <c r="BW71" s="232"/>
      <c r="BX71" s="232"/>
      <c r="BY71" s="232"/>
      <c r="BZ71" s="232"/>
      <c r="CA71" s="232"/>
      <c r="CB71" s="232"/>
      <c r="CC71" s="232"/>
      <c r="CD71" s="232"/>
      <c r="CE71" s="232"/>
      <c r="CF71" s="232"/>
      <c r="CG71" s="232"/>
      <c r="CH71" s="232"/>
      <c r="CI71" s="232"/>
      <c r="CJ71" s="232"/>
      <c r="CK71" s="232"/>
      <c r="CL71" s="232"/>
      <c r="CM71" s="232"/>
      <c r="CN71" s="232"/>
      <c r="CO71" s="232"/>
      <c r="CP71" s="233" t="str">
        <f aca="false">IF(AND(D71="✓",D$4&lt;&gt;""),D$4&amp;"; ","")&amp;IF(AND(E71="✓",E$4&lt;&gt;""),E$4&amp;"; ","")&amp;IF(AND(F71="✓",F$4&lt;&gt;""),F$4&amp;"; ","")&amp;IF(AND(G71="✓",G$4&lt;&gt;""),G$4&amp;"; ","")&amp;IF(AND(H71="✓",H$4&lt;&gt;""),H$4&amp;"; ","")&amp;IF(AND(I71="✓",I$4&lt;&gt;""),I$4&amp;"; ","")&amp;IF(AND(J71="✓",J$4&lt;&gt;""),J$4&amp;"; ","")&amp;IF(AND(K71="✓",K$4&lt;&gt;""),K$4&amp;"; ","")&amp;IF(AND(L71="✓",L$4&lt;&gt;""),L$4&amp;"; ","")&amp;IF(AND(M71="✓",M$4&lt;&gt;""),M$4&amp;"; ","")&amp;IF(AND(N71="✓",N$4&lt;&gt;""),N$4&amp;"; ","")&amp;IF(AND(O71="✓",O$4&lt;&gt;""),O$4&amp;"; ","")&amp;IF(AND(P71="✓",P$4&lt;&gt;""),P$4&amp;"; ","")&amp;IF(AND(Q71="✓",Q$4&lt;&gt;""),Q$4&amp;"; ","")&amp;IF(AND(R71="✓",R$4&lt;&gt;""),R$4&amp;"; ","")&amp;IF(AND(S71="✓",S$4&lt;&gt;""),S$4&amp;"; ","")&amp;IF(AND(T71="✓",T$4&lt;&gt;""),T$4&amp;"; ","")&amp;IF(AND(U71="✓",U$4&lt;&gt;""),U$4&amp;"; ","")&amp;IF(AND(V71="✓",V$4&lt;&gt;""),V$4&amp;"; ","")&amp;IF(AND(W71="✓",W$4&lt;&gt;""),W$4&amp;"; ","")&amp;IF(AND(X71="✓",X$4&lt;&gt;""),X$4&amp;"; ","")&amp;IF(AND(Y71="✓",Y$4&lt;&gt;""),Y$4&amp;"; ","")&amp;IF(AND(Z71="✓",Z$4&lt;&gt;""),Z$4&amp;"; ","")&amp;IF(AND(AA71="✓",AA$4&lt;&gt;""),AA$4&amp;"; ","")&amp;IF(AND(AB71="✓",AB$4&lt;&gt;""),AB$4&amp;"; ","")&amp;IF(AND(AC71="✓",AC$4&lt;&gt;""),AC$4&amp;"; ","")&amp;IF(AND(AD71="✓",AD$4&lt;&gt;""),AD$4&amp;"; ","")&amp;IF(AND(AE71="✓",AE$4&lt;&gt;""),AE$4&amp;"; ","")&amp;IF(AND(AF71="✓",AF$4&lt;&gt;""),AF$4&amp;"; ","")&amp;IF(AND(AG71="✓",AG$4&lt;&gt;""),AG$4&amp;"; ","")&amp;IF(AND(AH71="✓",AH$4&lt;&gt;""),AH$4&amp;"; ","")&amp;IF(AND(AI71="✓",AI$4&lt;&gt;""),AI$4&amp;"; ","")&amp;IF(AND(AJ71="✓",AJ$4&lt;&gt;""),AJ$4&amp;"; ","")&amp;IF(AND(AK71="✓",AK$4&lt;&gt;""),AK$4&amp;"; ","")&amp;IF(AND(AL71="✓",AL$4&lt;&gt;""),AL$4&amp;"; ","")&amp;IF(AND(AM71="✓",AM$4&lt;&gt;""),AM$4&amp;"; ","")&amp;IF(AND(AN71="✓",AN$4&lt;&gt;""),AN$4&amp;"; ","")&amp;IF(AND(AO71="✓",AO$4&lt;&gt;""),AO$4&amp;"; ","")&amp;IF(AND(AP71="✓",AP$4&lt;&gt;""),AP$4&amp;"; ","")&amp;IF(AND(AQ71="✓",AQ$4&lt;&gt;""),AQ$4&amp;"; ","")&amp;IF(AND(AR71="✓",AR$4&lt;&gt;""),AR$4&amp;"; ","")&amp;IF(AND(AS71="✓",AS$4&lt;&gt;""),AS$4&amp;"; ","")&amp;IF(AND(AT71="✓",AT$4&lt;&gt;""),AT$4&amp;"; ","")&amp;IF(AND(AU71="✓",AU$4&lt;&gt;""),AU$4&amp;"; ","")&amp;IF(AND(AV71="✓",AV$4&lt;&gt;""),AV$4&amp;"; ","")&amp;IF(AND(AW71="✓",AW$4&lt;&gt;""),AW$4&amp;"; ","")&amp;IF(AND(AX71="✓",AX$4&lt;&gt;""),AX$4&amp;"; ","")&amp;IF(AND(AY71="✓",AY$4&lt;&gt;""),AY$4&amp;"; ","")&amp;IF(AND(AZ71="✓",AZ$4&lt;&gt;""),AZ$4&amp;"; ","")&amp;IF(AND(BA71="✓",BA$4&lt;&gt;""),BA$4&amp;"; ","")&amp;IF(AND(BB71="✓",BB$4&lt;&gt;""),BB$4&amp;"; ","")&amp;IF(AND(BC71="✓",BC$4&lt;&gt;""),BC$4&amp;"; ","")&amp;IF(AND(BD71="✓",BD$4&lt;&gt;""),BD$4&amp;"; ","")&amp;IF(AND(BE71="✓",BE$4&lt;&gt;""),BE$4&amp;"; ","")&amp;IF(AND(BF71="✓",BF$4&lt;&gt;""),BF$4&amp;"; ","")&amp;IF(AND(BG71="✓",BG$4&lt;&gt;""),BG$4&amp;"; ","")&amp;IF(AND(BH71="✓",BH$4&lt;&gt;""),BH$4&amp;"; ","")&amp;IF(AND(BI71="✓",BI$4&lt;&gt;""),BI$4&amp;"; ","")&amp;IF(AND(BJ71="✓",BJ$4&lt;&gt;""),BJ$4&amp;"; ","")&amp;IF(AND(BK71="✓",BK$4&lt;&gt;""),BK$4&amp;"; ","")&amp;IF(AND(BL71="✓",BL$4&lt;&gt;""),BL$4&amp;"; ","")&amp;IF(AND(BM71="✓",BM$4&lt;&gt;""),BM$4&amp;"; ","")&amp;IF(AND(BN71="✓",BN$4&lt;&gt;""),BN$4&amp;"; ","")&amp;IF(AND(BO71="✓",BO$4&lt;&gt;""),BO$4&amp;"; ","")&amp;IF(AND(BP71="✓",BP$4&lt;&gt;""),BP$4&amp;"; ","")&amp;IF(AND(BQ71="✓",BQ$4&lt;&gt;""),BQ$4&amp;"; ","")&amp;IF(AND(BR71="✓",BR$4&lt;&gt;""),BR$4&amp;"; ","")&amp;IF(AND(BS71="✓",BS$4&lt;&gt;""),BS$4&amp;"; ","")&amp;IF(AND(BT71="✓",BT$4&lt;&gt;""),BT$4&amp;"; ","")&amp;IF(AND(BU71="✓",BU$4&lt;&gt;""),BU$4&amp;"; ","")&amp;IF(AND(BV71="✓",BV$4&lt;&gt;""),BV$4&amp;"; ","")&amp;IF(AND(BW71="✓",BW$4&lt;&gt;""),BW$4&amp;"; ","")&amp;IF(AND(BX71="✓",BX$4&lt;&gt;""),BX$4&amp;"; ","")&amp;IF(AND(BY71="✓",BY$4&lt;&gt;""),BY$4&amp;"; ","")&amp;IF(AND(BZ71="✓",BZ$4&lt;&gt;""),BZ$4&amp;"; ","")&amp;IF(AND(CA71="✓",CA$4&lt;&gt;""),CA$4&amp;"; ","")&amp;IF(AND(CB71="✓",CB$4&lt;&gt;""),CB$4&amp;"; ","")&amp;IF(AND(CC71="✓",CC$4&lt;&gt;""),CC$4&amp;"; ","")&amp;IF(AND(CD71="✓",CD$4&lt;&gt;""),CD$4&amp;"; ","")&amp;IF(AND(CE71="✓",CE$4&lt;&gt;""),CE$4&amp;"; ","")&amp;IF(AND(CF71="✓",CF$4&lt;&gt;""),CF$4&amp;"; ","")&amp;IF(AND(CG71="✓",CG$4&lt;&gt;""),CG$4&amp;"; ","")&amp;IF(AND(CH71="✓",CH$4&lt;&gt;""),CH$4&amp;"; ","")&amp;IF(AND(CI71="✓",CI$4&lt;&gt;""),CI$4&amp;"; ","")&amp;IF(AND(CJ71="✓",CJ$4&lt;&gt;""),CJ$4&amp;"; ","")&amp;IF(AND(CK71="✓",CK$4&lt;&gt;""),CK$4&amp;"; ","")&amp;IF(AND(CL71="✓",CL$4&lt;&gt;""),CL$4&amp;"; ","")&amp;IF(AND(CM71="✓",CM$4&lt;&gt;""),CM$4&amp;"; ","")&amp;IF(AND(CN71="✓",CN$4&lt;&gt;""),CN$4&amp;"; ","")&amp;IF(AND(CO71="✓",CO$4&lt;&gt;""),CO$4&amp;"; ","")</f>
        <v/>
      </c>
      <c r="CQ71" s="104" t="str">
        <f aca="false">IF($CP71="","",LEFT($CP71,LEN($CP71)-2))</f>
        <v/>
      </c>
      <c r="CR71" s="234" t="str">
        <f aca="false">IF($A71="","",COUNTIF($D71:$CO71,"✓"))</f>
        <v/>
      </c>
    </row>
    <row r="72" customFormat="false" ht="21.75" hidden="false" customHeight="true" outlineLevel="0" collapsed="false">
      <c r="A72" s="231" t="str">
        <f aca="false">IF(03_能力總表_Master!$A72="","",03_能力總表_Master!$A72)</f>
        <v/>
      </c>
      <c r="B72" s="166" t="str">
        <f aca="false">IF(03_能力總表_Master!$A72="","",03_能力總表_Master!$B72)</f>
        <v/>
      </c>
      <c r="C72" s="95" t="str">
        <f aca="false">IF(03_能力總表_Master!$A72="","",03_能力總表_Master!$E72)</f>
        <v/>
      </c>
      <c r="D72" s="232"/>
      <c r="E72" s="232"/>
      <c r="F72" s="232"/>
      <c r="G72" s="232"/>
      <c r="H72" s="232"/>
      <c r="I72" s="232"/>
      <c r="J72" s="232"/>
      <c r="K72" s="232"/>
      <c r="L72" s="232"/>
      <c r="M72" s="232"/>
      <c r="N72" s="232"/>
      <c r="O72" s="232"/>
      <c r="P72" s="232"/>
      <c r="Q72" s="232"/>
      <c r="R72" s="232"/>
      <c r="S72" s="232"/>
      <c r="T72" s="232"/>
      <c r="U72" s="232"/>
      <c r="V72" s="232"/>
      <c r="W72" s="232"/>
      <c r="X72" s="232"/>
      <c r="Y72" s="232"/>
      <c r="Z72" s="232"/>
      <c r="AA72" s="232"/>
      <c r="AB72" s="232"/>
      <c r="AC72" s="232"/>
      <c r="AD72" s="232"/>
      <c r="AE72" s="232"/>
      <c r="AF72" s="232"/>
      <c r="AG72" s="232"/>
      <c r="AH72" s="232"/>
      <c r="AI72" s="232"/>
      <c r="AJ72" s="232"/>
      <c r="AK72" s="232"/>
      <c r="AL72" s="232"/>
      <c r="AM72" s="232"/>
      <c r="AN72" s="232"/>
      <c r="AO72" s="232"/>
      <c r="AP72" s="232"/>
      <c r="AQ72" s="232"/>
      <c r="AR72" s="232"/>
      <c r="AS72" s="232"/>
      <c r="AT72" s="232"/>
      <c r="AU72" s="232"/>
      <c r="AV72" s="232"/>
      <c r="AW72" s="232"/>
      <c r="AX72" s="232"/>
      <c r="AY72" s="232"/>
      <c r="AZ72" s="232"/>
      <c r="BA72" s="232"/>
      <c r="BB72" s="232"/>
      <c r="BC72" s="232"/>
      <c r="BD72" s="232"/>
      <c r="BE72" s="232"/>
      <c r="BF72" s="232"/>
      <c r="BG72" s="232"/>
      <c r="BH72" s="232"/>
      <c r="BI72" s="232"/>
      <c r="BJ72" s="232"/>
      <c r="BK72" s="232"/>
      <c r="BL72" s="232"/>
      <c r="BM72" s="232"/>
      <c r="BN72" s="232"/>
      <c r="BO72" s="232"/>
      <c r="BP72" s="232"/>
      <c r="BQ72" s="232"/>
      <c r="BR72" s="232"/>
      <c r="BS72" s="232"/>
      <c r="BT72" s="232"/>
      <c r="BU72" s="232"/>
      <c r="BV72" s="232"/>
      <c r="BW72" s="232"/>
      <c r="BX72" s="232"/>
      <c r="BY72" s="232"/>
      <c r="BZ72" s="232"/>
      <c r="CA72" s="232"/>
      <c r="CB72" s="232"/>
      <c r="CC72" s="232"/>
      <c r="CD72" s="232"/>
      <c r="CE72" s="232"/>
      <c r="CF72" s="232"/>
      <c r="CG72" s="232"/>
      <c r="CH72" s="232"/>
      <c r="CI72" s="232"/>
      <c r="CJ72" s="232"/>
      <c r="CK72" s="232"/>
      <c r="CL72" s="232"/>
      <c r="CM72" s="232"/>
      <c r="CN72" s="232"/>
      <c r="CO72" s="232"/>
      <c r="CP72" s="233" t="str">
        <f aca="false">IF(AND(D72="✓",D$4&lt;&gt;""),D$4&amp;"; ","")&amp;IF(AND(E72="✓",E$4&lt;&gt;""),E$4&amp;"; ","")&amp;IF(AND(F72="✓",F$4&lt;&gt;""),F$4&amp;"; ","")&amp;IF(AND(G72="✓",G$4&lt;&gt;""),G$4&amp;"; ","")&amp;IF(AND(H72="✓",H$4&lt;&gt;""),H$4&amp;"; ","")&amp;IF(AND(I72="✓",I$4&lt;&gt;""),I$4&amp;"; ","")&amp;IF(AND(J72="✓",J$4&lt;&gt;""),J$4&amp;"; ","")&amp;IF(AND(K72="✓",K$4&lt;&gt;""),K$4&amp;"; ","")&amp;IF(AND(L72="✓",L$4&lt;&gt;""),L$4&amp;"; ","")&amp;IF(AND(M72="✓",M$4&lt;&gt;""),M$4&amp;"; ","")&amp;IF(AND(N72="✓",N$4&lt;&gt;""),N$4&amp;"; ","")&amp;IF(AND(O72="✓",O$4&lt;&gt;""),O$4&amp;"; ","")&amp;IF(AND(P72="✓",P$4&lt;&gt;""),P$4&amp;"; ","")&amp;IF(AND(Q72="✓",Q$4&lt;&gt;""),Q$4&amp;"; ","")&amp;IF(AND(R72="✓",R$4&lt;&gt;""),R$4&amp;"; ","")&amp;IF(AND(S72="✓",S$4&lt;&gt;""),S$4&amp;"; ","")&amp;IF(AND(T72="✓",T$4&lt;&gt;""),T$4&amp;"; ","")&amp;IF(AND(U72="✓",U$4&lt;&gt;""),U$4&amp;"; ","")&amp;IF(AND(V72="✓",V$4&lt;&gt;""),V$4&amp;"; ","")&amp;IF(AND(W72="✓",W$4&lt;&gt;""),W$4&amp;"; ","")&amp;IF(AND(X72="✓",X$4&lt;&gt;""),X$4&amp;"; ","")&amp;IF(AND(Y72="✓",Y$4&lt;&gt;""),Y$4&amp;"; ","")&amp;IF(AND(Z72="✓",Z$4&lt;&gt;""),Z$4&amp;"; ","")&amp;IF(AND(AA72="✓",AA$4&lt;&gt;""),AA$4&amp;"; ","")&amp;IF(AND(AB72="✓",AB$4&lt;&gt;""),AB$4&amp;"; ","")&amp;IF(AND(AC72="✓",AC$4&lt;&gt;""),AC$4&amp;"; ","")&amp;IF(AND(AD72="✓",AD$4&lt;&gt;""),AD$4&amp;"; ","")&amp;IF(AND(AE72="✓",AE$4&lt;&gt;""),AE$4&amp;"; ","")&amp;IF(AND(AF72="✓",AF$4&lt;&gt;""),AF$4&amp;"; ","")&amp;IF(AND(AG72="✓",AG$4&lt;&gt;""),AG$4&amp;"; ","")&amp;IF(AND(AH72="✓",AH$4&lt;&gt;""),AH$4&amp;"; ","")&amp;IF(AND(AI72="✓",AI$4&lt;&gt;""),AI$4&amp;"; ","")&amp;IF(AND(AJ72="✓",AJ$4&lt;&gt;""),AJ$4&amp;"; ","")&amp;IF(AND(AK72="✓",AK$4&lt;&gt;""),AK$4&amp;"; ","")&amp;IF(AND(AL72="✓",AL$4&lt;&gt;""),AL$4&amp;"; ","")&amp;IF(AND(AM72="✓",AM$4&lt;&gt;""),AM$4&amp;"; ","")&amp;IF(AND(AN72="✓",AN$4&lt;&gt;""),AN$4&amp;"; ","")&amp;IF(AND(AO72="✓",AO$4&lt;&gt;""),AO$4&amp;"; ","")&amp;IF(AND(AP72="✓",AP$4&lt;&gt;""),AP$4&amp;"; ","")&amp;IF(AND(AQ72="✓",AQ$4&lt;&gt;""),AQ$4&amp;"; ","")&amp;IF(AND(AR72="✓",AR$4&lt;&gt;""),AR$4&amp;"; ","")&amp;IF(AND(AS72="✓",AS$4&lt;&gt;""),AS$4&amp;"; ","")&amp;IF(AND(AT72="✓",AT$4&lt;&gt;""),AT$4&amp;"; ","")&amp;IF(AND(AU72="✓",AU$4&lt;&gt;""),AU$4&amp;"; ","")&amp;IF(AND(AV72="✓",AV$4&lt;&gt;""),AV$4&amp;"; ","")&amp;IF(AND(AW72="✓",AW$4&lt;&gt;""),AW$4&amp;"; ","")&amp;IF(AND(AX72="✓",AX$4&lt;&gt;""),AX$4&amp;"; ","")&amp;IF(AND(AY72="✓",AY$4&lt;&gt;""),AY$4&amp;"; ","")&amp;IF(AND(AZ72="✓",AZ$4&lt;&gt;""),AZ$4&amp;"; ","")&amp;IF(AND(BA72="✓",BA$4&lt;&gt;""),BA$4&amp;"; ","")&amp;IF(AND(BB72="✓",BB$4&lt;&gt;""),BB$4&amp;"; ","")&amp;IF(AND(BC72="✓",BC$4&lt;&gt;""),BC$4&amp;"; ","")&amp;IF(AND(BD72="✓",BD$4&lt;&gt;""),BD$4&amp;"; ","")&amp;IF(AND(BE72="✓",BE$4&lt;&gt;""),BE$4&amp;"; ","")&amp;IF(AND(BF72="✓",BF$4&lt;&gt;""),BF$4&amp;"; ","")&amp;IF(AND(BG72="✓",BG$4&lt;&gt;""),BG$4&amp;"; ","")&amp;IF(AND(BH72="✓",BH$4&lt;&gt;""),BH$4&amp;"; ","")&amp;IF(AND(BI72="✓",BI$4&lt;&gt;""),BI$4&amp;"; ","")&amp;IF(AND(BJ72="✓",BJ$4&lt;&gt;""),BJ$4&amp;"; ","")&amp;IF(AND(BK72="✓",BK$4&lt;&gt;""),BK$4&amp;"; ","")&amp;IF(AND(BL72="✓",BL$4&lt;&gt;""),BL$4&amp;"; ","")&amp;IF(AND(BM72="✓",BM$4&lt;&gt;""),BM$4&amp;"; ","")&amp;IF(AND(BN72="✓",BN$4&lt;&gt;""),BN$4&amp;"; ","")&amp;IF(AND(BO72="✓",BO$4&lt;&gt;""),BO$4&amp;"; ","")&amp;IF(AND(BP72="✓",BP$4&lt;&gt;""),BP$4&amp;"; ","")&amp;IF(AND(BQ72="✓",BQ$4&lt;&gt;""),BQ$4&amp;"; ","")&amp;IF(AND(BR72="✓",BR$4&lt;&gt;""),BR$4&amp;"; ","")&amp;IF(AND(BS72="✓",BS$4&lt;&gt;""),BS$4&amp;"; ","")&amp;IF(AND(BT72="✓",BT$4&lt;&gt;""),BT$4&amp;"; ","")&amp;IF(AND(BU72="✓",BU$4&lt;&gt;""),BU$4&amp;"; ","")&amp;IF(AND(BV72="✓",BV$4&lt;&gt;""),BV$4&amp;"; ","")&amp;IF(AND(BW72="✓",BW$4&lt;&gt;""),BW$4&amp;"; ","")&amp;IF(AND(BX72="✓",BX$4&lt;&gt;""),BX$4&amp;"; ","")&amp;IF(AND(BY72="✓",BY$4&lt;&gt;""),BY$4&amp;"; ","")&amp;IF(AND(BZ72="✓",BZ$4&lt;&gt;""),BZ$4&amp;"; ","")&amp;IF(AND(CA72="✓",CA$4&lt;&gt;""),CA$4&amp;"; ","")&amp;IF(AND(CB72="✓",CB$4&lt;&gt;""),CB$4&amp;"; ","")&amp;IF(AND(CC72="✓",CC$4&lt;&gt;""),CC$4&amp;"; ","")&amp;IF(AND(CD72="✓",CD$4&lt;&gt;""),CD$4&amp;"; ","")&amp;IF(AND(CE72="✓",CE$4&lt;&gt;""),CE$4&amp;"; ","")&amp;IF(AND(CF72="✓",CF$4&lt;&gt;""),CF$4&amp;"; ","")&amp;IF(AND(CG72="✓",CG$4&lt;&gt;""),CG$4&amp;"; ","")&amp;IF(AND(CH72="✓",CH$4&lt;&gt;""),CH$4&amp;"; ","")&amp;IF(AND(CI72="✓",CI$4&lt;&gt;""),CI$4&amp;"; ","")&amp;IF(AND(CJ72="✓",CJ$4&lt;&gt;""),CJ$4&amp;"; ","")&amp;IF(AND(CK72="✓",CK$4&lt;&gt;""),CK$4&amp;"; ","")&amp;IF(AND(CL72="✓",CL$4&lt;&gt;""),CL$4&amp;"; ","")&amp;IF(AND(CM72="✓",CM$4&lt;&gt;""),CM$4&amp;"; ","")&amp;IF(AND(CN72="✓",CN$4&lt;&gt;""),CN$4&amp;"; ","")&amp;IF(AND(CO72="✓",CO$4&lt;&gt;""),CO$4&amp;"; ","")</f>
        <v/>
      </c>
      <c r="CQ72" s="104" t="str">
        <f aca="false">IF($CP72="","",LEFT($CP72,LEN($CP72)-2))</f>
        <v/>
      </c>
      <c r="CR72" s="234" t="str">
        <f aca="false">IF($A72="","",COUNTIF($D72:$CO72,"✓"))</f>
        <v/>
      </c>
    </row>
    <row r="73" customFormat="false" ht="21.75" hidden="false" customHeight="true" outlineLevel="0" collapsed="false">
      <c r="A73" s="231" t="str">
        <f aca="false">IF(03_能力總表_Master!$A73="","",03_能力總表_Master!$A73)</f>
        <v/>
      </c>
      <c r="B73" s="166" t="str">
        <f aca="false">IF(03_能力總表_Master!$A73="","",03_能力總表_Master!$B73)</f>
        <v/>
      </c>
      <c r="C73" s="95" t="str">
        <f aca="false">IF(03_能力總表_Master!$A73="","",03_能力總表_Master!$E73)</f>
        <v/>
      </c>
      <c r="D73" s="232"/>
      <c r="E73" s="232"/>
      <c r="F73" s="232"/>
      <c r="G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2"/>
      <c r="AA73" s="232"/>
      <c r="AB73" s="232"/>
      <c r="AC73" s="232"/>
      <c r="AD73" s="232"/>
      <c r="AE73" s="232"/>
      <c r="AF73" s="232"/>
      <c r="AG73" s="232"/>
      <c r="AH73" s="232"/>
      <c r="AI73" s="232"/>
      <c r="AJ73" s="232"/>
      <c r="AK73" s="232"/>
      <c r="AL73" s="232"/>
      <c r="AM73" s="232"/>
      <c r="AN73" s="232"/>
      <c r="AO73" s="232"/>
      <c r="AP73" s="232"/>
      <c r="AQ73" s="232"/>
      <c r="AR73" s="232"/>
      <c r="AS73" s="232"/>
      <c r="AT73" s="232"/>
      <c r="AU73" s="232"/>
      <c r="AV73" s="232"/>
      <c r="AW73" s="232"/>
      <c r="AX73" s="232"/>
      <c r="AY73" s="232"/>
      <c r="AZ73" s="232"/>
      <c r="BA73" s="232"/>
      <c r="BB73" s="232"/>
      <c r="BC73" s="232"/>
      <c r="BD73" s="232"/>
      <c r="BE73" s="232"/>
      <c r="BF73" s="232"/>
      <c r="BG73" s="232"/>
      <c r="BH73" s="232"/>
      <c r="BI73" s="232"/>
      <c r="BJ73" s="232"/>
      <c r="BK73" s="232"/>
      <c r="BL73" s="232"/>
      <c r="BM73" s="232"/>
      <c r="BN73" s="232"/>
      <c r="BO73" s="232"/>
      <c r="BP73" s="232"/>
      <c r="BQ73" s="232"/>
      <c r="BR73" s="232"/>
      <c r="BS73" s="232"/>
      <c r="BT73" s="232"/>
      <c r="BU73" s="232"/>
      <c r="BV73" s="232"/>
      <c r="BW73" s="232"/>
      <c r="BX73" s="232"/>
      <c r="BY73" s="232"/>
      <c r="BZ73" s="232"/>
      <c r="CA73" s="232"/>
      <c r="CB73" s="232"/>
      <c r="CC73" s="232"/>
      <c r="CD73" s="232"/>
      <c r="CE73" s="232"/>
      <c r="CF73" s="232"/>
      <c r="CG73" s="232"/>
      <c r="CH73" s="232"/>
      <c r="CI73" s="232"/>
      <c r="CJ73" s="232"/>
      <c r="CK73" s="232"/>
      <c r="CL73" s="232"/>
      <c r="CM73" s="232"/>
      <c r="CN73" s="232"/>
      <c r="CO73" s="232"/>
      <c r="CP73" s="233" t="str">
        <f aca="false">IF(AND(D73="✓",D$4&lt;&gt;""),D$4&amp;"; ","")&amp;IF(AND(E73="✓",E$4&lt;&gt;""),E$4&amp;"; ","")&amp;IF(AND(F73="✓",F$4&lt;&gt;""),F$4&amp;"; ","")&amp;IF(AND(G73="✓",G$4&lt;&gt;""),G$4&amp;"; ","")&amp;IF(AND(H73="✓",H$4&lt;&gt;""),H$4&amp;"; ","")&amp;IF(AND(I73="✓",I$4&lt;&gt;""),I$4&amp;"; ","")&amp;IF(AND(J73="✓",J$4&lt;&gt;""),J$4&amp;"; ","")&amp;IF(AND(K73="✓",K$4&lt;&gt;""),K$4&amp;"; ","")&amp;IF(AND(L73="✓",L$4&lt;&gt;""),L$4&amp;"; ","")&amp;IF(AND(M73="✓",M$4&lt;&gt;""),M$4&amp;"; ","")&amp;IF(AND(N73="✓",N$4&lt;&gt;""),N$4&amp;"; ","")&amp;IF(AND(O73="✓",O$4&lt;&gt;""),O$4&amp;"; ","")&amp;IF(AND(P73="✓",P$4&lt;&gt;""),P$4&amp;"; ","")&amp;IF(AND(Q73="✓",Q$4&lt;&gt;""),Q$4&amp;"; ","")&amp;IF(AND(R73="✓",R$4&lt;&gt;""),R$4&amp;"; ","")&amp;IF(AND(S73="✓",S$4&lt;&gt;""),S$4&amp;"; ","")&amp;IF(AND(T73="✓",T$4&lt;&gt;""),T$4&amp;"; ","")&amp;IF(AND(U73="✓",U$4&lt;&gt;""),U$4&amp;"; ","")&amp;IF(AND(V73="✓",V$4&lt;&gt;""),V$4&amp;"; ","")&amp;IF(AND(W73="✓",W$4&lt;&gt;""),W$4&amp;"; ","")&amp;IF(AND(X73="✓",X$4&lt;&gt;""),X$4&amp;"; ","")&amp;IF(AND(Y73="✓",Y$4&lt;&gt;""),Y$4&amp;"; ","")&amp;IF(AND(Z73="✓",Z$4&lt;&gt;""),Z$4&amp;"; ","")&amp;IF(AND(AA73="✓",AA$4&lt;&gt;""),AA$4&amp;"; ","")&amp;IF(AND(AB73="✓",AB$4&lt;&gt;""),AB$4&amp;"; ","")&amp;IF(AND(AC73="✓",AC$4&lt;&gt;""),AC$4&amp;"; ","")&amp;IF(AND(AD73="✓",AD$4&lt;&gt;""),AD$4&amp;"; ","")&amp;IF(AND(AE73="✓",AE$4&lt;&gt;""),AE$4&amp;"; ","")&amp;IF(AND(AF73="✓",AF$4&lt;&gt;""),AF$4&amp;"; ","")&amp;IF(AND(AG73="✓",AG$4&lt;&gt;""),AG$4&amp;"; ","")&amp;IF(AND(AH73="✓",AH$4&lt;&gt;""),AH$4&amp;"; ","")&amp;IF(AND(AI73="✓",AI$4&lt;&gt;""),AI$4&amp;"; ","")&amp;IF(AND(AJ73="✓",AJ$4&lt;&gt;""),AJ$4&amp;"; ","")&amp;IF(AND(AK73="✓",AK$4&lt;&gt;""),AK$4&amp;"; ","")&amp;IF(AND(AL73="✓",AL$4&lt;&gt;""),AL$4&amp;"; ","")&amp;IF(AND(AM73="✓",AM$4&lt;&gt;""),AM$4&amp;"; ","")&amp;IF(AND(AN73="✓",AN$4&lt;&gt;""),AN$4&amp;"; ","")&amp;IF(AND(AO73="✓",AO$4&lt;&gt;""),AO$4&amp;"; ","")&amp;IF(AND(AP73="✓",AP$4&lt;&gt;""),AP$4&amp;"; ","")&amp;IF(AND(AQ73="✓",AQ$4&lt;&gt;""),AQ$4&amp;"; ","")&amp;IF(AND(AR73="✓",AR$4&lt;&gt;""),AR$4&amp;"; ","")&amp;IF(AND(AS73="✓",AS$4&lt;&gt;""),AS$4&amp;"; ","")&amp;IF(AND(AT73="✓",AT$4&lt;&gt;""),AT$4&amp;"; ","")&amp;IF(AND(AU73="✓",AU$4&lt;&gt;""),AU$4&amp;"; ","")&amp;IF(AND(AV73="✓",AV$4&lt;&gt;""),AV$4&amp;"; ","")&amp;IF(AND(AW73="✓",AW$4&lt;&gt;""),AW$4&amp;"; ","")&amp;IF(AND(AX73="✓",AX$4&lt;&gt;""),AX$4&amp;"; ","")&amp;IF(AND(AY73="✓",AY$4&lt;&gt;""),AY$4&amp;"; ","")&amp;IF(AND(AZ73="✓",AZ$4&lt;&gt;""),AZ$4&amp;"; ","")&amp;IF(AND(BA73="✓",BA$4&lt;&gt;""),BA$4&amp;"; ","")&amp;IF(AND(BB73="✓",BB$4&lt;&gt;""),BB$4&amp;"; ","")&amp;IF(AND(BC73="✓",BC$4&lt;&gt;""),BC$4&amp;"; ","")&amp;IF(AND(BD73="✓",BD$4&lt;&gt;""),BD$4&amp;"; ","")&amp;IF(AND(BE73="✓",BE$4&lt;&gt;""),BE$4&amp;"; ","")&amp;IF(AND(BF73="✓",BF$4&lt;&gt;""),BF$4&amp;"; ","")&amp;IF(AND(BG73="✓",BG$4&lt;&gt;""),BG$4&amp;"; ","")&amp;IF(AND(BH73="✓",BH$4&lt;&gt;""),BH$4&amp;"; ","")&amp;IF(AND(BI73="✓",BI$4&lt;&gt;""),BI$4&amp;"; ","")&amp;IF(AND(BJ73="✓",BJ$4&lt;&gt;""),BJ$4&amp;"; ","")&amp;IF(AND(BK73="✓",BK$4&lt;&gt;""),BK$4&amp;"; ","")&amp;IF(AND(BL73="✓",BL$4&lt;&gt;""),BL$4&amp;"; ","")&amp;IF(AND(BM73="✓",BM$4&lt;&gt;""),BM$4&amp;"; ","")&amp;IF(AND(BN73="✓",BN$4&lt;&gt;""),BN$4&amp;"; ","")&amp;IF(AND(BO73="✓",BO$4&lt;&gt;""),BO$4&amp;"; ","")&amp;IF(AND(BP73="✓",BP$4&lt;&gt;""),BP$4&amp;"; ","")&amp;IF(AND(BQ73="✓",BQ$4&lt;&gt;""),BQ$4&amp;"; ","")&amp;IF(AND(BR73="✓",BR$4&lt;&gt;""),BR$4&amp;"; ","")&amp;IF(AND(BS73="✓",BS$4&lt;&gt;""),BS$4&amp;"; ","")&amp;IF(AND(BT73="✓",BT$4&lt;&gt;""),BT$4&amp;"; ","")&amp;IF(AND(BU73="✓",BU$4&lt;&gt;""),BU$4&amp;"; ","")&amp;IF(AND(BV73="✓",BV$4&lt;&gt;""),BV$4&amp;"; ","")&amp;IF(AND(BW73="✓",BW$4&lt;&gt;""),BW$4&amp;"; ","")&amp;IF(AND(BX73="✓",BX$4&lt;&gt;""),BX$4&amp;"; ","")&amp;IF(AND(BY73="✓",BY$4&lt;&gt;""),BY$4&amp;"; ","")&amp;IF(AND(BZ73="✓",BZ$4&lt;&gt;""),BZ$4&amp;"; ","")&amp;IF(AND(CA73="✓",CA$4&lt;&gt;""),CA$4&amp;"; ","")&amp;IF(AND(CB73="✓",CB$4&lt;&gt;""),CB$4&amp;"; ","")&amp;IF(AND(CC73="✓",CC$4&lt;&gt;""),CC$4&amp;"; ","")&amp;IF(AND(CD73="✓",CD$4&lt;&gt;""),CD$4&amp;"; ","")&amp;IF(AND(CE73="✓",CE$4&lt;&gt;""),CE$4&amp;"; ","")&amp;IF(AND(CF73="✓",CF$4&lt;&gt;""),CF$4&amp;"; ","")&amp;IF(AND(CG73="✓",CG$4&lt;&gt;""),CG$4&amp;"; ","")&amp;IF(AND(CH73="✓",CH$4&lt;&gt;""),CH$4&amp;"; ","")&amp;IF(AND(CI73="✓",CI$4&lt;&gt;""),CI$4&amp;"; ","")&amp;IF(AND(CJ73="✓",CJ$4&lt;&gt;""),CJ$4&amp;"; ","")&amp;IF(AND(CK73="✓",CK$4&lt;&gt;""),CK$4&amp;"; ","")&amp;IF(AND(CL73="✓",CL$4&lt;&gt;""),CL$4&amp;"; ","")&amp;IF(AND(CM73="✓",CM$4&lt;&gt;""),CM$4&amp;"; ","")&amp;IF(AND(CN73="✓",CN$4&lt;&gt;""),CN$4&amp;"; ","")&amp;IF(AND(CO73="✓",CO$4&lt;&gt;""),CO$4&amp;"; ","")</f>
        <v/>
      </c>
      <c r="CQ73" s="104" t="str">
        <f aca="false">IF($CP73="","",LEFT($CP73,LEN($CP73)-2))</f>
        <v/>
      </c>
      <c r="CR73" s="234" t="str">
        <f aca="false">IF($A73="","",COUNTIF($D73:$CO73,"✓"))</f>
        <v/>
      </c>
    </row>
    <row r="74" customFormat="false" ht="21.75" hidden="false" customHeight="true" outlineLevel="0" collapsed="false">
      <c r="A74" s="231" t="str">
        <f aca="false">IF(03_能力總表_Master!$A74="","",03_能力總表_Master!$A74)</f>
        <v/>
      </c>
      <c r="B74" s="166" t="str">
        <f aca="false">IF(03_能力總表_Master!$A74="","",03_能力總表_Master!$B74)</f>
        <v/>
      </c>
      <c r="C74" s="95" t="str">
        <f aca="false">IF(03_能力總表_Master!$A74="","",03_能力總表_Master!$E74)</f>
        <v/>
      </c>
      <c r="D74" s="232"/>
      <c r="E74" s="232"/>
      <c r="F74" s="232"/>
      <c r="G74" s="232"/>
      <c r="H74" s="232"/>
      <c r="I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  <c r="AA74" s="232"/>
      <c r="AB74" s="232"/>
      <c r="AC74" s="232"/>
      <c r="AD74" s="232"/>
      <c r="AE74" s="232"/>
      <c r="AF74" s="232"/>
      <c r="AG74" s="232"/>
      <c r="AH74" s="232"/>
      <c r="AI74" s="232"/>
      <c r="AJ74" s="232"/>
      <c r="AK74" s="232"/>
      <c r="AL74" s="232"/>
      <c r="AM74" s="232"/>
      <c r="AN74" s="232"/>
      <c r="AO74" s="232"/>
      <c r="AP74" s="232"/>
      <c r="AQ74" s="232"/>
      <c r="AR74" s="232"/>
      <c r="AS74" s="232"/>
      <c r="AT74" s="232"/>
      <c r="AU74" s="232"/>
      <c r="AV74" s="232"/>
      <c r="AW74" s="232"/>
      <c r="AX74" s="232"/>
      <c r="AY74" s="232"/>
      <c r="AZ74" s="232"/>
      <c r="BA74" s="232"/>
      <c r="BB74" s="232"/>
      <c r="BC74" s="232"/>
      <c r="BD74" s="232"/>
      <c r="BE74" s="232"/>
      <c r="BF74" s="232"/>
      <c r="BG74" s="232"/>
      <c r="BH74" s="232"/>
      <c r="BI74" s="232"/>
      <c r="BJ74" s="232"/>
      <c r="BK74" s="232"/>
      <c r="BL74" s="232"/>
      <c r="BM74" s="232"/>
      <c r="BN74" s="232"/>
      <c r="BO74" s="232"/>
      <c r="BP74" s="232"/>
      <c r="BQ74" s="232"/>
      <c r="BR74" s="232"/>
      <c r="BS74" s="232"/>
      <c r="BT74" s="232"/>
      <c r="BU74" s="232"/>
      <c r="BV74" s="232"/>
      <c r="BW74" s="232"/>
      <c r="BX74" s="232"/>
      <c r="BY74" s="232"/>
      <c r="BZ74" s="232"/>
      <c r="CA74" s="232"/>
      <c r="CB74" s="232"/>
      <c r="CC74" s="232"/>
      <c r="CD74" s="232"/>
      <c r="CE74" s="232"/>
      <c r="CF74" s="232"/>
      <c r="CG74" s="232"/>
      <c r="CH74" s="232"/>
      <c r="CI74" s="232"/>
      <c r="CJ74" s="232"/>
      <c r="CK74" s="232"/>
      <c r="CL74" s="232"/>
      <c r="CM74" s="232"/>
      <c r="CN74" s="232"/>
      <c r="CO74" s="232"/>
      <c r="CP74" s="233" t="str">
        <f aca="false">IF(AND(D74="✓",D$4&lt;&gt;""),D$4&amp;"; ","")&amp;IF(AND(E74="✓",E$4&lt;&gt;""),E$4&amp;"; ","")&amp;IF(AND(F74="✓",F$4&lt;&gt;""),F$4&amp;"; ","")&amp;IF(AND(G74="✓",G$4&lt;&gt;""),G$4&amp;"; ","")&amp;IF(AND(H74="✓",H$4&lt;&gt;""),H$4&amp;"; ","")&amp;IF(AND(I74="✓",I$4&lt;&gt;""),I$4&amp;"; ","")&amp;IF(AND(J74="✓",J$4&lt;&gt;""),J$4&amp;"; ","")&amp;IF(AND(K74="✓",K$4&lt;&gt;""),K$4&amp;"; ","")&amp;IF(AND(L74="✓",L$4&lt;&gt;""),L$4&amp;"; ","")&amp;IF(AND(M74="✓",M$4&lt;&gt;""),M$4&amp;"; ","")&amp;IF(AND(N74="✓",N$4&lt;&gt;""),N$4&amp;"; ","")&amp;IF(AND(O74="✓",O$4&lt;&gt;""),O$4&amp;"; ","")&amp;IF(AND(P74="✓",P$4&lt;&gt;""),P$4&amp;"; ","")&amp;IF(AND(Q74="✓",Q$4&lt;&gt;""),Q$4&amp;"; ","")&amp;IF(AND(R74="✓",R$4&lt;&gt;""),R$4&amp;"; ","")&amp;IF(AND(S74="✓",S$4&lt;&gt;""),S$4&amp;"; ","")&amp;IF(AND(T74="✓",T$4&lt;&gt;""),T$4&amp;"; ","")&amp;IF(AND(U74="✓",U$4&lt;&gt;""),U$4&amp;"; ","")&amp;IF(AND(V74="✓",V$4&lt;&gt;""),V$4&amp;"; ","")&amp;IF(AND(W74="✓",W$4&lt;&gt;""),W$4&amp;"; ","")&amp;IF(AND(X74="✓",X$4&lt;&gt;""),X$4&amp;"; ","")&amp;IF(AND(Y74="✓",Y$4&lt;&gt;""),Y$4&amp;"; ","")&amp;IF(AND(Z74="✓",Z$4&lt;&gt;""),Z$4&amp;"; ","")&amp;IF(AND(AA74="✓",AA$4&lt;&gt;""),AA$4&amp;"; ","")&amp;IF(AND(AB74="✓",AB$4&lt;&gt;""),AB$4&amp;"; ","")&amp;IF(AND(AC74="✓",AC$4&lt;&gt;""),AC$4&amp;"; ","")&amp;IF(AND(AD74="✓",AD$4&lt;&gt;""),AD$4&amp;"; ","")&amp;IF(AND(AE74="✓",AE$4&lt;&gt;""),AE$4&amp;"; ","")&amp;IF(AND(AF74="✓",AF$4&lt;&gt;""),AF$4&amp;"; ","")&amp;IF(AND(AG74="✓",AG$4&lt;&gt;""),AG$4&amp;"; ","")&amp;IF(AND(AH74="✓",AH$4&lt;&gt;""),AH$4&amp;"; ","")&amp;IF(AND(AI74="✓",AI$4&lt;&gt;""),AI$4&amp;"; ","")&amp;IF(AND(AJ74="✓",AJ$4&lt;&gt;""),AJ$4&amp;"; ","")&amp;IF(AND(AK74="✓",AK$4&lt;&gt;""),AK$4&amp;"; ","")&amp;IF(AND(AL74="✓",AL$4&lt;&gt;""),AL$4&amp;"; ","")&amp;IF(AND(AM74="✓",AM$4&lt;&gt;""),AM$4&amp;"; ","")&amp;IF(AND(AN74="✓",AN$4&lt;&gt;""),AN$4&amp;"; ","")&amp;IF(AND(AO74="✓",AO$4&lt;&gt;""),AO$4&amp;"; ","")&amp;IF(AND(AP74="✓",AP$4&lt;&gt;""),AP$4&amp;"; ","")&amp;IF(AND(AQ74="✓",AQ$4&lt;&gt;""),AQ$4&amp;"; ","")&amp;IF(AND(AR74="✓",AR$4&lt;&gt;""),AR$4&amp;"; ","")&amp;IF(AND(AS74="✓",AS$4&lt;&gt;""),AS$4&amp;"; ","")&amp;IF(AND(AT74="✓",AT$4&lt;&gt;""),AT$4&amp;"; ","")&amp;IF(AND(AU74="✓",AU$4&lt;&gt;""),AU$4&amp;"; ","")&amp;IF(AND(AV74="✓",AV$4&lt;&gt;""),AV$4&amp;"; ","")&amp;IF(AND(AW74="✓",AW$4&lt;&gt;""),AW$4&amp;"; ","")&amp;IF(AND(AX74="✓",AX$4&lt;&gt;""),AX$4&amp;"; ","")&amp;IF(AND(AY74="✓",AY$4&lt;&gt;""),AY$4&amp;"; ","")&amp;IF(AND(AZ74="✓",AZ$4&lt;&gt;""),AZ$4&amp;"; ","")&amp;IF(AND(BA74="✓",BA$4&lt;&gt;""),BA$4&amp;"; ","")&amp;IF(AND(BB74="✓",BB$4&lt;&gt;""),BB$4&amp;"; ","")&amp;IF(AND(BC74="✓",BC$4&lt;&gt;""),BC$4&amp;"; ","")&amp;IF(AND(BD74="✓",BD$4&lt;&gt;""),BD$4&amp;"; ","")&amp;IF(AND(BE74="✓",BE$4&lt;&gt;""),BE$4&amp;"; ","")&amp;IF(AND(BF74="✓",BF$4&lt;&gt;""),BF$4&amp;"; ","")&amp;IF(AND(BG74="✓",BG$4&lt;&gt;""),BG$4&amp;"; ","")&amp;IF(AND(BH74="✓",BH$4&lt;&gt;""),BH$4&amp;"; ","")&amp;IF(AND(BI74="✓",BI$4&lt;&gt;""),BI$4&amp;"; ","")&amp;IF(AND(BJ74="✓",BJ$4&lt;&gt;""),BJ$4&amp;"; ","")&amp;IF(AND(BK74="✓",BK$4&lt;&gt;""),BK$4&amp;"; ","")&amp;IF(AND(BL74="✓",BL$4&lt;&gt;""),BL$4&amp;"; ","")&amp;IF(AND(BM74="✓",BM$4&lt;&gt;""),BM$4&amp;"; ","")&amp;IF(AND(BN74="✓",BN$4&lt;&gt;""),BN$4&amp;"; ","")&amp;IF(AND(BO74="✓",BO$4&lt;&gt;""),BO$4&amp;"; ","")&amp;IF(AND(BP74="✓",BP$4&lt;&gt;""),BP$4&amp;"; ","")&amp;IF(AND(BQ74="✓",BQ$4&lt;&gt;""),BQ$4&amp;"; ","")&amp;IF(AND(BR74="✓",BR$4&lt;&gt;""),BR$4&amp;"; ","")&amp;IF(AND(BS74="✓",BS$4&lt;&gt;""),BS$4&amp;"; ","")&amp;IF(AND(BT74="✓",BT$4&lt;&gt;""),BT$4&amp;"; ","")&amp;IF(AND(BU74="✓",BU$4&lt;&gt;""),BU$4&amp;"; ","")&amp;IF(AND(BV74="✓",BV$4&lt;&gt;""),BV$4&amp;"; ","")&amp;IF(AND(BW74="✓",BW$4&lt;&gt;""),BW$4&amp;"; ","")&amp;IF(AND(BX74="✓",BX$4&lt;&gt;""),BX$4&amp;"; ","")&amp;IF(AND(BY74="✓",BY$4&lt;&gt;""),BY$4&amp;"; ","")&amp;IF(AND(BZ74="✓",BZ$4&lt;&gt;""),BZ$4&amp;"; ","")&amp;IF(AND(CA74="✓",CA$4&lt;&gt;""),CA$4&amp;"; ","")&amp;IF(AND(CB74="✓",CB$4&lt;&gt;""),CB$4&amp;"; ","")&amp;IF(AND(CC74="✓",CC$4&lt;&gt;""),CC$4&amp;"; ","")&amp;IF(AND(CD74="✓",CD$4&lt;&gt;""),CD$4&amp;"; ","")&amp;IF(AND(CE74="✓",CE$4&lt;&gt;""),CE$4&amp;"; ","")&amp;IF(AND(CF74="✓",CF$4&lt;&gt;""),CF$4&amp;"; ","")&amp;IF(AND(CG74="✓",CG$4&lt;&gt;""),CG$4&amp;"; ","")&amp;IF(AND(CH74="✓",CH$4&lt;&gt;""),CH$4&amp;"; ","")&amp;IF(AND(CI74="✓",CI$4&lt;&gt;""),CI$4&amp;"; ","")&amp;IF(AND(CJ74="✓",CJ$4&lt;&gt;""),CJ$4&amp;"; ","")&amp;IF(AND(CK74="✓",CK$4&lt;&gt;""),CK$4&amp;"; ","")&amp;IF(AND(CL74="✓",CL$4&lt;&gt;""),CL$4&amp;"; ","")&amp;IF(AND(CM74="✓",CM$4&lt;&gt;""),CM$4&amp;"; ","")&amp;IF(AND(CN74="✓",CN$4&lt;&gt;""),CN$4&amp;"; ","")&amp;IF(AND(CO74="✓",CO$4&lt;&gt;""),CO$4&amp;"; ","")</f>
        <v/>
      </c>
      <c r="CQ74" s="104" t="str">
        <f aca="false">IF($CP74="","",LEFT($CP74,LEN($CP74)-2))</f>
        <v/>
      </c>
      <c r="CR74" s="234" t="str">
        <f aca="false">IF($A74="","",COUNTIF($D74:$CO74,"✓"))</f>
        <v/>
      </c>
    </row>
    <row r="75" customFormat="false" ht="21.75" hidden="false" customHeight="true" outlineLevel="0" collapsed="false">
      <c r="A75" s="231" t="str">
        <f aca="false">IF(03_能力總表_Master!$A75="","",03_能力總表_Master!$A75)</f>
        <v/>
      </c>
      <c r="B75" s="166" t="str">
        <f aca="false">IF(03_能力總表_Master!$A75="","",03_能力總表_Master!$B75)</f>
        <v/>
      </c>
      <c r="C75" s="95" t="str">
        <f aca="false">IF(03_能力總表_Master!$A75="","",03_能力總表_Master!$E75)</f>
        <v/>
      </c>
      <c r="D75" s="232"/>
      <c r="E75" s="232"/>
      <c r="F75" s="232"/>
      <c r="G75" s="232"/>
      <c r="H75" s="232"/>
      <c r="I75" s="232"/>
      <c r="J75" s="232"/>
      <c r="K75" s="232"/>
      <c r="L75" s="232"/>
      <c r="M75" s="232"/>
      <c r="N75" s="232"/>
      <c r="O75" s="232"/>
      <c r="P75" s="232"/>
      <c r="Q75" s="232"/>
      <c r="R75" s="232"/>
      <c r="S75" s="232"/>
      <c r="T75" s="232"/>
      <c r="U75" s="232"/>
      <c r="V75" s="232"/>
      <c r="W75" s="232"/>
      <c r="X75" s="232"/>
      <c r="Y75" s="232"/>
      <c r="Z75" s="232"/>
      <c r="AA75" s="232"/>
      <c r="AB75" s="232"/>
      <c r="AC75" s="232"/>
      <c r="AD75" s="232"/>
      <c r="AE75" s="232"/>
      <c r="AF75" s="232"/>
      <c r="AG75" s="232"/>
      <c r="AH75" s="232"/>
      <c r="AI75" s="232"/>
      <c r="AJ75" s="232"/>
      <c r="AK75" s="232"/>
      <c r="AL75" s="232"/>
      <c r="AM75" s="232"/>
      <c r="AN75" s="232"/>
      <c r="AO75" s="232"/>
      <c r="AP75" s="232"/>
      <c r="AQ75" s="232"/>
      <c r="AR75" s="232"/>
      <c r="AS75" s="232"/>
      <c r="AT75" s="232"/>
      <c r="AU75" s="232"/>
      <c r="AV75" s="232"/>
      <c r="AW75" s="232"/>
      <c r="AX75" s="232"/>
      <c r="AY75" s="232"/>
      <c r="AZ75" s="232"/>
      <c r="BA75" s="232"/>
      <c r="BB75" s="232"/>
      <c r="BC75" s="232"/>
      <c r="BD75" s="232"/>
      <c r="BE75" s="232"/>
      <c r="BF75" s="232"/>
      <c r="BG75" s="232"/>
      <c r="BH75" s="232"/>
      <c r="BI75" s="232"/>
      <c r="BJ75" s="232"/>
      <c r="BK75" s="232"/>
      <c r="BL75" s="232"/>
      <c r="BM75" s="232"/>
      <c r="BN75" s="232"/>
      <c r="BO75" s="232"/>
      <c r="BP75" s="232"/>
      <c r="BQ75" s="232"/>
      <c r="BR75" s="232"/>
      <c r="BS75" s="232"/>
      <c r="BT75" s="232"/>
      <c r="BU75" s="232"/>
      <c r="BV75" s="232"/>
      <c r="BW75" s="232"/>
      <c r="BX75" s="232"/>
      <c r="BY75" s="232"/>
      <c r="BZ75" s="232"/>
      <c r="CA75" s="232"/>
      <c r="CB75" s="232"/>
      <c r="CC75" s="232"/>
      <c r="CD75" s="232"/>
      <c r="CE75" s="232"/>
      <c r="CF75" s="232"/>
      <c r="CG75" s="232"/>
      <c r="CH75" s="232"/>
      <c r="CI75" s="232"/>
      <c r="CJ75" s="232"/>
      <c r="CK75" s="232"/>
      <c r="CL75" s="232"/>
      <c r="CM75" s="232"/>
      <c r="CN75" s="232"/>
      <c r="CO75" s="232"/>
      <c r="CP75" s="233" t="str">
        <f aca="false">IF(AND(D75="✓",D$4&lt;&gt;""),D$4&amp;"; ","")&amp;IF(AND(E75="✓",E$4&lt;&gt;""),E$4&amp;"; ","")&amp;IF(AND(F75="✓",F$4&lt;&gt;""),F$4&amp;"; ","")&amp;IF(AND(G75="✓",G$4&lt;&gt;""),G$4&amp;"; ","")&amp;IF(AND(H75="✓",H$4&lt;&gt;""),H$4&amp;"; ","")&amp;IF(AND(I75="✓",I$4&lt;&gt;""),I$4&amp;"; ","")&amp;IF(AND(J75="✓",J$4&lt;&gt;""),J$4&amp;"; ","")&amp;IF(AND(K75="✓",K$4&lt;&gt;""),K$4&amp;"; ","")&amp;IF(AND(L75="✓",L$4&lt;&gt;""),L$4&amp;"; ","")&amp;IF(AND(M75="✓",M$4&lt;&gt;""),M$4&amp;"; ","")&amp;IF(AND(N75="✓",N$4&lt;&gt;""),N$4&amp;"; ","")&amp;IF(AND(O75="✓",O$4&lt;&gt;""),O$4&amp;"; ","")&amp;IF(AND(P75="✓",P$4&lt;&gt;""),P$4&amp;"; ","")&amp;IF(AND(Q75="✓",Q$4&lt;&gt;""),Q$4&amp;"; ","")&amp;IF(AND(R75="✓",R$4&lt;&gt;""),R$4&amp;"; ","")&amp;IF(AND(S75="✓",S$4&lt;&gt;""),S$4&amp;"; ","")&amp;IF(AND(T75="✓",T$4&lt;&gt;""),T$4&amp;"; ","")&amp;IF(AND(U75="✓",U$4&lt;&gt;""),U$4&amp;"; ","")&amp;IF(AND(V75="✓",V$4&lt;&gt;""),V$4&amp;"; ","")&amp;IF(AND(W75="✓",W$4&lt;&gt;""),W$4&amp;"; ","")&amp;IF(AND(X75="✓",X$4&lt;&gt;""),X$4&amp;"; ","")&amp;IF(AND(Y75="✓",Y$4&lt;&gt;""),Y$4&amp;"; ","")&amp;IF(AND(Z75="✓",Z$4&lt;&gt;""),Z$4&amp;"; ","")&amp;IF(AND(AA75="✓",AA$4&lt;&gt;""),AA$4&amp;"; ","")&amp;IF(AND(AB75="✓",AB$4&lt;&gt;""),AB$4&amp;"; ","")&amp;IF(AND(AC75="✓",AC$4&lt;&gt;""),AC$4&amp;"; ","")&amp;IF(AND(AD75="✓",AD$4&lt;&gt;""),AD$4&amp;"; ","")&amp;IF(AND(AE75="✓",AE$4&lt;&gt;""),AE$4&amp;"; ","")&amp;IF(AND(AF75="✓",AF$4&lt;&gt;""),AF$4&amp;"; ","")&amp;IF(AND(AG75="✓",AG$4&lt;&gt;""),AG$4&amp;"; ","")&amp;IF(AND(AH75="✓",AH$4&lt;&gt;""),AH$4&amp;"; ","")&amp;IF(AND(AI75="✓",AI$4&lt;&gt;""),AI$4&amp;"; ","")&amp;IF(AND(AJ75="✓",AJ$4&lt;&gt;""),AJ$4&amp;"; ","")&amp;IF(AND(AK75="✓",AK$4&lt;&gt;""),AK$4&amp;"; ","")&amp;IF(AND(AL75="✓",AL$4&lt;&gt;""),AL$4&amp;"; ","")&amp;IF(AND(AM75="✓",AM$4&lt;&gt;""),AM$4&amp;"; ","")&amp;IF(AND(AN75="✓",AN$4&lt;&gt;""),AN$4&amp;"; ","")&amp;IF(AND(AO75="✓",AO$4&lt;&gt;""),AO$4&amp;"; ","")&amp;IF(AND(AP75="✓",AP$4&lt;&gt;""),AP$4&amp;"; ","")&amp;IF(AND(AQ75="✓",AQ$4&lt;&gt;""),AQ$4&amp;"; ","")&amp;IF(AND(AR75="✓",AR$4&lt;&gt;""),AR$4&amp;"; ","")&amp;IF(AND(AS75="✓",AS$4&lt;&gt;""),AS$4&amp;"; ","")&amp;IF(AND(AT75="✓",AT$4&lt;&gt;""),AT$4&amp;"; ","")&amp;IF(AND(AU75="✓",AU$4&lt;&gt;""),AU$4&amp;"; ","")&amp;IF(AND(AV75="✓",AV$4&lt;&gt;""),AV$4&amp;"; ","")&amp;IF(AND(AW75="✓",AW$4&lt;&gt;""),AW$4&amp;"; ","")&amp;IF(AND(AX75="✓",AX$4&lt;&gt;""),AX$4&amp;"; ","")&amp;IF(AND(AY75="✓",AY$4&lt;&gt;""),AY$4&amp;"; ","")&amp;IF(AND(AZ75="✓",AZ$4&lt;&gt;""),AZ$4&amp;"; ","")&amp;IF(AND(BA75="✓",BA$4&lt;&gt;""),BA$4&amp;"; ","")&amp;IF(AND(BB75="✓",BB$4&lt;&gt;""),BB$4&amp;"; ","")&amp;IF(AND(BC75="✓",BC$4&lt;&gt;""),BC$4&amp;"; ","")&amp;IF(AND(BD75="✓",BD$4&lt;&gt;""),BD$4&amp;"; ","")&amp;IF(AND(BE75="✓",BE$4&lt;&gt;""),BE$4&amp;"; ","")&amp;IF(AND(BF75="✓",BF$4&lt;&gt;""),BF$4&amp;"; ","")&amp;IF(AND(BG75="✓",BG$4&lt;&gt;""),BG$4&amp;"; ","")&amp;IF(AND(BH75="✓",BH$4&lt;&gt;""),BH$4&amp;"; ","")&amp;IF(AND(BI75="✓",BI$4&lt;&gt;""),BI$4&amp;"; ","")&amp;IF(AND(BJ75="✓",BJ$4&lt;&gt;""),BJ$4&amp;"; ","")&amp;IF(AND(BK75="✓",BK$4&lt;&gt;""),BK$4&amp;"; ","")&amp;IF(AND(BL75="✓",BL$4&lt;&gt;""),BL$4&amp;"; ","")&amp;IF(AND(BM75="✓",BM$4&lt;&gt;""),BM$4&amp;"; ","")&amp;IF(AND(BN75="✓",BN$4&lt;&gt;""),BN$4&amp;"; ","")&amp;IF(AND(BO75="✓",BO$4&lt;&gt;""),BO$4&amp;"; ","")&amp;IF(AND(BP75="✓",BP$4&lt;&gt;""),BP$4&amp;"; ","")&amp;IF(AND(BQ75="✓",BQ$4&lt;&gt;""),BQ$4&amp;"; ","")&amp;IF(AND(BR75="✓",BR$4&lt;&gt;""),BR$4&amp;"; ","")&amp;IF(AND(BS75="✓",BS$4&lt;&gt;""),BS$4&amp;"; ","")&amp;IF(AND(BT75="✓",BT$4&lt;&gt;""),BT$4&amp;"; ","")&amp;IF(AND(BU75="✓",BU$4&lt;&gt;""),BU$4&amp;"; ","")&amp;IF(AND(BV75="✓",BV$4&lt;&gt;""),BV$4&amp;"; ","")&amp;IF(AND(BW75="✓",BW$4&lt;&gt;""),BW$4&amp;"; ","")&amp;IF(AND(BX75="✓",BX$4&lt;&gt;""),BX$4&amp;"; ","")&amp;IF(AND(BY75="✓",BY$4&lt;&gt;""),BY$4&amp;"; ","")&amp;IF(AND(BZ75="✓",BZ$4&lt;&gt;""),BZ$4&amp;"; ","")&amp;IF(AND(CA75="✓",CA$4&lt;&gt;""),CA$4&amp;"; ","")&amp;IF(AND(CB75="✓",CB$4&lt;&gt;""),CB$4&amp;"; ","")&amp;IF(AND(CC75="✓",CC$4&lt;&gt;""),CC$4&amp;"; ","")&amp;IF(AND(CD75="✓",CD$4&lt;&gt;""),CD$4&amp;"; ","")&amp;IF(AND(CE75="✓",CE$4&lt;&gt;""),CE$4&amp;"; ","")&amp;IF(AND(CF75="✓",CF$4&lt;&gt;""),CF$4&amp;"; ","")&amp;IF(AND(CG75="✓",CG$4&lt;&gt;""),CG$4&amp;"; ","")&amp;IF(AND(CH75="✓",CH$4&lt;&gt;""),CH$4&amp;"; ","")&amp;IF(AND(CI75="✓",CI$4&lt;&gt;""),CI$4&amp;"; ","")&amp;IF(AND(CJ75="✓",CJ$4&lt;&gt;""),CJ$4&amp;"; ","")&amp;IF(AND(CK75="✓",CK$4&lt;&gt;""),CK$4&amp;"; ","")&amp;IF(AND(CL75="✓",CL$4&lt;&gt;""),CL$4&amp;"; ","")&amp;IF(AND(CM75="✓",CM$4&lt;&gt;""),CM$4&amp;"; ","")&amp;IF(AND(CN75="✓",CN$4&lt;&gt;""),CN$4&amp;"; ","")&amp;IF(AND(CO75="✓",CO$4&lt;&gt;""),CO$4&amp;"; ","")</f>
        <v/>
      </c>
      <c r="CQ75" s="104" t="str">
        <f aca="false">IF($CP75="","",LEFT($CP75,LEN($CP75)-2))</f>
        <v/>
      </c>
      <c r="CR75" s="234" t="str">
        <f aca="false">IF($A75="","",COUNTIF($D75:$CO75,"✓"))</f>
        <v/>
      </c>
    </row>
    <row r="76" customFormat="false" ht="21.75" hidden="false" customHeight="true" outlineLevel="0" collapsed="false">
      <c r="A76" s="231" t="str">
        <f aca="false">IF(03_能力總表_Master!$A76="","",03_能力總表_Master!$A76)</f>
        <v/>
      </c>
      <c r="B76" s="166" t="str">
        <f aca="false">IF(03_能力總表_Master!$A76="","",03_能力總表_Master!$B76)</f>
        <v/>
      </c>
      <c r="C76" s="95" t="str">
        <f aca="false">IF(03_能力總表_Master!$A76="","",03_能力總表_Master!$E76)</f>
        <v/>
      </c>
      <c r="D76" s="232"/>
      <c r="E76" s="232"/>
      <c r="F76" s="232"/>
      <c r="G76" s="232"/>
      <c r="H76" s="232"/>
      <c r="I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  <c r="AA76" s="232"/>
      <c r="AB76" s="232"/>
      <c r="AC76" s="232"/>
      <c r="AD76" s="232"/>
      <c r="AE76" s="232"/>
      <c r="AF76" s="232"/>
      <c r="AG76" s="232"/>
      <c r="AH76" s="232"/>
      <c r="AI76" s="232"/>
      <c r="AJ76" s="232"/>
      <c r="AK76" s="232"/>
      <c r="AL76" s="232"/>
      <c r="AM76" s="232"/>
      <c r="AN76" s="232"/>
      <c r="AO76" s="232"/>
      <c r="AP76" s="232"/>
      <c r="AQ76" s="232"/>
      <c r="AR76" s="232"/>
      <c r="AS76" s="232"/>
      <c r="AT76" s="232"/>
      <c r="AU76" s="232"/>
      <c r="AV76" s="232"/>
      <c r="AW76" s="232"/>
      <c r="AX76" s="232"/>
      <c r="AY76" s="232"/>
      <c r="AZ76" s="232"/>
      <c r="BA76" s="232"/>
      <c r="BB76" s="232"/>
      <c r="BC76" s="232"/>
      <c r="BD76" s="232"/>
      <c r="BE76" s="232"/>
      <c r="BF76" s="232"/>
      <c r="BG76" s="232"/>
      <c r="BH76" s="232"/>
      <c r="BI76" s="232"/>
      <c r="BJ76" s="232"/>
      <c r="BK76" s="232"/>
      <c r="BL76" s="232"/>
      <c r="BM76" s="232"/>
      <c r="BN76" s="232"/>
      <c r="BO76" s="232"/>
      <c r="BP76" s="232"/>
      <c r="BQ76" s="232"/>
      <c r="BR76" s="232"/>
      <c r="BS76" s="232"/>
      <c r="BT76" s="232"/>
      <c r="BU76" s="232"/>
      <c r="BV76" s="232"/>
      <c r="BW76" s="232"/>
      <c r="BX76" s="232"/>
      <c r="BY76" s="232"/>
      <c r="BZ76" s="232"/>
      <c r="CA76" s="232"/>
      <c r="CB76" s="232"/>
      <c r="CC76" s="232"/>
      <c r="CD76" s="232"/>
      <c r="CE76" s="232"/>
      <c r="CF76" s="232"/>
      <c r="CG76" s="232"/>
      <c r="CH76" s="232"/>
      <c r="CI76" s="232"/>
      <c r="CJ76" s="232"/>
      <c r="CK76" s="232"/>
      <c r="CL76" s="232"/>
      <c r="CM76" s="232"/>
      <c r="CN76" s="232"/>
      <c r="CO76" s="232"/>
      <c r="CP76" s="233" t="str">
        <f aca="false">IF(AND(D76="✓",D$4&lt;&gt;""),D$4&amp;"; ","")&amp;IF(AND(E76="✓",E$4&lt;&gt;""),E$4&amp;"; ","")&amp;IF(AND(F76="✓",F$4&lt;&gt;""),F$4&amp;"; ","")&amp;IF(AND(G76="✓",G$4&lt;&gt;""),G$4&amp;"; ","")&amp;IF(AND(H76="✓",H$4&lt;&gt;""),H$4&amp;"; ","")&amp;IF(AND(I76="✓",I$4&lt;&gt;""),I$4&amp;"; ","")&amp;IF(AND(J76="✓",J$4&lt;&gt;""),J$4&amp;"; ","")&amp;IF(AND(K76="✓",K$4&lt;&gt;""),K$4&amp;"; ","")&amp;IF(AND(L76="✓",L$4&lt;&gt;""),L$4&amp;"; ","")&amp;IF(AND(M76="✓",M$4&lt;&gt;""),M$4&amp;"; ","")&amp;IF(AND(N76="✓",N$4&lt;&gt;""),N$4&amp;"; ","")&amp;IF(AND(O76="✓",O$4&lt;&gt;""),O$4&amp;"; ","")&amp;IF(AND(P76="✓",P$4&lt;&gt;""),P$4&amp;"; ","")&amp;IF(AND(Q76="✓",Q$4&lt;&gt;""),Q$4&amp;"; ","")&amp;IF(AND(R76="✓",R$4&lt;&gt;""),R$4&amp;"; ","")&amp;IF(AND(S76="✓",S$4&lt;&gt;""),S$4&amp;"; ","")&amp;IF(AND(T76="✓",T$4&lt;&gt;""),T$4&amp;"; ","")&amp;IF(AND(U76="✓",U$4&lt;&gt;""),U$4&amp;"; ","")&amp;IF(AND(V76="✓",V$4&lt;&gt;""),V$4&amp;"; ","")&amp;IF(AND(W76="✓",W$4&lt;&gt;""),W$4&amp;"; ","")&amp;IF(AND(X76="✓",X$4&lt;&gt;""),X$4&amp;"; ","")&amp;IF(AND(Y76="✓",Y$4&lt;&gt;""),Y$4&amp;"; ","")&amp;IF(AND(Z76="✓",Z$4&lt;&gt;""),Z$4&amp;"; ","")&amp;IF(AND(AA76="✓",AA$4&lt;&gt;""),AA$4&amp;"; ","")&amp;IF(AND(AB76="✓",AB$4&lt;&gt;""),AB$4&amp;"; ","")&amp;IF(AND(AC76="✓",AC$4&lt;&gt;""),AC$4&amp;"; ","")&amp;IF(AND(AD76="✓",AD$4&lt;&gt;""),AD$4&amp;"; ","")&amp;IF(AND(AE76="✓",AE$4&lt;&gt;""),AE$4&amp;"; ","")&amp;IF(AND(AF76="✓",AF$4&lt;&gt;""),AF$4&amp;"; ","")&amp;IF(AND(AG76="✓",AG$4&lt;&gt;""),AG$4&amp;"; ","")&amp;IF(AND(AH76="✓",AH$4&lt;&gt;""),AH$4&amp;"; ","")&amp;IF(AND(AI76="✓",AI$4&lt;&gt;""),AI$4&amp;"; ","")&amp;IF(AND(AJ76="✓",AJ$4&lt;&gt;""),AJ$4&amp;"; ","")&amp;IF(AND(AK76="✓",AK$4&lt;&gt;""),AK$4&amp;"; ","")&amp;IF(AND(AL76="✓",AL$4&lt;&gt;""),AL$4&amp;"; ","")&amp;IF(AND(AM76="✓",AM$4&lt;&gt;""),AM$4&amp;"; ","")&amp;IF(AND(AN76="✓",AN$4&lt;&gt;""),AN$4&amp;"; ","")&amp;IF(AND(AO76="✓",AO$4&lt;&gt;""),AO$4&amp;"; ","")&amp;IF(AND(AP76="✓",AP$4&lt;&gt;""),AP$4&amp;"; ","")&amp;IF(AND(AQ76="✓",AQ$4&lt;&gt;""),AQ$4&amp;"; ","")&amp;IF(AND(AR76="✓",AR$4&lt;&gt;""),AR$4&amp;"; ","")&amp;IF(AND(AS76="✓",AS$4&lt;&gt;""),AS$4&amp;"; ","")&amp;IF(AND(AT76="✓",AT$4&lt;&gt;""),AT$4&amp;"; ","")&amp;IF(AND(AU76="✓",AU$4&lt;&gt;""),AU$4&amp;"; ","")&amp;IF(AND(AV76="✓",AV$4&lt;&gt;""),AV$4&amp;"; ","")&amp;IF(AND(AW76="✓",AW$4&lt;&gt;""),AW$4&amp;"; ","")&amp;IF(AND(AX76="✓",AX$4&lt;&gt;""),AX$4&amp;"; ","")&amp;IF(AND(AY76="✓",AY$4&lt;&gt;""),AY$4&amp;"; ","")&amp;IF(AND(AZ76="✓",AZ$4&lt;&gt;""),AZ$4&amp;"; ","")&amp;IF(AND(BA76="✓",BA$4&lt;&gt;""),BA$4&amp;"; ","")&amp;IF(AND(BB76="✓",BB$4&lt;&gt;""),BB$4&amp;"; ","")&amp;IF(AND(BC76="✓",BC$4&lt;&gt;""),BC$4&amp;"; ","")&amp;IF(AND(BD76="✓",BD$4&lt;&gt;""),BD$4&amp;"; ","")&amp;IF(AND(BE76="✓",BE$4&lt;&gt;""),BE$4&amp;"; ","")&amp;IF(AND(BF76="✓",BF$4&lt;&gt;""),BF$4&amp;"; ","")&amp;IF(AND(BG76="✓",BG$4&lt;&gt;""),BG$4&amp;"; ","")&amp;IF(AND(BH76="✓",BH$4&lt;&gt;""),BH$4&amp;"; ","")&amp;IF(AND(BI76="✓",BI$4&lt;&gt;""),BI$4&amp;"; ","")&amp;IF(AND(BJ76="✓",BJ$4&lt;&gt;""),BJ$4&amp;"; ","")&amp;IF(AND(BK76="✓",BK$4&lt;&gt;""),BK$4&amp;"; ","")&amp;IF(AND(BL76="✓",BL$4&lt;&gt;""),BL$4&amp;"; ","")&amp;IF(AND(BM76="✓",BM$4&lt;&gt;""),BM$4&amp;"; ","")&amp;IF(AND(BN76="✓",BN$4&lt;&gt;""),BN$4&amp;"; ","")&amp;IF(AND(BO76="✓",BO$4&lt;&gt;""),BO$4&amp;"; ","")&amp;IF(AND(BP76="✓",BP$4&lt;&gt;""),BP$4&amp;"; ","")&amp;IF(AND(BQ76="✓",BQ$4&lt;&gt;""),BQ$4&amp;"; ","")&amp;IF(AND(BR76="✓",BR$4&lt;&gt;""),BR$4&amp;"; ","")&amp;IF(AND(BS76="✓",BS$4&lt;&gt;""),BS$4&amp;"; ","")&amp;IF(AND(BT76="✓",BT$4&lt;&gt;""),BT$4&amp;"; ","")&amp;IF(AND(BU76="✓",BU$4&lt;&gt;""),BU$4&amp;"; ","")&amp;IF(AND(BV76="✓",BV$4&lt;&gt;""),BV$4&amp;"; ","")&amp;IF(AND(BW76="✓",BW$4&lt;&gt;""),BW$4&amp;"; ","")&amp;IF(AND(BX76="✓",BX$4&lt;&gt;""),BX$4&amp;"; ","")&amp;IF(AND(BY76="✓",BY$4&lt;&gt;""),BY$4&amp;"; ","")&amp;IF(AND(BZ76="✓",BZ$4&lt;&gt;""),BZ$4&amp;"; ","")&amp;IF(AND(CA76="✓",CA$4&lt;&gt;""),CA$4&amp;"; ","")&amp;IF(AND(CB76="✓",CB$4&lt;&gt;""),CB$4&amp;"; ","")&amp;IF(AND(CC76="✓",CC$4&lt;&gt;""),CC$4&amp;"; ","")&amp;IF(AND(CD76="✓",CD$4&lt;&gt;""),CD$4&amp;"; ","")&amp;IF(AND(CE76="✓",CE$4&lt;&gt;""),CE$4&amp;"; ","")&amp;IF(AND(CF76="✓",CF$4&lt;&gt;""),CF$4&amp;"; ","")&amp;IF(AND(CG76="✓",CG$4&lt;&gt;""),CG$4&amp;"; ","")&amp;IF(AND(CH76="✓",CH$4&lt;&gt;""),CH$4&amp;"; ","")&amp;IF(AND(CI76="✓",CI$4&lt;&gt;""),CI$4&amp;"; ","")&amp;IF(AND(CJ76="✓",CJ$4&lt;&gt;""),CJ$4&amp;"; ","")&amp;IF(AND(CK76="✓",CK$4&lt;&gt;""),CK$4&amp;"; ","")&amp;IF(AND(CL76="✓",CL$4&lt;&gt;""),CL$4&amp;"; ","")&amp;IF(AND(CM76="✓",CM$4&lt;&gt;""),CM$4&amp;"; ","")&amp;IF(AND(CN76="✓",CN$4&lt;&gt;""),CN$4&amp;"; ","")&amp;IF(AND(CO76="✓",CO$4&lt;&gt;""),CO$4&amp;"; ","")</f>
        <v/>
      </c>
      <c r="CQ76" s="104" t="str">
        <f aca="false">IF($CP76="","",LEFT($CP76,LEN($CP76)-2))</f>
        <v/>
      </c>
      <c r="CR76" s="234" t="str">
        <f aca="false">IF($A76="","",COUNTIF($D76:$CO76,"✓"))</f>
        <v/>
      </c>
    </row>
    <row r="77" customFormat="false" ht="21.75" hidden="false" customHeight="true" outlineLevel="0" collapsed="false">
      <c r="A77" s="231" t="str">
        <f aca="false">IF(03_能力總表_Master!$A77="","",03_能力總表_Master!$A77)</f>
        <v/>
      </c>
      <c r="B77" s="166" t="str">
        <f aca="false">IF(03_能力總表_Master!$A77="","",03_能力總表_Master!$B77)</f>
        <v/>
      </c>
      <c r="C77" s="95" t="str">
        <f aca="false">IF(03_能力總表_Master!$A77="","",03_能力總表_Master!$E77)</f>
        <v/>
      </c>
      <c r="D77" s="232"/>
      <c r="E77" s="232"/>
      <c r="F77" s="232"/>
      <c r="G77" s="232"/>
      <c r="H77" s="232"/>
      <c r="I77" s="232"/>
      <c r="J77" s="232"/>
      <c r="K77" s="232"/>
      <c r="L77" s="232"/>
      <c r="M77" s="232"/>
      <c r="N77" s="232"/>
      <c r="O77" s="232"/>
      <c r="P77" s="232"/>
      <c r="Q77" s="232"/>
      <c r="R77" s="232"/>
      <c r="S77" s="232"/>
      <c r="T77" s="232"/>
      <c r="U77" s="232"/>
      <c r="V77" s="232"/>
      <c r="W77" s="232"/>
      <c r="X77" s="232"/>
      <c r="Y77" s="232"/>
      <c r="Z77" s="232"/>
      <c r="AA77" s="232"/>
      <c r="AB77" s="232"/>
      <c r="AC77" s="232"/>
      <c r="AD77" s="232"/>
      <c r="AE77" s="232"/>
      <c r="AF77" s="232"/>
      <c r="AG77" s="232"/>
      <c r="AH77" s="232"/>
      <c r="AI77" s="232"/>
      <c r="AJ77" s="232"/>
      <c r="AK77" s="232"/>
      <c r="AL77" s="232"/>
      <c r="AM77" s="232"/>
      <c r="AN77" s="232"/>
      <c r="AO77" s="232"/>
      <c r="AP77" s="232"/>
      <c r="AQ77" s="232"/>
      <c r="AR77" s="232"/>
      <c r="AS77" s="232"/>
      <c r="AT77" s="232"/>
      <c r="AU77" s="232"/>
      <c r="AV77" s="232"/>
      <c r="AW77" s="232"/>
      <c r="AX77" s="232"/>
      <c r="AY77" s="232"/>
      <c r="AZ77" s="232"/>
      <c r="BA77" s="232"/>
      <c r="BB77" s="232"/>
      <c r="BC77" s="232"/>
      <c r="BD77" s="232"/>
      <c r="BE77" s="232"/>
      <c r="BF77" s="232"/>
      <c r="BG77" s="232"/>
      <c r="BH77" s="232"/>
      <c r="BI77" s="232"/>
      <c r="BJ77" s="232"/>
      <c r="BK77" s="232"/>
      <c r="BL77" s="232"/>
      <c r="BM77" s="232"/>
      <c r="BN77" s="232"/>
      <c r="BO77" s="232"/>
      <c r="BP77" s="232"/>
      <c r="BQ77" s="232"/>
      <c r="BR77" s="232"/>
      <c r="BS77" s="232"/>
      <c r="BT77" s="232"/>
      <c r="BU77" s="232"/>
      <c r="BV77" s="232"/>
      <c r="BW77" s="232"/>
      <c r="BX77" s="232"/>
      <c r="BY77" s="232"/>
      <c r="BZ77" s="232"/>
      <c r="CA77" s="232"/>
      <c r="CB77" s="232"/>
      <c r="CC77" s="232"/>
      <c r="CD77" s="232"/>
      <c r="CE77" s="232"/>
      <c r="CF77" s="232"/>
      <c r="CG77" s="232"/>
      <c r="CH77" s="232"/>
      <c r="CI77" s="232"/>
      <c r="CJ77" s="232"/>
      <c r="CK77" s="232"/>
      <c r="CL77" s="232"/>
      <c r="CM77" s="232"/>
      <c r="CN77" s="232"/>
      <c r="CO77" s="232"/>
      <c r="CP77" s="233" t="str">
        <f aca="false">IF(AND(D77="✓",D$4&lt;&gt;""),D$4&amp;"; ","")&amp;IF(AND(E77="✓",E$4&lt;&gt;""),E$4&amp;"; ","")&amp;IF(AND(F77="✓",F$4&lt;&gt;""),F$4&amp;"; ","")&amp;IF(AND(G77="✓",G$4&lt;&gt;""),G$4&amp;"; ","")&amp;IF(AND(H77="✓",H$4&lt;&gt;""),H$4&amp;"; ","")&amp;IF(AND(I77="✓",I$4&lt;&gt;""),I$4&amp;"; ","")&amp;IF(AND(J77="✓",J$4&lt;&gt;""),J$4&amp;"; ","")&amp;IF(AND(K77="✓",K$4&lt;&gt;""),K$4&amp;"; ","")&amp;IF(AND(L77="✓",L$4&lt;&gt;""),L$4&amp;"; ","")&amp;IF(AND(M77="✓",M$4&lt;&gt;""),M$4&amp;"; ","")&amp;IF(AND(N77="✓",N$4&lt;&gt;""),N$4&amp;"; ","")&amp;IF(AND(O77="✓",O$4&lt;&gt;""),O$4&amp;"; ","")&amp;IF(AND(P77="✓",P$4&lt;&gt;""),P$4&amp;"; ","")&amp;IF(AND(Q77="✓",Q$4&lt;&gt;""),Q$4&amp;"; ","")&amp;IF(AND(R77="✓",R$4&lt;&gt;""),R$4&amp;"; ","")&amp;IF(AND(S77="✓",S$4&lt;&gt;""),S$4&amp;"; ","")&amp;IF(AND(T77="✓",T$4&lt;&gt;""),T$4&amp;"; ","")&amp;IF(AND(U77="✓",U$4&lt;&gt;""),U$4&amp;"; ","")&amp;IF(AND(V77="✓",V$4&lt;&gt;""),V$4&amp;"; ","")&amp;IF(AND(W77="✓",W$4&lt;&gt;""),W$4&amp;"; ","")&amp;IF(AND(X77="✓",X$4&lt;&gt;""),X$4&amp;"; ","")&amp;IF(AND(Y77="✓",Y$4&lt;&gt;""),Y$4&amp;"; ","")&amp;IF(AND(Z77="✓",Z$4&lt;&gt;""),Z$4&amp;"; ","")&amp;IF(AND(AA77="✓",AA$4&lt;&gt;""),AA$4&amp;"; ","")&amp;IF(AND(AB77="✓",AB$4&lt;&gt;""),AB$4&amp;"; ","")&amp;IF(AND(AC77="✓",AC$4&lt;&gt;""),AC$4&amp;"; ","")&amp;IF(AND(AD77="✓",AD$4&lt;&gt;""),AD$4&amp;"; ","")&amp;IF(AND(AE77="✓",AE$4&lt;&gt;""),AE$4&amp;"; ","")&amp;IF(AND(AF77="✓",AF$4&lt;&gt;""),AF$4&amp;"; ","")&amp;IF(AND(AG77="✓",AG$4&lt;&gt;""),AG$4&amp;"; ","")&amp;IF(AND(AH77="✓",AH$4&lt;&gt;""),AH$4&amp;"; ","")&amp;IF(AND(AI77="✓",AI$4&lt;&gt;""),AI$4&amp;"; ","")&amp;IF(AND(AJ77="✓",AJ$4&lt;&gt;""),AJ$4&amp;"; ","")&amp;IF(AND(AK77="✓",AK$4&lt;&gt;""),AK$4&amp;"; ","")&amp;IF(AND(AL77="✓",AL$4&lt;&gt;""),AL$4&amp;"; ","")&amp;IF(AND(AM77="✓",AM$4&lt;&gt;""),AM$4&amp;"; ","")&amp;IF(AND(AN77="✓",AN$4&lt;&gt;""),AN$4&amp;"; ","")&amp;IF(AND(AO77="✓",AO$4&lt;&gt;""),AO$4&amp;"; ","")&amp;IF(AND(AP77="✓",AP$4&lt;&gt;""),AP$4&amp;"; ","")&amp;IF(AND(AQ77="✓",AQ$4&lt;&gt;""),AQ$4&amp;"; ","")&amp;IF(AND(AR77="✓",AR$4&lt;&gt;""),AR$4&amp;"; ","")&amp;IF(AND(AS77="✓",AS$4&lt;&gt;""),AS$4&amp;"; ","")&amp;IF(AND(AT77="✓",AT$4&lt;&gt;""),AT$4&amp;"; ","")&amp;IF(AND(AU77="✓",AU$4&lt;&gt;""),AU$4&amp;"; ","")&amp;IF(AND(AV77="✓",AV$4&lt;&gt;""),AV$4&amp;"; ","")&amp;IF(AND(AW77="✓",AW$4&lt;&gt;""),AW$4&amp;"; ","")&amp;IF(AND(AX77="✓",AX$4&lt;&gt;""),AX$4&amp;"; ","")&amp;IF(AND(AY77="✓",AY$4&lt;&gt;""),AY$4&amp;"; ","")&amp;IF(AND(AZ77="✓",AZ$4&lt;&gt;""),AZ$4&amp;"; ","")&amp;IF(AND(BA77="✓",BA$4&lt;&gt;""),BA$4&amp;"; ","")&amp;IF(AND(BB77="✓",BB$4&lt;&gt;""),BB$4&amp;"; ","")&amp;IF(AND(BC77="✓",BC$4&lt;&gt;""),BC$4&amp;"; ","")&amp;IF(AND(BD77="✓",BD$4&lt;&gt;""),BD$4&amp;"; ","")&amp;IF(AND(BE77="✓",BE$4&lt;&gt;""),BE$4&amp;"; ","")&amp;IF(AND(BF77="✓",BF$4&lt;&gt;""),BF$4&amp;"; ","")&amp;IF(AND(BG77="✓",BG$4&lt;&gt;""),BG$4&amp;"; ","")&amp;IF(AND(BH77="✓",BH$4&lt;&gt;""),BH$4&amp;"; ","")&amp;IF(AND(BI77="✓",BI$4&lt;&gt;""),BI$4&amp;"; ","")&amp;IF(AND(BJ77="✓",BJ$4&lt;&gt;""),BJ$4&amp;"; ","")&amp;IF(AND(BK77="✓",BK$4&lt;&gt;""),BK$4&amp;"; ","")&amp;IF(AND(BL77="✓",BL$4&lt;&gt;""),BL$4&amp;"; ","")&amp;IF(AND(BM77="✓",BM$4&lt;&gt;""),BM$4&amp;"; ","")&amp;IF(AND(BN77="✓",BN$4&lt;&gt;""),BN$4&amp;"; ","")&amp;IF(AND(BO77="✓",BO$4&lt;&gt;""),BO$4&amp;"; ","")&amp;IF(AND(BP77="✓",BP$4&lt;&gt;""),BP$4&amp;"; ","")&amp;IF(AND(BQ77="✓",BQ$4&lt;&gt;""),BQ$4&amp;"; ","")&amp;IF(AND(BR77="✓",BR$4&lt;&gt;""),BR$4&amp;"; ","")&amp;IF(AND(BS77="✓",BS$4&lt;&gt;""),BS$4&amp;"; ","")&amp;IF(AND(BT77="✓",BT$4&lt;&gt;""),BT$4&amp;"; ","")&amp;IF(AND(BU77="✓",BU$4&lt;&gt;""),BU$4&amp;"; ","")&amp;IF(AND(BV77="✓",BV$4&lt;&gt;""),BV$4&amp;"; ","")&amp;IF(AND(BW77="✓",BW$4&lt;&gt;""),BW$4&amp;"; ","")&amp;IF(AND(BX77="✓",BX$4&lt;&gt;""),BX$4&amp;"; ","")&amp;IF(AND(BY77="✓",BY$4&lt;&gt;""),BY$4&amp;"; ","")&amp;IF(AND(BZ77="✓",BZ$4&lt;&gt;""),BZ$4&amp;"; ","")&amp;IF(AND(CA77="✓",CA$4&lt;&gt;""),CA$4&amp;"; ","")&amp;IF(AND(CB77="✓",CB$4&lt;&gt;""),CB$4&amp;"; ","")&amp;IF(AND(CC77="✓",CC$4&lt;&gt;""),CC$4&amp;"; ","")&amp;IF(AND(CD77="✓",CD$4&lt;&gt;""),CD$4&amp;"; ","")&amp;IF(AND(CE77="✓",CE$4&lt;&gt;""),CE$4&amp;"; ","")&amp;IF(AND(CF77="✓",CF$4&lt;&gt;""),CF$4&amp;"; ","")&amp;IF(AND(CG77="✓",CG$4&lt;&gt;""),CG$4&amp;"; ","")&amp;IF(AND(CH77="✓",CH$4&lt;&gt;""),CH$4&amp;"; ","")&amp;IF(AND(CI77="✓",CI$4&lt;&gt;""),CI$4&amp;"; ","")&amp;IF(AND(CJ77="✓",CJ$4&lt;&gt;""),CJ$4&amp;"; ","")&amp;IF(AND(CK77="✓",CK$4&lt;&gt;""),CK$4&amp;"; ","")&amp;IF(AND(CL77="✓",CL$4&lt;&gt;""),CL$4&amp;"; ","")&amp;IF(AND(CM77="✓",CM$4&lt;&gt;""),CM$4&amp;"; ","")&amp;IF(AND(CN77="✓",CN$4&lt;&gt;""),CN$4&amp;"; ","")&amp;IF(AND(CO77="✓",CO$4&lt;&gt;""),CO$4&amp;"; ","")</f>
        <v/>
      </c>
      <c r="CQ77" s="104" t="str">
        <f aca="false">IF($CP77="","",LEFT($CP77,LEN($CP77)-2))</f>
        <v/>
      </c>
      <c r="CR77" s="234" t="str">
        <f aca="false">IF($A77="","",COUNTIF($D77:$CO77,"✓"))</f>
        <v/>
      </c>
    </row>
    <row r="78" customFormat="false" ht="21.75" hidden="false" customHeight="true" outlineLevel="0" collapsed="false">
      <c r="A78" s="231" t="str">
        <f aca="false">IF(03_能力總表_Master!$A78="","",03_能力總表_Master!$A78)</f>
        <v/>
      </c>
      <c r="B78" s="166" t="str">
        <f aca="false">IF(03_能力總表_Master!$A78="","",03_能力總表_Master!$B78)</f>
        <v/>
      </c>
      <c r="C78" s="95" t="str">
        <f aca="false">IF(03_能力總表_Master!$A78="","",03_能力總表_Master!$E78)</f>
        <v/>
      </c>
      <c r="D78" s="232"/>
      <c r="E78" s="232"/>
      <c r="F78" s="232"/>
      <c r="G78" s="232"/>
      <c r="H78" s="232"/>
      <c r="I78" s="232"/>
      <c r="J78" s="232"/>
      <c r="K78" s="232"/>
      <c r="L78" s="232"/>
      <c r="M78" s="232"/>
      <c r="N78" s="232"/>
      <c r="O78" s="232"/>
      <c r="P78" s="232"/>
      <c r="Q78" s="232"/>
      <c r="R78" s="232"/>
      <c r="S78" s="232"/>
      <c r="T78" s="232"/>
      <c r="U78" s="232"/>
      <c r="V78" s="232"/>
      <c r="W78" s="232"/>
      <c r="X78" s="232"/>
      <c r="Y78" s="232"/>
      <c r="Z78" s="232"/>
      <c r="AA78" s="232"/>
      <c r="AB78" s="232"/>
      <c r="AC78" s="232"/>
      <c r="AD78" s="232"/>
      <c r="AE78" s="232"/>
      <c r="AF78" s="232"/>
      <c r="AG78" s="232"/>
      <c r="AH78" s="232"/>
      <c r="AI78" s="232"/>
      <c r="AJ78" s="232"/>
      <c r="AK78" s="232"/>
      <c r="AL78" s="232"/>
      <c r="AM78" s="232"/>
      <c r="AN78" s="232"/>
      <c r="AO78" s="232"/>
      <c r="AP78" s="232"/>
      <c r="AQ78" s="232"/>
      <c r="AR78" s="232"/>
      <c r="AS78" s="232"/>
      <c r="AT78" s="232"/>
      <c r="AU78" s="232"/>
      <c r="AV78" s="232"/>
      <c r="AW78" s="232"/>
      <c r="AX78" s="232"/>
      <c r="AY78" s="232"/>
      <c r="AZ78" s="232"/>
      <c r="BA78" s="232"/>
      <c r="BB78" s="232"/>
      <c r="BC78" s="232"/>
      <c r="BD78" s="232"/>
      <c r="BE78" s="232"/>
      <c r="BF78" s="232"/>
      <c r="BG78" s="232"/>
      <c r="BH78" s="232"/>
      <c r="BI78" s="232"/>
      <c r="BJ78" s="232"/>
      <c r="BK78" s="232"/>
      <c r="BL78" s="232"/>
      <c r="BM78" s="232"/>
      <c r="BN78" s="232"/>
      <c r="BO78" s="232"/>
      <c r="BP78" s="232"/>
      <c r="BQ78" s="232"/>
      <c r="BR78" s="232"/>
      <c r="BS78" s="232"/>
      <c r="BT78" s="232"/>
      <c r="BU78" s="232"/>
      <c r="BV78" s="232"/>
      <c r="BW78" s="232"/>
      <c r="BX78" s="232"/>
      <c r="BY78" s="232"/>
      <c r="BZ78" s="232"/>
      <c r="CA78" s="232"/>
      <c r="CB78" s="232"/>
      <c r="CC78" s="232"/>
      <c r="CD78" s="232"/>
      <c r="CE78" s="232"/>
      <c r="CF78" s="232"/>
      <c r="CG78" s="232"/>
      <c r="CH78" s="232"/>
      <c r="CI78" s="232"/>
      <c r="CJ78" s="232"/>
      <c r="CK78" s="232"/>
      <c r="CL78" s="232"/>
      <c r="CM78" s="232"/>
      <c r="CN78" s="232"/>
      <c r="CO78" s="232"/>
      <c r="CP78" s="233" t="str">
        <f aca="false">IF(AND(D78="✓",D$4&lt;&gt;""),D$4&amp;"; ","")&amp;IF(AND(E78="✓",E$4&lt;&gt;""),E$4&amp;"; ","")&amp;IF(AND(F78="✓",F$4&lt;&gt;""),F$4&amp;"; ","")&amp;IF(AND(G78="✓",G$4&lt;&gt;""),G$4&amp;"; ","")&amp;IF(AND(H78="✓",H$4&lt;&gt;""),H$4&amp;"; ","")&amp;IF(AND(I78="✓",I$4&lt;&gt;""),I$4&amp;"; ","")&amp;IF(AND(J78="✓",J$4&lt;&gt;""),J$4&amp;"; ","")&amp;IF(AND(K78="✓",K$4&lt;&gt;""),K$4&amp;"; ","")&amp;IF(AND(L78="✓",L$4&lt;&gt;""),L$4&amp;"; ","")&amp;IF(AND(M78="✓",M$4&lt;&gt;""),M$4&amp;"; ","")&amp;IF(AND(N78="✓",N$4&lt;&gt;""),N$4&amp;"; ","")&amp;IF(AND(O78="✓",O$4&lt;&gt;""),O$4&amp;"; ","")&amp;IF(AND(P78="✓",P$4&lt;&gt;""),P$4&amp;"; ","")&amp;IF(AND(Q78="✓",Q$4&lt;&gt;""),Q$4&amp;"; ","")&amp;IF(AND(R78="✓",R$4&lt;&gt;""),R$4&amp;"; ","")&amp;IF(AND(S78="✓",S$4&lt;&gt;""),S$4&amp;"; ","")&amp;IF(AND(T78="✓",T$4&lt;&gt;""),T$4&amp;"; ","")&amp;IF(AND(U78="✓",U$4&lt;&gt;""),U$4&amp;"; ","")&amp;IF(AND(V78="✓",V$4&lt;&gt;""),V$4&amp;"; ","")&amp;IF(AND(W78="✓",W$4&lt;&gt;""),W$4&amp;"; ","")&amp;IF(AND(X78="✓",X$4&lt;&gt;""),X$4&amp;"; ","")&amp;IF(AND(Y78="✓",Y$4&lt;&gt;""),Y$4&amp;"; ","")&amp;IF(AND(Z78="✓",Z$4&lt;&gt;""),Z$4&amp;"; ","")&amp;IF(AND(AA78="✓",AA$4&lt;&gt;""),AA$4&amp;"; ","")&amp;IF(AND(AB78="✓",AB$4&lt;&gt;""),AB$4&amp;"; ","")&amp;IF(AND(AC78="✓",AC$4&lt;&gt;""),AC$4&amp;"; ","")&amp;IF(AND(AD78="✓",AD$4&lt;&gt;""),AD$4&amp;"; ","")&amp;IF(AND(AE78="✓",AE$4&lt;&gt;""),AE$4&amp;"; ","")&amp;IF(AND(AF78="✓",AF$4&lt;&gt;""),AF$4&amp;"; ","")&amp;IF(AND(AG78="✓",AG$4&lt;&gt;""),AG$4&amp;"; ","")&amp;IF(AND(AH78="✓",AH$4&lt;&gt;""),AH$4&amp;"; ","")&amp;IF(AND(AI78="✓",AI$4&lt;&gt;""),AI$4&amp;"; ","")&amp;IF(AND(AJ78="✓",AJ$4&lt;&gt;""),AJ$4&amp;"; ","")&amp;IF(AND(AK78="✓",AK$4&lt;&gt;""),AK$4&amp;"; ","")&amp;IF(AND(AL78="✓",AL$4&lt;&gt;""),AL$4&amp;"; ","")&amp;IF(AND(AM78="✓",AM$4&lt;&gt;""),AM$4&amp;"; ","")&amp;IF(AND(AN78="✓",AN$4&lt;&gt;""),AN$4&amp;"; ","")&amp;IF(AND(AO78="✓",AO$4&lt;&gt;""),AO$4&amp;"; ","")&amp;IF(AND(AP78="✓",AP$4&lt;&gt;""),AP$4&amp;"; ","")&amp;IF(AND(AQ78="✓",AQ$4&lt;&gt;""),AQ$4&amp;"; ","")&amp;IF(AND(AR78="✓",AR$4&lt;&gt;""),AR$4&amp;"; ","")&amp;IF(AND(AS78="✓",AS$4&lt;&gt;""),AS$4&amp;"; ","")&amp;IF(AND(AT78="✓",AT$4&lt;&gt;""),AT$4&amp;"; ","")&amp;IF(AND(AU78="✓",AU$4&lt;&gt;""),AU$4&amp;"; ","")&amp;IF(AND(AV78="✓",AV$4&lt;&gt;""),AV$4&amp;"; ","")&amp;IF(AND(AW78="✓",AW$4&lt;&gt;""),AW$4&amp;"; ","")&amp;IF(AND(AX78="✓",AX$4&lt;&gt;""),AX$4&amp;"; ","")&amp;IF(AND(AY78="✓",AY$4&lt;&gt;""),AY$4&amp;"; ","")&amp;IF(AND(AZ78="✓",AZ$4&lt;&gt;""),AZ$4&amp;"; ","")&amp;IF(AND(BA78="✓",BA$4&lt;&gt;""),BA$4&amp;"; ","")&amp;IF(AND(BB78="✓",BB$4&lt;&gt;""),BB$4&amp;"; ","")&amp;IF(AND(BC78="✓",BC$4&lt;&gt;""),BC$4&amp;"; ","")&amp;IF(AND(BD78="✓",BD$4&lt;&gt;""),BD$4&amp;"; ","")&amp;IF(AND(BE78="✓",BE$4&lt;&gt;""),BE$4&amp;"; ","")&amp;IF(AND(BF78="✓",BF$4&lt;&gt;""),BF$4&amp;"; ","")&amp;IF(AND(BG78="✓",BG$4&lt;&gt;""),BG$4&amp;"; ","")&amp;IF(AND(BH78="✓",BH$4&lt;&gt;""),BH$4&amp;"; ","")&amp;IF(AND(BI78="✓",BI$4&lt;&gt;""),BI$4&amp;"; ","")&amp;IF(AND(BJ78="✓",BJ$4&lt;&gt;""),BJ$4&amp;"; ","")&amp;IF(AND(BK78="✓",BK$4&lt;&gt;""),BK$4&amp;"; ","")&amp;IF(AND(BL78="✓",BL$4&lt;&gt;""),BL$4&amp;"; ","")&amp;IF(AND(BM78="✓",BM$4&lt;&gt;""),BM$4&amp;"; ","")&amp;IF(AND(BN78="✓",BN$4&lt;&gt;""),BN$4&amp;"; ","")&amp;IF(AND(BO78="✓",BO$4&lt;&gt;""),BO$4&amp;"; ","")&amp;IF(AND(BP78="✓",BP$4&lt;&gt;""),BP$4&amp;"; ","")&amp;IF(AND(BQ78="✓",BQ$4&lt;&gt;""),BQ$4&amp;"; ","")&amp;IF(AND(BR78="✓",BR$4&lt;&gt;""),BR$4&amp;"; ","")&amp;IF(AND(BS78="✓",BS$4&lt;&gt;""),BS$4&amp;"; ","")&amp;IF(AND(BT78="✓",BT$4&lt;&gt;""),BT$4&amp;"; ","")&amp;IF(AND(BU78="✓",BU$4&lt;&gt;""),BU$4&amp;"; ","")&amp;IF(AND(BV78="✓",BV$4&lt;&gt;""),BV$4&amp;"; ","")&amp;IF(AND(BW78="✓",BW$4&lt;&gt;""),BW$4&amp;"; ","")&amp;IF(AND(BX78="✓",BX$4&lt;&gt;""),BX$4&amp;"; ","")&amp;IF(AND(BY78="✓",BY$4&lt;&gt;""),BY$4&amp;"; ","")&amp;IF(AND(BZ78="✓",BZ$4&lt;&gt;""),BZ$4&amp;"; ","")&amp;IF(AND(CA78="✓",CA$4&lt;&gt;""),CA$4&amp;"; ","")&amp;IF(AND(CB78="✓",CB$4&lt;&gt;""),CB$4&amp;"; ","")&amp;IF(AND(CC78="✓",CC$4&lt;&gt;""),CC$4&amp;"; ","")&amp;IF(AND(CD78="✓",CD$4&lt;&gt;""),CD$4&amp;"; ","")&amp;IF(AND(CE78="✓",CE$4&lt;&gt;""),CE$4&amp;"; ","")&amp;IF(AND(CF78="✓",CF$4&lt;&gt;""),CF$4&amp;"; ","")&amp;IF(AND(CG78="✓",CG$4&lt;&gt;""),CG$4&amp;"; ","")&amp;IF(AND(CH78="✓",CH$4&lt;&gt;""),CH$4&amp;"; ","")&amp;IF(AND(CI78="✓",CI$4&lt;&gt;""),CI$4&amp;"; ","")&amp;IF(AND(CJ78="✓",CJ$4&lt;&gt;""),CJ$4&amp;"; ","")&amp;IF(AND(CK78="✓",CK$4&lt;&gt;""),CK$4&amp;"; ","")&amp;IF(AND(CL78="✓",CL$4&lt;&gt;""),CL$4&amp;"; ","")&amp;IF(AND(CM78="✓",CM$4&lt;&gt;""),CM$4&amp;"; ","")&amp;IF(AND(CN78="✓",CN$4&lt;&gt;""),CN$4&amp;"; ","")&amp;IF(AND(CO78="✓",CO$4&lt;&gt;""),CO$4&amp;"; ","")</f>
        <v/>
      </c>
      <c r="CQ78" s="104" t="str">
        <f aca="false">IF($CP78="","",LEFT($CP78,LEN($CP78)-2))</f>
        <v/>
      </c>
      <c r="CR78" s="234" t="str">
        <f aca="false">IF($A78="","",COUNTIF($D78:$CO78,"✓"))</f>
        <v/>
      </c>
    </row>
    <row r="79" customFormat="false" ht="21.75" hidden="false" customHeight="true" outlineLevel="0" collapsed="false">
      <c r="A79" s="231" t="str">
        <f aca="false">IF(03_能力總表_Master!$A79="","",03_能力總表_Master!$A79)</f>
        <v/>
      </c>
      <c r="B79" s="166" t="str">
        <f aca="false">IF(03_能力總表_Master!$A79="","",03_能力總表_Master!$B79)</f>
        <v/>
      </c>
      <c r="C79" s="95" t="str">
        <f aca="false">IF(03_能力總表_Master!$A79="","",03_能力總表_Master!$E79)</f>
        <v/>
      </c>
      <c r="D79" s="232"/>
      <c r="E79" s="232"/>
      <c r="F79" s="232"/>
      <c r="G79" s="232"/>
      <c r="H79" s="232"/>
      <c r="I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  <c r="AA79" s="232"/>
      <c r="AB79" s="232"/>
      <c r="AC79" s="232"/>
      <c r="AD79" s="232"/>
      <c r="AE79" s="232"/>
      <c r="AF79" s="232"/>
      <c r="AG79" s="232"/>
      <c r="AH79" s="232"/>
      <c r="AI79" s="232"/>
      <c r="AJ79" s="232"/>
      <c r="AK79" s="232"/>
      <c r="AL79" s="232"/>
      <c r="AM79" s="232"/>
      <c r="AN79" s="232"/>
      <c r="AO79" s="232"/>
      <c r="AP79" s="232"/>
      <c r="AQ79" s="232"/>
      <c r="AR79" s="232"/>
      <c r="AS79" s="232"/>
      <c r="AT79" s="232"/>
      <c r="AU79" s="232"/>
      <c r="AV79" s="232"/>
      <c r="AW79" s="232"/>
      <c r="AX79" s="232"/>
      <c r="AY79" s="232"/>
      <c r="AZ79" s="232"/>
      <c r="BA79" s="232"/>
      <c r="BB79" s="232"/>
      <c r="BC79" s="232"/>
      <c r="BD79" s="232"/>
      <c r="BE79" s="232"/>
      <c r="BF79" s="232"/>
      <c r="BG79" s="232"/>
      <c r="BH79" s="232"/>
      <c r="BI79" s="232"/>
      <c r="BJ79" s="232"/>
      <c r="BK79" s="232"/>
      <c r="BL79" s="232"/>
      <c r="BM79" s="232"/>
      <c r="BN79" s="232"/>
      <c r="BO79" s="232"/>
      <c r="BP79" s="232"/>
      <c r="BQ79" s="232"/>
      <c r="BR79" s="232"/>
      <c r="BS79" s="232"/>
      <c r="BT79" s="232"/>
      <c r="BU79" s="232"/>
      <c r="BV79" s="232"/>
      <c r="BW79" s="232"/>
      <c r="BX79" s="232"/>
      <c r="BY79" s="232"/>
      <c r="BZ79" s="232"/>
      <c r="CA79" s="232"/>
      <c r="CB79" s="232"/>
      <c r="CC79" s="232"/>
      <c r="CD79" s="232"/>
      <c r="CE79" s="232"/>
      <c r="CF79" s="232"/>
      <c r="CG79" s="232"/>
      <c r="CH79" s="232"/>
      <c r="CI79" s="232"/>
      <c r="CJ79" s="232"/>
      <c r="CK79" s="232"/>
      <c r="CL79" s="232"/>
      <c r="CM79" s="232"/>
      <c r="CN79" s="232"/>
      <c r="CO79" s="232"/>
      <c r="CP79" s="233" t="str">
        <f aca="false">IF(AND(D79="✓",D$4&lt;&gt;""),D$4&amp;"; ","")&amp;IF(AND(E79="✓",E$4&lt;&gt;""),E$4&amp;"; ","")&amp;IF(AND(F79="✓",F$4&lt;&gt;""),F$4&amp;"; ","")&amp;IF(AND(G79="✓",G$4&lt;&gt;""),G$4&amp;"; ","")&amp;IF(AND(H79="✓",H$4&lt;&gt;""),H$4&amp;"; ","")&amp;IF(AND(I79="✓",I$4&lt;&gt;""),I$4&amp;"; ","")&amp;IF(AND(J79="✓",J$4&lt;&gt;""),J$4&amp;"; ","")&amp;IF(AND(K79="✓",K$4&lt;&gt;""),K$4&amp;"; ","")&amp;IF(AND(L79="✓",L$4&lt;&gt;""),L$4&amp;"; ","")&amp;IF(AND(M79="✓",M$4&lt;&gt;""),M$4&amp;"; ","")&amp;IF(AND(N79="✓",N$4&lt;&gt;""),N$4&amp;"; ","")&amp;IF(AND(O79="✓",O$4&lt;&gt;""),O$4&amp;"; ","")&amp;IF(AND(P79="✓",P$4&lt;&gt;""),P$4&amp;"; ","")&amp;IF(AND(Q79="✓",Q$4&lt;&gt;""),Q$4&amp;"; ","")&amp;IF(AND(R79="✓",R$4&lt;&gt;""),R$4&amp;"; ","")&amp;IF(AND(S79="✓",S$4&lt;&gt;""),S$4&amp;"; ","")&amp;IF(AND(T79="✓",T$4&lt;&gt;""),T$4&amp;"; ","")&amp;IF(AND(U79="✓",U$4&lt;&gt;""),U$4&amp;"; ","")&amp;IF(AND(V79="✓",V$4&lt;&gt;""),V$4&amp;"; ","")&amp;IF(AND(W79="✓",W$4&lt;&gt;""),W$4&amp;"; ","")&amp;IF(AND(X79="✓",X$4&lt;&gt;""),X$4&amp;"; ","")&amp;IF(AND(Y79="✓",Y$4&lt;&gt;""),Y$4&amp;"; ","")&amp;IF(AND(Z79="✓",Z$4&lt;&gt;""),Z$4&amp;"; ","")&amp;IF(AND(AA79="✓",AA$4&lt;&gt;""),AA$4&amp;"; ","")&amp;IF(AND(AB79="✓",AB$4&lt;&gt;""),AB$4&amp;"; ","")&amp;IF(AND(AC79="✓",AC$4&lt;&gt;""),AC$4&amp;"; ","")&amp;IF(AND(AD79="✓",AD$4&lt;&gt;""),AD$4&amp;"; ","")&amp;IF(AND(AE79="✓",AE$4&lt;&gt;""),AE$4&amp;"; ","")&amp;IF(AND(AF79="✓",AF$4&lt;&gt;""),AF$4&amp;"; ","")&amp;IF(AND(AG79="✓",AG$4&lt;&gt;""),AG$4&amp;"; ","")&amp;IF(AND(AH79="✓",AH$4&lt;&gt;""),AH$4&amp;"; ","")&amp;IF(AND(AI79="✓",AI$4&lt;&gt;""),AI$4&amp;"; ","")&amp;IF(AND(AJ79="✓",AJ$4&lt;&gt;""),AJ$4&amp;"; ","")&amp;IF(AND(AK79="✓",AK$4&lt;&gt;""),AK$4&amp;"; ","")&amp;IF(AND(AL79="✓",AL$4&lt;&gt;""),AL$4&amp;"; ","")&amp;IF(AND(AM79="✓",AM$4&lt;&gt;""),AM$4&amp;"; ","")&amp;IF(AND(AN79="✓",AN$4&lt;&gt;""),AN$4&amp;"; ","")&amp;IF(AND(AO79="✓",AO$4&lt;&gt;""),AO$4&amp;"; ","")&amp;IF(AND(AP79="✓",AP$4&lt;&gt;""),AP$4&amp;"; ","")&amp;IF(AND(AQ79="✓",AQ$4&lt;&gt;""),AQ$4&amp;"; ","")&amp;IF(AND(AR79="✓",AR$4&lt;&gt;""),AR$4&amp;"; ","")&amp;IF(AND(AS79="✓",AS$4&lt;&gt;""),AS$4&amp;"; ","")&amp;IF(AND(AT79="✓",AT$4&lt;&gt;""),AT$4&amp;"; ","")&amp;IF(AND(AU79="✓",AU$4&lt;&gt;""),AU$4&amp;"; ","")&amp;IF(AND(AV79="✓",AV$4&lt;&gt;""),AV$4&amp;"; ","")&amp;IF(AND(AW79="✓",AW$4&lt;&gt;""),AW$4&amp;"; ","")&amp;IF(AND(AX79="✓",AX$4&lt;&gt;""),AX$4&amp;"; ","")&amp;IF(AND(AY79="✓",AY$4&lt;&gt;""),AY$4&amp;"; ","")&amp;IF(AND(AZ79="✓",AZ$4&lt;&gt;""),AZ$4&amp;"; ","")&amp;IF(AND(BA79="✓",BA$4&lt;&gt;""),BA$4&amp;"; ","")&amp;IF(AND(BB79="✓",BB$4&lt;&gt;""),BB$4&amp;"; ","")&amp;IF(AND(BC79="✓",BC$4&lt;&gt;""),BC$4&amp;"; ","")&amp;IF(AND(BD79="✓",BD$4&lt;&gt;""),BD$4&amp;"; ","")&amp;IF(AND(BE79="✓",BE$4&lt;&gt;""),BE$4&amp;"; ","")&amp;IF(AND(BF79="✓",BF$4&lt;&gt;""),BF$4&amp;"; ","")&amp;IF(AND(BG79="✓",BG$4&lt;&gt;""),BG$4&amp;"; ","")&amp;IF(AND(BH79="✓",BH$4&lt;&gt;""),BH$4&amp;"; ","")&amp;IF(AND(BI79="✓",BI$4&lt;&gt;""),BI$4&amp;"; ","")&amp;IF(AND(BJ79="✓",BJ$4&lt;&gt;""),BJ$4&amp;"; ","")&amp;IF(AND(BK79="✓",BK$4&lt;&gt;""),BK$4&amp;"; ","")&amp;IF(AND(BL79="✓",BL$4&lt;&gt;""),BL$4&amp;"; ","")&amp;IF(AND(BM79="✓",BM$4&lt;&gt;""),BM$4&amp;"; ","")&amp;IF(AND(BN79="✓",BN$4&lt;&gt;""),BN$4&amp;"; ","")&amp;IF(AND(BO79="✓",BO$4&lt;&gt;""),BO$4&amp;"; ","")&amp;IF(AND(BP79="✓",BP$4&lt;&gt;""),BP$4&amp;"; ","")&amp;IF(AND(BQ79="✓",BQ$4&lt;&gt;""),BQ$4&amp;"; ","")&amp;IF(AND(BR79="✓",BR$4&lt;&gt;""),BR$4&amp;"; ","")&amp;IF(AND(BS79="✓",BS$4&lt;&gt;""),BS$4&amp;"; ","")&amp;IF(AND(BT79="✓",BT$4&lt;&gt;""),BT$4&amp;"; ","")&amp;IF(AND(BU79="✓",BU$4&lt;&gt;""),BU$4&amp;"; ","")&amp;IF(AND(BV79="✓",BV$4&lt;&gt;""),BV$4&amp;"; ","")&amp;IF(AND(BW79="✓",BW$4&lt;&gt;""),BW$4&amp;"; ","")&amp;IF(AND(BX79="✓",BX$4&lt;&gt;""),BX$4&amp;"; ","")&amp;IF(AND(BY79="✓",BY$4&lt;&gt;""),BY$4&amp;"; ","")&amp;IF(AND(BZ79="✓",BZ$4&lt;&gt;""),BZ$4&amp;"; ","")&amp;IF(AND(CA79="✓",CA$4&lt;&gt;""),CA$4&amp;"; ","")&amp;IF(AND(CB79="✓",CB$4&lt;&gt;""),CB$4&amp;"; ","")&amp;IF(AND(CC79="✓",CC$4&lt;&gt;""),CC$4&amp;"; ","")&amp;IF(AND(CD79="✓",CD$4&lt;&gt;""),CD$4&amp;"; ","")&amp;IF(AND(CE79="✓",CE$4&lt;&gt;""),CE$4&amp;"; ","")&amp;IF(AND(CF79="✓",CF$4&lt;&gt;""),CF$4&amp;"; ","")&amp;IF(AND(CG79="✓",CG$4&lt;&gt;""),CG$4&amp;"; ","")&amp;IF(AND(CH79="✓",CH$4&lt;&gt;""),CH$4&amp;"; ","")&amp;IF(AND(CI79="✓",CI$4&lt;&gt;""),CI$4&amp;"; ","")&amp;IF(AND(CJ79="✓",CJ$4&lt;&gt;""),CJ$4&amp;"; ","")&amp;IF(AND(CK79="✓",CK$4&lt;&gt;""),CK$4&amp;"; ","")&amp;IF(AND(CL79="✓",CL$4&lt;&gt;""),CL$4&amp;"; ","")&amp;IF(AND(CM79="✓",CM$4&lt;&gt;""),CM$4&amp;"; ","")&amp;IF(AND(CN79="✓",CN$4&lt;&gt;""),CN$4&amp;"; ","")&amp;IF(AND(CO79="✓",CO$4&lt;&gt;""),CO$4&amp;"; ","")</f>
        <v/>
      </c>
      <c r="CQ79" s="104" t="str">
        <f aca="false">IF($CP79="","",LEFT($CP79,LEN($CP79)-2))</f>
        <v/>
      </c>
      <c r="CR79" s="234" t="str">
        <f aca="false">IF($A79="","",COUNTIF($D79:$CO79,"✓"))</f>
        <v/>
      </c>
    </row>
    <row r="80" customFormat="false" ht="21.75" hidden="false" customHeight="true" outlineLevel="0" collapsed="false">
      <c r="A80" s="231" t="str">
        <f aca="false">IF(03_能力總表_Master!$A80="","",03_能力總表_Master!$A80)</f>
        <v/>
      </c>
      <c r="B80" s="166" t="str">
        <f aca="false">IF(03_能力總表_Master!$A80="","",03_能力總表_Master!$B80)</f>
        <v/>
      </c>
      <c r="C80" s="95" t="str">
        <f aca="false">IF(03_能力總表_Master!$A80="","",03_能力總表_Master!$E80)</f>
        <v/>
      </c>
      <c r="D80" s="232"/>
      <c r="E80" s="232"/>
      <c r="F80" s="232"/>
      <c r="G80" s="232"/>
      <c r="H80" s="232"/>
      <c r="I80" s="232"/>
      <c r="J80" s="232"/>
      <c r="K80" s="232"/>
      <c r="L80" s="232"/>
      <c r="M80" s="232"/>
      <c r="N80" s="232"/>
      <c r="O80" s="232"/>
      <c r="P80" s="232"/>
      <c r="Q80" s="232"/>
      <c r="R80" s="232"/>
      <c r="S80" s="232"/>
      <c r="T80" s="232"/>
      <c r="U80" s="232"/>
      <c r="V80" s="232"/>
      <c r="W80" s="232"/>
      <c r="X80" s="232"/>
      <c r="Y80" s="232"/>
      <c r="Z80" s="232"/>
      <c r="AA80" s="232"/>
      <c r="AB80" s="232"/>
      <c r="AC80" s="232"/>
      <c r="AD80" s="232"/>
      <c r="AE80" s="232"/>
      <c r="AF80" s="232"/>
      <c r="AG80" s="232"/>
      <c r="AH80" s="232"/>
      <c r="AI80" s="232"/>
      <c r="AJ80" s="232"/>
      <c r="AK80" s="232"/>
      <c r="AL80" s="232"/>
      <c r="AM80" s="232"/>
      <c r="AN80" s="232"/>
      <c r="AO80" s="232"/>
      <c r="AP80" s="232"/>
      <c r="AQ80" s="232"/>
      <c r="AR80" s="232"/>
      <c r="AS80" s="232"/>
      <c r="AT80" s="232"/>
      <c r="AU80" s="232"/>
      <c r="AV80" s="232"/>
      <c r="AW80" s="232"/>
      <c r="AX80" s="232"/>
      <c r="AY80" s="232"/>
      <c r="AZ80" s="232"/>
      <c r="BA80" s="232"/>
      <c r="BB80" s="232"/>
      <c r="BC80" s="232"/>
      <c r="BD80" s="232"/>
      <c r="BE80" s="232"/>
      <c r="BF80" s="232"/>
      <c r="BG80" s="232"/>
      <c r="BH80" s="232"/>
      <c r="BI80" s="232"/>
      <c r="BJ80" s="232"/>
      <c r="BK80" s="232"/>
      <c r="BL80" s="232"/>
      <c r="BM80" s="232"/>
      <c r="BN80" s="232"/>
      <c r="BO80" s="232"/>
      <c r="BP80" s="232"/>
      <c r="BQ80" s="232"/>
      <c r="BR80" s="232"/>
      <c r="BS80" s="232"/>
      <c r="BT80" s="232"/>
      <c r="BU80" s="232"/>
      <c r="BV80" s="232"/>
      <c r="BW80" s="232"/>
      <c r="BX80" s="232"/>
      <c r="BY80" s="232"/>
      <c r="BZ80" s="232"/>
      <c r="CA80" s="232"/>
      <c r="CB80" s="232"/>
      <c r="CC80" s="232"/>
      <c r="CD80" s="232"/>
      <c r="CE80" s="232"/>
      <c r="CF80" s="232"/>
      <c r="CG80" s="232"/>
      <c r="CH80" s="232"/>
      <c r="CI80" s="232"/>
      <c r="CJ80" s="232"/>
      <c r="CK80" s="232"/>
      <c r="CL80" s="232"/>
      <c r="CM80" s="232"/>
      <c r="CN80" s="232"/>
      <c r="CO80" s="232"/>
      <c r="CP80" s="233" t="str">
        <f aca="false">IF(AND(D80="✓",D$4&lt;&gt;""),D$4&amp;"; ","")&amp;IF(AND(E80="✓",E$4&lt;&gt;""),E$4&amp;"; ","")&amp;IF(AND(F80="✓",F$4&lt;&gt;""),F$4&amp;"; ","")&amp;IF(AND(G80="✓",G$4&lt;&gt;""),G$4&amp;"; ","")&amp;IF(AND(H80="✓",H$4&lt;&gt;""),H$4&amp;"; ","")&amp;IF(AND(I80="✓",I$4&lt;&gt;""),I$4&amp;"; ","")&amp;IF(AND(J80="✓",J$4&lt;&gt;""),J$4&amp;"; ","")&amp;IF(AND(K80="✓",K$4&lt;&gt;""),K$4&amp;"; ","")&amp;IF(AND(L80="✓",L$4&lt;&gt;""),L$4&amp;"; ","")&amp;IF(AND(M80="✓",M$4&lt;&gt;""),M$4&amp;"; ","")&amp;IF(AND(N80="✓",N$4&lt;&gt;""),N$4&amp;"; ","")&amp;IF(AND(O80="✓",O$4&lt;&gt;""),O$4&amp;"; ","")&amp;IF(AND(P80="✓",P$4&lt;&gt;""),P$4&amp;"; ","")&amp;IF(AND(Q80="✓",Q$4&lt;&gt;""),Q$4&amp;"; ","")&amp;IF(AND(R80="✓",R$4&lt;&gt;""),R$4&amp;"; ","")&amp;IF(AND(S80="✓",S$4&lt;&gt;""),S$4&amp;"; ","")&amp;IF(AND(T80="✓",T$4&lt;&gt;""),T$4&amp;"; ","")&amp;IF(AND(U80="✓",U$4&lt;&gt;""),U$4&amp;"; ","")&amp;IF(AND(V80="✓",V$4&lt;&gt;""),V$4&amp;"; ","")&amp;IF(AND(W80="✓",W$4&lt;&gt;""),W$4&amp;"; ","")&amp;IF(AND(X80="✓",X$4&lt;&gt;""),X$4&amp;"; ","")&amp;IF(AND(Y80="✓",Y$4&lt;&gt;""),Y$4&amp;"; ","")&amp;IF(AND(Z80="✓",Z$4&lt;&gt;""),Z$4&amp;"; ","")&amp;IF(AND(AA80="✓",AA$4&lt;&gt;""),AA$4&amp;"; ","")&amp;IF(AND(AB80="✓",AB$4&lt;&gt;""),AB$4&amp;"; ","")&amp;IF(AND(AC80="✓",AC$4&lt;&gt;""),AC$4&amp;"; ","")&amp;IF(AND(AD80="✓",AD$4&lt;&gt;""),AD$4&amp;"; ","")&amp;IF(AND(AE80="✓",AE$4&lt;&gt;""),AE$4&amp;"; ","")&amp;IF(AND(AF80="✓",AF$4&lt;&gt;""),AF$4&amp;"; ","")&amp;IF(AND(AG80="✓",AG$4&lt;&gt;""),AG$4&amp;"; ","")&amp;IF(AND(AH80="✓",AH$4&lt;&gt;""),AH$4&amp;"; ","")&amp;IF(AND(AI80="✓",AI$4&lt;&gt;""),AI$4&amp;"; ","")&amp;IF(AND(AJ80="✓",AJ$4&lt;&gt;""),AJ$4&amp;"; ","")&amp;IF(AND(AK80="✓",AK$4&lt;&gt;""),AK$4&amp;"; ","")&amp;IF(AND(AL80="✓",AL$4&lt;&gt;""),AL$4&amp;"; ","")&amp;IF(AND(AM80="✓",AM$4&lt;&gt;""),AM$4&amp;"; ","")&amp;IF(AND(AN80="✓",AN$4&lt;&gt;""),AN$4&amp;"; ","")&amp;IF(AND(AO80="✓",AO$4&lt;&gt;""),AO$4&amp;"; ","")&amp;IF(AND(AP80="✓",AP$4&lt;&gt;""),AP$4&amp;"; ","")&amp;IF(AND(AQ80="✓",AQ$4&lt;&gt;""),AQ$4&amp;"; ","")&amp;IF(AND(AR80="✓",AR$4&lt;&gt;""),AR$4&amp;"; ","")&amp;IF(AND(AS80="✓",AS$4&lt;&gt;""),AS$4&amp;"; ","")&amp;IF(AND(AT80="✓",AT$4&lt;&gt;""),AT$4&amp;"; ","")&amp;IF(AND(AU80="✓",AU$4&lt;&gt;""),AU$4&amp;"; ","")&amp;IF(AND(AV80="✓",AV$4&lt;&gt;""),AV$4&amp;"; ","")&amp;IF(AND(AW80="✓",AW$4&lt;&gt;""),AW$4&amp;"; ","")&amp;IF(AND(AX80="✓",AX$4&lt;&gt;""),AX$4&amp;"; ","")&amp;IF(AND(AY80="✓",AY$4&lt;&gt;""),AY$4&amp;"; ","")&amp;IF(AND(AZ80="✓",AZ$4&lt;&gt;""),AZ$4&amp;"; ","")&amp;IF(AND(BA80="✓",BA$4&lt;&gt;""),BA$4&amp;"; ","")&amp;IF(AND(BB80="✓",BB$4&lt;&gt;""),BB$4&amp;"; ","")&amp;IF(AND(BC80="✓",BC$4&lt;&gt;""),BC$4&amp;"; ","")&amp;IF(AND(BD80="✓",BD$4&lt;&gt;""),BD$4&amp;"; ","")&amp;IF(AND(BE80="✓",BE$4&lt;&gt;""),BE$4&amp;"; ","")&amp;IF(AND(BF80="✓",BF$4&lt;&gt;""),BF$4&amp;"; ","")&amp;IF(AND(BG80="✓",BG$4&lt;&gt;""),BG$4&amp;"; ","")&amp;IF(AND(BH80="✓",BH$4&lt;&gt;""),BH$4&amp;"; ","")&amp;IF(AND(BI80="✓",BI$4&lt;&gt;""),BI$4&amp;"; ","")&amp;IF(AND(BJ80="✓",BJ$4&lt;&gt;""),BJ$4&amp;"; ","")&amp;IF(AND(BK80="✓",BK$4&lt;&gt;""),BK$4&amp;"; ","")&amp;IF(AND(BL80="✓",BL$4&lt;&gt;""),BL$4&amp;"; ","")&amp;IF(AND(BM80="✓",BM$4&lt;&gt;""),BM$4&amp;"; ","")&amp;IF(AND(BN80="✓",BN$4&lt;&gt;""),BN$4&amp;"; ","")&amp;IF(AND(BO80="✓",BO$4&lt;&gt;""),BO$4&amp;"; ","")&amp;IF(AND(BP80="✓",BP$4&lt;&gt;""),BP$4&amp;"; ","")&amp;IF(AND(BQ80="✓",BQ$4&lt;&gt;""),BQ$4&amp;"; ","")&amp;IF(AND(BR80="✓",BR$4&lt;&gt;""),BR$4&amp;"; ","")&amp;IF(AND(BS80="✓",BS$4&lt;&gt;""),BS$4&amp;"; ","")&amp;IF(AND(BT80="✓",BT$4&lt;&gt;""),BT$4&amp;"; ","")&amp;IF(AND(BU80="✓",BU$4&lt;&gt;""),BU$4&amp;"; ","")&amp;IF(AND(BV80="✓",BV$4&lt;&gt;""),BV$4&amp;"; ","")&amp;IF(AND(BW80="✓",BW$4&lt;&gt;""),BW$4&amp;"; ","")&amp;IF(AND(BX80="✓",BX$4&lt;&gt;""),BX$4&amp;"; ","")&amp;IF(AND(BY80="✓",BY$4&lt;&gt;""),BY$4&amp;"; ","")&amp;IF(AND(BZ80="✓",BZ$4&lt;&gt;""),BZ$4&amp;"; ","")&amp;IF(AND(CA80="✓",CA$4&lt;&gt;""),CA$4&amp;"; ","")&amp;IF(AND(CB80="✓",CB$4&lt;&gt;""),CB$4&amp;"; ","")&amp;IF(AND(CC80="✓",CC$4&lt;&gt;""),CC$4&amp;"; ","")&amp;IF(AND(CD80="✓",CD$4&lt;&gt;""),CD$4&amp;"; ","")&amp;IF(AND(CE80="✓",CE$4&lt;&gt;""),CE$4&amp;"; ","")&amp;IF(AND(CF80="✓",CF$4&lt;&gt;""),CF$4&amp;"; ","")&amp;IF(AND(CG80="✓",CG$4&lt;&gt;""),CG$4&amp;"; ","")&amp;IF(AND(CH80="✓",CH$4&lt;&gt;""),CH$4&amp;"; ","")&amp;IF(AND(CI80="✓",CI$4&lt;&gt;""),CI$4&amp;"; ","")&amp;IF(AND(CJ80="✓",CJ$4&lt;&gt;""),CJ$4&amp;"; ","")&amp;IF(AND(CK80="✓",CK$4&lt;&gt;""),CK$4&amp;"; ","")&amp;IF(AND(CL80="✓",CL$4&lt;&gt;""),CL$4&amp;"; ","")&amp;IF(AND(CM80="✓",CM$4&lt;&gt;""),CM$4&amp;"; ","")&amp;IF(AND(CN80="✓",CN$4&lt;&gt;""),CN$4&amp;"; ","")&amp;IF(AND(CO80="✓",CO$4&lt;&gt;""),CO$4&amp;"; ","")</f>
        <v/>
      </c>
      <c r="CQ80" s="104" t="str">
        <f aca="false">IF($CP80="","",LEFT($CP80,LEN($CP80)-2))</f>
        <v/>
      </c>
      <c r="CR80" s="234" t="str">
        <f aca="false">IF($A80="","",COUNTIF($D80:$CO80,"✓"))</f>
        <v/>
      </c>
    </row>
    <row r="81" customFormat="false" ht="21.75" hidden="false" customHeight="true" outlineLevel="0" collapsed="false">
      <c r="A81" s="231" t="str">
        <f aca="false">IF(03_能力總表_Master!$A81="","",03_能力總表_Master!$A81)</f>
        <v/>
      </c>
      <c r="B81" s="166" t="str">
        <f aca="false">IF(03_能力總表_Master!$A81="","",03_能力總表_Master!$B81)</f>
        <v/>
      </c>
      <c r="C81" s="95" t="str">
        <f aca="false">IF(03_能力總表_Master!$A81="","",03_能力總表_Master!$E81)</f>
        <v/>
      </c>
      <c r="D81" s="232"/>
      <c r="E81" s="232"/>
      <c r="F81" s="232"/>
      <c r="G81" s="232"/>
      <c r="H81" s="232"/>
      <c r="I81" s="232"/>
      <c r="J81" s="232"/>
      <c r="K81" s="232"/>
      <c r="L81" s="232"/>
      <c r="M81" s="232"/>
      <c r="N81" s="232"/>
      <c r="O81" s="232"/>
      <c r="P81" s="232"/>
      <c r="Q81" s="232"/>
      <c r="R81" s="232"/>
      <c r="S81" s="232"/>
      <c r="T81" s="232"/>
      <c r="U81" s="232"/>
      <c r="V81" s="232"/>
      <c r="W81" s="232"/>
      <c r="X81" s="232"/>
      <c r="Y81" s="232"/>
      <c r="Z81" s="232"/>
      <c r="AA81" s="232"/>
      <c r="AB81" s="232"/>
      <c r="AC81" s="232"/>
      <c r="AD81" s="232"/>
      <c r="AE81" s="232"/>
      <c r="AF81" s="232"/>
      <c r="AG81" s="232"/>
      <c r="AH81" s="232"/>
      <c r="AI81" s="232"/>
      <c r="AJ81" s="232"/>
      <c r="AK81" s="232"/>
      <c r="AL81" s="232"/>
      <c r="AM81" s="232"/>
      <c r="AN81" s="232"/>
      <c r="AO81" s="232"/>
      <c r="AP81" s="232"/>
      <c r="AQ81" s="232"/>
      <c r="AR81" s="232"/>
      <c r="AS81" s="232"/>
      <c r="AT81" s="232"/>
      <c r="AU81" s="232"/>
      <c r="AV81" s="232"/>
      <c r="AW81" s="232"/>
      <c r="AX81" s="232"/>
      <c r="AY81" s="232"/>
      <c r="AZ81" s="232"/>
      <c r="BA81" s="232"/>
      <c r="BB81" s="232"/>
      <c r="BC81" s="232"/>
      <c r="BD81" s="232"/>
      <c r="BE81" s="232"/>
      <c r="BF81" s="232"/>
      <c r="BG81" s="232"/>
      <c r="BH81" s="232"/>
      <c r="BI81" s="232"/>
      <c r="BJ81" s="232"/>
      <c r="BK81" s="232"/>
      <c r="BL81" s="232"/>
      <c r="BM81" s="232"/>
      <c r="BN81" s="232"/>
      <c r="BO81" s="232"/>
      <c r="BP81" s="232"/>
      <c r="BQ81" s="232"/>
      <c r="BR81" s="232"/>
      <c r="BS81" s="232"/>
      <c r="BT81" s="232"/>
      <c r="BU81" s="232"/>
      <c r="BV81" s="232"/>
      <c r="BW81" s="232"/>
      <c r="BX81" s="232"/>
      <c r="BY81" s="232"/>
      <c r="BZ81" s="232"/>
      <c r="CA81" s="232"/>
      <c r="CB81" s="232"/>
      <c r="CC81" s="232"/>
      <c r="CD81" s="232"/>
      <c r="CE81" s="232"/>
      <c r="CF81" s="232"/>
      <c r="CG81" s="232"/>
      <c r="CH81" s="232"/>
      <c r="CI81" s="232"/>
      <c r="CJ81" s="232"/>
      <c r="CK81" s="232"/>
      <c r="CL81" s="232"/>
      <c r="CM81" s="232"/>
      <c r="CN81" s="232"/>
      <c r="CO81" s="232"/>
      <c r="CP81" s="233" t="str">
        <f aca="false">IF(AND(D81="✓",D$4&lt;&gt;""),D$4&amp;"; ","")&amp;IF(AND(E81="✓",E$4&lt;&gt;""),E$4&amp;"; ","")&amp;IF(AND(F81="✓",F$4&lt;&gt;""),F$4&amp;"; ","")&amp;IF(AND(G81="✓",G$4&lt;&gt;""),G$4&amp;"; ","")&amp;IF(AND(H81="✓",H$4&lt;&gt;""),H$4&amp;"; ","")&amp;IF(AND(I81="✓",I$4&lt;&gt;""),I$4&amp;"; ","")&amp;IF(AND(J81="✓",J$4&lt;&gt;""),J$4&amp;"; ","")&amp;IF(AND(K81="✓",K$4&lt;&gt;""),K$4&amp;"; ","")&amp;IF(AND(L81="✓",L$4&lt;&gt;""),L$4&amp;"; ","")&amp;IF(AND(M81="✓",M$4&lt;&gt;""),M$4&amp;"; ","")&amp;IF(AND(N81="✓",N$4&lt;&gt;""),N$4&amp;"; ","")&amp;IF(AND(O81="✓",O$4&lt;&gt;""),O$4&amp;"; ","")&amp;IF(AND(P81="✓",P$4&lt;&gt;""),P$4&amp;"; ","")&amp;IF(AND(Q81="✓",Q$4&lt;&gt;""),Q$4&amp;"; ","")&amp;IF(AND(R81="✓",R$4&lt;&gt;""),R$4&amp;"; ","")&amp;IF(AND(S81="✓",S$4&lt;&gt;""),S$4&amp;"; ","")&amp;IF(AND(T81="✓",T$4&lt;&gt;""),T$4&amp;"; ","")&amp;IF(AND(U81="✓",U$4&lt;&gt;""),U$4&amp;"; ","")&amp;IF(AND(V81="✓",V$4&lt;&gt;""),V$4&amp;"; ","")&amp;IF(AND(W81="✓",W$4&lt;&gt;""),W$4&amp;"; ","")&amp;IF(AND(X81="✓",X$4&lt;&gt;""),X$4&amp;"; ","")&amp;IF(AND(Y81="✓",Y$4&lt;&gt;""),Y$4&amp;"; ","")&amp;IF(AND(Z81="✓",Z$4&lt;&gt;""),Z$4&amp;"; ","")&amp;IF(AND(AA81="✓",AA$4&lt;&gt;""),AA$4&amp;"; ","")&amp;IF(AND(AB81="✓",AB$4&lt;&gt;""),AB$4&amp;"; ","")&amp;IF(AND(AC81="✓",AC$4&lt;&gt;""),AC$4&amp;"; ","")&amp;IF(AND(AD81="✓",AD$4&lt;&gt;""),AD$4&amp;"; ","")&amp;IF(AND(AE81="✓",AE$4&lt;&gt;""),AE$4&amp;"; ","")&amp;IF(AND(AF81="✓",AF$4&lt;&gt;""),AF$4&amp;"; ","")&amp;IF(AND(AG81="✓",AG$4&lt;&gt;""),AG$4&amp;"; ","")&amp;IF(AND(AH81="✓",AH$4&lt;&gt;""),AH$4&amp;"; ","")&amp;IF(AND(AI81="✓",AI$4&lt;&gt;""),AI$4&amp;"; ","")&amp;IF(AND(AJ81="✓",AJ$4&lt;&gt;""),AJ$4&amp;"; ","")&amp;IF(AND(AK81="✓",AK$4&lt;&gt;""),AK$4&amp;"; ","")&amp;IF(AND(AL81="✓",AL$4&lt;&gt;""),AL$4&amp;"; ","")&amp;IF(AND(AM81="✓",AM$4&lt;&gt;""),AM$4&amp;"; ","")&amp;IF(AND(AN81="✓",AN$4&lt;&gt;""),AN$4&amp;"; ","")&amp;IF(AND(AO81="✓",AO$4&lt;&gt;""),AO$4&amp;"; ","")&amp;IF(AND(AP81="✓",AP$4&lt;&gt;""),AP$4&amp;"; ","")&amp;IF(AND(AQ81="✓",AQ$4&lt;&gt;""),AQ$4&amp;"; ","")&amp;IF(AND(AR81="✓",AR$4&lt;&gt;""),AR$4&amp;"; ","")&amp;IF(AND(AS81="✓",AS$4&lt;&gt;""),AS$4&amp;"; ","")&amp;IF(AND(AT81="✓",AT$4&lt;&gt;""),AT$4&amp;"; ","")&amp;IF(AND(AU81="✓",AU$4&lt;&gt;""),AU$4&amp;"; ","")&amp;IF(AND(AV81="✓",AV$4&lt;&gt;""),AV$4&amp;"; ","")&amp;IF(AND(AW81="✓",AW$4&lt;&gt;""),AW$4&amp;"; ","")&amp;IF(AND(AX81="✓",AX$4&lt;&gt;""),AX$4&amp;"; ","")&amp;IF(AND(AY81="✓",AY$4&lt;&gt;""),AY$4&amp;"; ","")&amp;IF(AND(AZ81="✓",AZ$4&lt;&gt;""),AZ$4&amp;"; ","")&amp;IF(AND(BA81="✓",BA$4&lt;&gt;""),BA$4&amp;"; ","")&amp;IF(AND(BB81="✓",BB$4&lt;&gt;""),BB$4&amp;"; ","")&amp;IF(AND(BC81="✓",BC$4&lt;&gt;""),BC$4&amp;"; ","")&amp;IF(AND(BD81="✓",BD$4&lt;&gt;""),BD$4&amp;"; ","")&amp;IF(AND(BE81="✓",BE$4&lt;&gt;""),BE$4&amp;"; ","")&amp;IF(AND(BF81="✓",BF$4&lt;&gt;""),BF$4&amp;"; ","")&amp;IF(AND(BG81="✓",BG$4&lt;&gt;""),BG$4&amp;"; ","")&amp;IF(AND(BH81="✓",BH$4&lt;&gt;""),BH$4&amp;"; ","")&amp;IF(AND(BI81="✓",BI$4&lt;&gt;""),BI$4&amp;"; ","")&amp;IF(AND(BJ81="✓",BJ$4&lt;&gt;""),BJ$4&amp;"; ","")&amp;IF(AND(BK81="✓",BK$4&lt;&gt;""),BK$4&amp;"; ","")&amp;IF(AND(BL81="✓",BL$4&lt;&gt;""),BL$4&amp;"; ","")&amp;IF(AND(BM81="✓",BM$4&lt;&gt;""),BM$4&amp;"; ","")&amp;IF(AND(BN81="✓",BN$4&lt;&gt;""),BN$4&amp;"; ","")&amp;IF(AND(BO81="✓",BO$4&lt;&gt;""),BO$4&amp;"; ","")&amp;IF(AND(BP81="✓",BP$4&lt;&gt;""),BP$4&amp;"; ","")&amp;IF(AND(BQ81="✓",BQ$4&lt;&gt;""),BQ$4&amp;"; ","")&amp;IF(AND(BR81="✓",BR$4&lt;&gt;""),BR$4&amp;"; ","")&amp;IF(AND(BS81="✓",BS$4&lt;&gt;""),BS$4&amp;"; ","")&amp;IF(AND(BT81="✓",BT$4&lt;&gt;""),BT$4&amp;"; ","")&amp;IF(AND(BU81="✓",BU$4&lt;&gt;""),BU$4&amp;"; ","")&amp;IF(AND(BV81="✓",BV$4&lt;&gt;""),BV$4&amp;"; ","")&amp;IF(AND(BW81="✓",BW$4&lt;&gt;""),BW$4&amp;"; ","")&amp;IF(AND(BX81="✓",BX$4&lt;&gt;""),BX$4&amp;"; ","")&amp;IF(AND(BY81="✓",BY$4&lt;&gt;""),BY$4&amp;"; ","")&amp;IF(AND(BZ81="✓",BZ$4&lt;&gt;""),BZ$4&amp;"; ","")&amp;IF(AND(CA81="✓",CA$4&lt;&gt;""),CA$4&amp;"; ","")&amp;IF(AND(CB81="✓",CB$4&lt;&gt;""),CB$4&amp;"; ","")&amp;IF(AND(CC81="✓",CC$4&lt;&gt;""),CC$4&amp;"; ","")&amp;IF(AND(CD81="✓",CD$4&lt;&gt;""),CD$4&amp;"; ","")&amp;IF(AND(CE81="✓",CE$4&lt;&gt;""),CE$4&amp;"; ","")&amp;IF(AND(CF81="✓",CF$4&lt;&gt;""),CF$4&amp;"; ","")&amp;IF(AND(CG81="✓",CG$4&lt;&gt;""),CG$4&amp;"; ","")&amp;IF(AND(CH81="✓",CH$4&lt;&gt;""),CH$4&amp;"; ","")&amp;IF(AND(CI81="✓",CI$4&lt;&gt;""),CI$4&amp;"; ","")&amp;IF(AND(CJ81="✓",CJ$4&lt;&gt;""),CJ$4&amp;"; ","")&amp;IF(AND(CK81="✓",CK$4&lt;&gt;""),CK$4&amp;"; ","")&amp;IF(AND(CL81="✓",CL$4&lt;&gt;""),CL$4&amp;"; ","")&amp;IF(AND(CM81="✓",CM$4&lt;&gt;""),CM$4&amp;"; ","")&amp;IF(AND(CN81="✓",CN$4&lt;&gt;""),CN$4&amp;"; ","")&amp;IF(AND(CO81="✓",CO$4&lt;&gt;""),CO$4&amp;"; ","")</f>
        <v/>
      </c>
      <c r="CQ81" s="104" t="str">
        <f aca="false">IF($CP81="","",LEFT($CP81,LEN($CP81)-2))</f>
        <v/>
      </c>
      <c r="CR81" s="234" t="str">
        <f aca="false">IF($A81="","",COUNTIF($D81:$CO81,"✓"))</f>
        <v/>
      </c>
    </row>
    <row r="82" customFormat="false" ht="21.75" hidden="false" customHeight="true" outlineLevel="0" collapsed="false">
      <c r="A82" s="231" t="str">
        <f aca="false">IF(03_能力總表_Master!$A82="","",03_能力總表_Master!$A82)</f>
        <v/>
      </c>
      <c r="B82" s="166" t="str">
        <f aca="false">IF(03_能力總表_Master!$A82="","",03_能力總表_Master!$B82)</f>
        <v/>
      </c>
      <c r="C82" s="95" t="str">
        <f aca="false">IF(03_能力總表_Master!$A82="","",03_能力總表_Master!$E82)</f>
        <v/>
      </c>
      <c r="D82" s="232"/>
      <c r="E82" s="232"/>
      <c r="F82" s="232"/>
      <c r="G82" s="232"/>
      <c r="H82" s="232"/>
      <c r="I82" s="232"/>
      <c r="J82" s="232"/>
      <c r="K82" s="232"/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232"/>
      <c r="Z82" s="232"/>
      <c r="AA82" s="232"/>
      <c r="AB82" s="232"/>
      <c r="AC82" s="232"/>
      <c r="AD82" s="232"/>
      <c r="AE82" s="232"/>
      <c r="AF82" s="232"/>
      <c r="AG82" s="232"/>
      <c r="AH82" s="232"/>
      <c r="AI82" s="232"/>
      <c r="AJ82" s="232"/>
      <c r="AK82" s="232"/>
      <c r="AL82" s="232"/>
      <c r="AM82" s="232"/>
      <c r="AN82" s="232"/>
      <c r="AO82" s="232"/>
      <c r="AP82" s="232"/>
      <c r="AQ82" s="232"/>
      <c r="AR82" s="232"/>
      <c r="AS82" s="232"/>
      <c r="AT82" s="232"/>
      <c r="AU82" s="232"/>
      <c r="AV82" s="232"/>
      <c r="AW82" s="232"/>
      <c r="AX82" s="232"/>
      <c r="AY82" s="232"/>
      <c r="AZ82" s="232"/>
      <c r="BA82" s="232"/>
      <c r="BB82" s="232"/>
      <c r="BC82" s="232"/>
      <c r="BD82" s="232"/>
      <c r="BE82" s="232"/>
      <c r="BF82" s="232"/>
      <c r="BG82" s="232"/>
      <c r="BH82" s="232"/>
      <c r="BI82" s="232"/>
      <c r="BJ82" s="232"/>
      <c r="BK82" s="232"/>
      <c r="BL82" s="232"/>
      <c r="BM82" s="232"/>
      <c r="BN82" s="232"/>
      <c r="BO82" s="232"/>
      <c r="BP82" s="232"/>
      <c r="BQ82" s="232"/>
      <c r="BR82" s="232"/>
      <c r="BS82" s="232"/>
      <c r="BT82" s="232"/>
      <c r="BU82" s="232"/>
      <c r="BV82" s="232"/>
      <c r="BW82" s="232"/>
      <c r="BX82" s="232"/>
      <c r="BY82" s="232"/>
      <c r="BZ82" s="232"/>
      <c r="CA82" s="232"/>
      <c r="CB82" s="232"/>
      <c r="CC82" s="232"/>
      <c r="CD82" s="232"/>
      <c r="CE82" s="232"/>
      <c r="CF82" s="232"/>
      <c r="CG82" s="232"/>
      <c r="CH82" s="232"/>
      <c r="CI82" s="232"/>
      <c r="CJ82" s="232"/>
      <c r="CK82" s="232"/>
      <c r="CL82" s="232"/>
      <c r="CM82" s="232"/>
      <c r="CN82" s="232"/>
      <c r="CO82" s="232"/>
      <c r="CP82" s="233" t="str">
        <f aca="false">IF(AND(D82="✓",D$4&lt;&gt;""),D$4&amp;"; ","")&amp;IF(AND(E82="✓",E$4&lt;&gt;""),E$4&amp;"; ","")&amp;IF(AND(F82="✓",F$4&lt;&gt;""),F$4&amp;"; ","")&amp;IF(AND(G82="✓",G$4&lt;&gt;""),G$4&amp;"; ","")&amp;IF(AND(H82="✓",H$4&lt;&gt;""),H$4&amp;"; ","")&amp;IF(AND(I82="✓",I$4&lt;&gt;""),I$4&amp;"; ","")&amp;IF(AND(J82="✓",J$4&lt;&gt;""),J$4&amp;"; ","")&amp;IF(AND(K82="✓",K$4&lt;&gt;""),K$4&amp;"; ","")&amp;IF(AND(L82="✓",L$4&lt;&gt;""),L$4&amp;"; ","")&amp;IF(AND(M82="✓",M$4&lt;&gt;""),M$4&amp;"; ","")&amp;IF(AND(N82="✓",N$4&lt;&gt;""),N$4&amp;"; ","")&amp;IF(AND(O82="✓",O$4&lt;&gt;""),O$4&amp;"; ","")&amp;IF(AND(P82="✓",P$4&lt;&gt;""),P$4&amp;"; ","")&amp;IF(AND(Q82="✓",Q$4&lt;&gt;""),Q$4&amp;"; ","")&amp;IF(AND(R82="✓",R$4&lt;&gt;""),R$4&amp;"; ","")&amp;IF(AND(S82="✓",S$4&lt;&gt;""),S$4&amp;"; ","")&amp;IF(AND(T82="✓",T$4&lt;&gt;""),T$4&amp;"; ","")&amp;IF(AND(U82="✓",U$4&lt;&gt;""),U$4&amp;"; ","")&amp;IF(AND(V82="✓",V$4&lt;&gt;""),V$4&amp;"; ","")&amp;IF(AND(W82="✓",W$4&lt;&gt;""),W$4&amp;"; ","")&amp;IF(AND(X82="✓",X$4&lt;&gt;""),X$4&amp;"; ","")&amp;IF(AND(Y82="✓",Y$4&lt;&gt;""),Y$4&amp;"; ","")&amp;IF(AND(Z82="✓",Z$4&lt;&gt;""),Z$4&amp;"; ","")&amp;IF(AND(AA82="✓",AA$4&lt;&gt;""),AA$4&amp;"; ","")&amp;IF(AND(AB82="✓",AB$4&lt;&gt;""),AB$4&amp;"; ","")&amp;IF(AND(AC82="✓",AC$4&lt;&gt;""),AC$4&amp;"; ","")&amp;IF(AND(AD82="✓",AD$4&lt;&gt;""),AD$4&amp;"; ","")&amp;IF(AND(AE82="✓",AE$4&lt;&gt;""),AE$4&amp;"; ","")&amp;IF(AND(AF82="✓",AF$4&lt;&gt;""),AF$4&amp;"; ","")&amp;IF(AND(AG82="✓",AG$4&lt;&gt;""),AG$4&amp;"; ","")&amp;IF(AND(AH82="✓",AH$4&lt;&gt;""),AH$4&amp;"; ","")&amp;IF(AND(AI82="✓",AI$4&lt;&gt;""),AI$4&amp;"; ","")&amp;IF(AND(AJ82="✓",AJ$4&lt;&gt;""),AJ$4&amp;"; ","")&amp;IF(AND(AK82="✓",AK$4&lt;&gt;""),AK$4&amp;"; ","")&amp;IF(AND(AL82="✓",AL$4&lt;&gt;""),AL$4&amp;"; ","")&amp;IF(AND(AM82="✓",AM$4&lt;&gt;""),AM$4&amp;"; ","")&amp;IF(AND(AN82="✓",AN$4&lt;&gt;""),AN$4&amp;"; ","")&amp;IF(AND(AO82="✓",AO$4&lt;&gt;""),AO$4&amp;"; ","")&amp;IF(AND(AP82="✓",AP$4&lt;&gt;""),AP$4&amp;"; ","")&amp;IF(AND(AQ82="✓",AQ$4&lt;&gt;""),AQ$4&amp;"; ","")&amp;IF(AND(AR82="✓",AR$4&lt;&gt;""),AR$4&amp;"; ","")&amp;IF(AND(AS82="✓",AS$4&lt;&gt;""),AS$4&amp;"; ","")&amp;IF(AND(AT82="✓",AT$4&lt;&gt;""),AT$4&amp;"; ","")&amp;IF(AND(AU82="✓",AU$4&lt;&gt;""),AU$4&amp;"; ","")&amp;IF(AND(AV82="✓",AV$4&lt;&gt;""),AV$4&amp;"; ","")&amp;IF(AND(AW82="✓",AW$4&lt;&gt;""),AW$4&amp;"; ","")&amp;IF(AND(AX82="✓",AX$4&lt;&gt;""),AX$4&amp;"; ","")&amp;IF(AND(AY82="✓",AY$4&lt;&gt;""),AY$4&amp;"; ","")&amp;IF(AND(AZ82="✓",AZ$4&lt;&gt;""),AZ$4&amp;"; ","")&amp;IF(AND(BA82="✓",BA$4&lt;&gt;""),BA$4&amp;"; ","")&amp;IF(AND(BB82="✓",BB$4&lt;&gt;""),BB$4&amp;"; ","")&amp;IF(AND(BC82="✓",BC$4&lt;&gt;""),BC$4&amp;"; ","")&amp;IF(AND(BD82="✓",BD$4&lt;&gt;""),BD$4&amp;"; ","")&amp;IF(AND(BE82="✓",BE$4&lt;&gt;""),BE$4&amp;"; ","")&amp;IF(AND(BF82="✓",BF$4&lt;&gt;""),BF$4&amp;"; ","")&amp;IF(AND(BG82="✓",BG$4&lt;&gt;""),BG$4&amp;"; ","")&amp;IF(AND(BH82="✓",BH$4&lt;&gt;""),BH$4&amp;"; ","")&amp;IF(AND(BI82="✓",BI$4&lt;&gt;""),BI$4&amp;"; ","")&amp;IF(AND(BJ82="✓",BJ$4&lt;&gt;""),BJ$4&amp;"; ","")&amp;IF(AND(BK82="✓",BK$4&lt;&gt;""),BK$4&amp;"; ","")&amp;IF(AND(BL82="✓",BL$4&lt;&gt;""),BL$4&amp;"; ","")&amp;IF(AND(BM82="✓",BM$4&lt;&gt;""),BM$4&amp;"; ","")&amp;IF(AND(BN82="✓",BN$4&lt;&gt;""),BN$4&amp;"; ","")&amp;IF(AND(BO82="✓",BO$4&lt;&gt;""),BO$4&amp;"; ","")&amp;IF(AND(BP82="✓",BP$4&lt;&gt;""),BP$4&amp;"; ","")&amp;IF(AND(BQ82="✓",BQ$4&lt;&gt;""),BQ$4&amp;"; ","")&amp;IF(AND(BR82="✓",BR$4&lt;&gt;""),BR$4&amp;"; ","")&amp;IF(AND(BS82="✓",BS$4&lt;&gt;""),BS$4&amp;"; ","")&amp;IF(AND(BT82="✓",BT$4&lt;&gt;""),BT$4&amp;"; ","")&amp;IF(AND(BU82="✓",BU$4&lt;&gt;""),BU$4&amp;"; ","")&amp;IF(AND(BV82="✓",BV$4&lt;&gt;""),BV$4&amp;"; ","")&amp;IF(AND(BW82="✓",BW$4&lt;&gt;""),BW$4&amp;"; ","")&amp;IF(AND(BX82="✓",BX$4&lt;&gt;""),BX$4&amp;"; ","")&amp;IF(AND(BY82="✓",BY$4&lt;&gt;""),BY$4&amp;"; ","")&amp;IF(AND(BZ82="✓",BZ$4&lt;&gt;""),BZ$4&amp;"; ","")&amp;IF(AND(CA82="✓",CA$4&lt;&gt;""),CA$4&amp;"; ","")&amp;IF(AND(CB82="✓",CB$4&lt;&gt;""),CB$4&amp;"; ","")&amp;IF(AND(CC82="✓",CC$4&lt;&gt;""),CC$4&amp;"; ","")&amp;IF(AND(CD82="✓",CD$4&lt;&gt;""),CD$4&amp;"; ","")&amp;IF(AND(CE82="✓",CE$4&lt;&gt;""),CE$4&amp;"; ","")&amp;IF(AND(CF82="✓",CF$4&lt;&gt;""),CF$4&amp;"; ","")&amp;IF(AND(CG82="✓",CG$4&lt;&gt;""),CG$4&amp;"; ","")&amp;IF(AND(CH82="✓",CH$4&lt;&gt;""),CH$4&amp;"; ","")&amp;IF(AND(CI82="✓",CI$4&lt;&gt;""),CI$4&amp;"; ","")&amp;IF(AND(CJ82="✓",CJ$4&lt;&gt;""),CJ$4&amp;"; ","")&amp;IF(AND(CK82="✓",CK$4&lt;&gt;""),CK$4&amp;"; ","")&amp;IF(AND(CL82="✓",CL$4&lt;&gt;""),CL$4&amp;"; ","")&amp;IF(AND(CM82="✓",CM$4&lt;&gt;""),CM$4&amp;"; ","")&amp;IF(AND(CN82="✓",CN$4&lt;&gt;""),CN$4&amp;"; ","")&amp;IF(AND(CO82="✓",CO$4&lt;&gt;""),CO$4&amp;"; ","")</f>
        <v/>
      </c>
      <c r="CQ82" s="104" t="str">
        <f aca="false">IF($CP82="","",LEFT($CP82,LEN($CP82)-2))</f>
        <v/>
      </c>
      <c r="CR82" s="234" t="str">
        <f aca="false">IF($A82="","",COUNTIF($D82:$CO82,"✓"))</f>
        <v/>
      </c>
    </row>
    <row r="83" customFormat="false" ht="21.75" hidden="false" customHeight="true" outlineLevel="0" collapsed="false">
      <c r="A83" s="231" t="str">
        <f aca="false">IF(03_能力總表_Master!$A83="","",03_能力總表_Master!$A83)</f>
        <v/>
      </c>
      <c r="B83" s="166" t="str">
        <f aca="false">IF(03_能力總表_Master!$A83="","",03_能力總表_Master!$B83)</f>
        <v/>
      </c>
      <c r="C83" s="95" t="str">
        <f aca="false">IF(03_能力總表_Master!$A83="","",03_能力總表_Master!$E83)</f>
        <v/>
      </c>
      <c r="D83" s="232"/>
      <c r="E83" s="232"/>
      <c r="F83" s="232"/>
      <c r="G83" s="232"/>
      <c r="H83" s="232"/>
      <c r="I83" s="232"/>
      <c r="J83" s="232"/>
      <c r="K83" s="232"/>
      <c r="L83" s="232"/>
      <c r="M83" s="232"/>
      <c r="N83" s="232"/>
      <c r="O83" s="232"/>
      <c r="P83" s="232"/>
      <c r="Q83" s="232"/>
      <c r="R83" s="232"/>
      <c r="S83" s="232"/>
      <c r="T83" s="232"/>
      <c r="U83" s="232"/>
      <c r="V83" s="232"/>
      <c r="W83" s="232"/>
      <c r="X83" s="232"/>
      <c r="Y83" s="232"/>
      <c r="Z83" s="232"/>
      <c r="AA83" s="232"/>
      <c r="AB83" s="232"/>
      <c r="AC83" s="232"/>
      <c r="AD83" s="232"/>
      <c r="AE83" s="232"/>
      <c r="AF83" s="232"/>
      <c r="AG83" s="232"/>
      <c r="AH83" s="232"/>
      <c r="AI83" s="232"/>
      <c r="AJ83" s="232"/>
      <c r="AK83" s="232"/>
      <c r="AL83" s="232"/>
      <c r="AM83" s="232"/>
      <c r="AN83" s="232"/>
      <c r="AO83" s="232"/>
      <c r="AP83" s="232"/>
      <c r="AQ83" s="232"/>
      <c r="AR83" s="232"/>
      <c r="AS83" s="232"/>
      <c r="AT83" s="232"/>
      <c r="AU83" s="232"/>
      <c r="AV83" s="232"/>
      <c r="AW83" s="232"/>
      <c r="AX83" s="232"/>
      <c r="AY83" s="232"/>
      <c r="AZ83" s="232"/>
      <c r="BA83" s="232"/>
      <c r="BB83" s="232"/>
      <c r="BC83" s="232"/>
      <c r="BD83" s="232"/>
      <c r="BE83" s="232"/>
      <c r="BF83" s="232"/>
      <c r="BG83" s="232"/>
      <c r="BH83" s="232"/>
      <c r="BI83" s="232"/>
      <c r="BJ83" s="232"/>
      <c r="BK83" s="232"/>
      <c r="BL83" s="232"/>
      <c r="BM83" s="232"/>
      <c r="BN83" s="232"/>
      <c r="BO83" s="232"/>
      <c r="BP83" s="232"/>
      <c r="BQ83" s="232"/>
      <c r="BR83" s="232"/>
      <c r="BS83" s="232"/>
      <c r="BT83" s="232"/>
      <c r="BU83" s="232"/>
      <c r="BV83" s="232"/>
      <c r="BW83" s="232"/>
      <c r="BX83" s="232"/>
      <c r="BY83" s="232"/>
      <c r="BZ83" s="232"/>
      <c r="CA83" s="232"/>
      <c r="CB83" s="232"/>
      <c r="CC83" s="232"/>
      <c r="CD83" s="232"/>
      <c r="CE83" s="232"/>
      <c r="CF83" s="232"/>
      <c r="CG83" s="232"/>
      <c r="CH83" s="232"/>
      <c r="CI83" s="232"/>
      <c r="CJ83" s="232"/>
      <c r="CK83" s="232"/>
      <c r="CL83" s="232"/>
      <c r="CM83" s="232"/>
      <c r="CN83" s="232"/>
      <c r="CO83" s="232"/>
      <c r="CP83" s="233" t="str">
        <f aca="false">IF(AND(D83="✓",D$4&lt;&gt;""),D$4&amp;"; ","")&amp;IF(AND(E83="✓",E$4&lt;&gt;""),E$4&amp;"; ","")&amp;IF(AND(F83="✓",F$4&lt;&gt;""),F$4&amp;"; ","")&amp;IF(AND(G83="✓",G$4&lt;&gt;""),G$4&amp;"; ","")&amp;IF(AND(H83="✓",H$4&lt;&gt;""),H$4&amp;"; ","")&amp;IF(AND(I83="✓",I$4&lt;&gt;""),I$4&amp;"; ","")&amp;IF(AND(J83="✓",J$4&lt;&gt;""),J$4&amp;"; ","")&amp;IF(AND(K83="✓",K$4&lt;&gt;""),K$4&amp;"; ","")&amp;IF(AND(L83="✓",L$4&lt;&gt;""),L$4&amp;"; ","")&amp;IF(AND(M83="✓",M$4&lt;&gt;""),M$4&amp;"; ","")&amp;IF(AND(N83="✓",N$4&lt;&gt;""),N$4&amp;"; ","")&amp;IF(AND(O83="✓",O$4&lt;&gt;""),O$4&amp;"; ","")&amp;IF(AND(P83="✓",P$4&lt;&gt;""),P$4&amp;"; ","")&amp;IF(AND(Q83="✓",Q$4&lt;&gt;""),Q$4&amp;"; ","")&amp;IF(AND(R83="✓",R$4&lt;&gt;""),R$4&amp;"; ","")&amp;IF(AND(S83="✓",S$4&lt;&gt;""),S$4&amp;"; ","")&amp;IF(AND(T83="✓",T$4&lt;&gt;""),T$4&amp;"; ","")&amp;IF(AND(U83="✓",U$4&lt;&gt;""),U$4&amp;"; ","")&amp;IF(AND(V83="✓",V$4&lt;&gt;""),V$4&amp;"; ","")&amp;IF(AND(W83="✓",W$4&lt;&gt;""),W$4&amp;"; ","")&amp;IF(AND(X83="✓",X$4&lt;&gt;""),X$4&amp;"; ","")&amp;IF(AND(Y83="✓",Y$4&lt;&gt;""),Y$4&amp;"; ","")&amp;IF(AND(Z83="✓",Z$4&lt;&gt;""),Z$4&amp;"; ","")&amp;IF(AND(AA83="✓",AA$4&lt;&gt;""),AA$4&amp;"; ","")&amp;IF(AND(AB83="✓",AB$4&lt;&gt;""),AB$4&amp;"; ","")&amp;IF(AND(AC83="✓",AC$4&lt;&gt;""),AC$4&amp;"; ","")&amp;IF(AND(AD83="✓",AD$4&lt;&gt;""),AD$4&amp;"; ","")&amp;IF(AND(AE83="✓",AE$4&lt;&gt;""),AE$4&amp;"; ","")&amp;IF(AND(AF83="✓",AF$4&lt;&gt;""),AF$4&amp;"; ","")&amp;IF(AND(AG83="✓",AG$4&lt;&gt;""),AG$4&amp;"; ","")&amp;IF(AND(AH83="✓",AH$4&lt;&gt;""),AH$4&amp;"; ","")&amp;IF(AND(AI83="✓",AI$4&lt;&gt;""),AI$4&amp;"; ","")&amp;IF(AND(AJ83="✓",AJ$4&lt;&gt;""),AJ$4&amp;"; ","")&amp;IF(AND(AK83="✓",AK$4&lt;&gt;""),AK$4&amp;"; ","")&amp;IF(AND(AL83="✓",AL$4&lt;&gt;""),AL$4&amp;"; ","")&amp;IF(AND(AM83="✓",AM$4&lt;&gt;""),AM$4&amp;"; ","")&amp;IF(AND(AN83="✓",AN$4&lt;&gt;""),AN$4&amp;"; ","")&amp;IF(AND(AO83="✓",AO$4&lt;&gt;""),AO$4&amp;"; ","")&amp;IF(AND(AP83="✓",AP$4&lt;&gt;""),AP$4&amp;"; ","")&amp;IF(AND(AQ83="✓",AQ$4&lt;&gt;""),AQ$4&amp;"; ","")&amp;IF(AND(AR83="✓",AR$4&lt;&gt;""),AR$4&amp;"; ","")&amp;IF(AND(AS83="✓",AS$4&lt;&gt;""),AS$4&amp;"; ","")&amp;IF(AND(AT83="✓",AT$4&lt;&gt;""),AT$4&amp;"; ","")&amp;IF(AND(AU83="✓",AU$4&lt;&gt;""),AU$4&amp;"; ","")&amp;IF(AND(AV83="✓",AV$4&lt;&gt;""),AV$4&amp;"; ","")&amp;IF(AND(AW83="✓",AW$4&lt;&gt;""),AW$4&amp;"; ","")&amp;IF(AND(AX83="✓",AX$4&lt;&gt;""),AX$4&amp;"; ","")&amp;IF(AND(AY83="✓",AY$4&lt;&gt;""),AY$4&amp;"; ","")&amp;IF(AND(AZ83="✓",AZ$4&lt;&gt;""),AZ$4&amp;"; ","")&amp;IF(AND(BA83="✓",BA$4&lt;&gt;""),BA$4&amp;"; ","")&amp;IF(AND(BB83="✓",BB$4&lt;&gt;""),BB$4&amp;"; ","")&amp;IF(AND(BC83="✓",BC$4&lt;&gt;""),BC$4&amp;"; ","")&amp;IF(AND(BD83="✓",BD$4&lt;&gt;""),BD$4&amp;"; ","")&amp;IF(AND(BE83="✓",BE$4&lt;&gt;""),BE$4&amp;"; ","")&amp;IF(AND(BF83="✓",BF$4&lt;&gt;""),BF$4&amp;"; ","")&amp;IF(AND(BG83="✓",BG$4&lt;&gt;""),BG$4&amp;"; ","")&amp;IF(AND(BH83="✓",BH$4&lt;&gt;""),BH$4&amp;"; ","")&amp;IF(AND(BI83="✓",BI$4&lt;&gt;""),BI$4&amp;"; ","")&amp;IF(AND(BJ83="✓",BJ$4&lt;&gt;""),BJ$4&amp;"; ","")&amp;IF(AND(BK83="✓",BK$4&lt;&gt;""),BK$4&amp;"; ","")&amp;IF(AND(BL83="✓",BL$4&lt;&gt;""),BL$4&amp;"; ","")&amp;IF(AND(BM83="✓",BM$4&lt;&gt;""),BM$4&amp;"; ","")&amp;IF(AND(BN83="✓",BN$4&lt;&gt;""),BN$4&amp;"; ","")&amp;IF(AND(BO83="✓",BO$4&lt;&gt;""),BO$4&amp;"; ","")&amp;IF(AND(BP83="✓",BP$4&lt;&gt;""),BP$4&amp;"; ","")&amp;IF(AND(BQ83="✓",BQ$4&lt;&gt;""),BQ$4&amp;"; ","")&amp;IF(AND(BR83="✓",BR$4&lt;&gt;""),BR$4&amp;"; ","")&amp;IF(AND(BS83="✓",BS$4&lt;&gt;""),BS$4&amp;"; ","")&amp;IF(AND(BT83="✓",BT$4&lt;&gt;""),BT$4&amp;"; ","")&amp;IF(AND(BU83="✓",BU$4&lt;&gt;""),BU$4&amp;"; ","")&amp;IF(AND(BV83="✓",BV$4&lt;&gt;""),BV$4&amp;"; ","")&amp;IF(AND(BW83="✓",BW$4&lt;&gt;""),BW$4&amp;"; ","")&amp;IF(AND(BX83="✓",BX$4&lt;&gt;""),BX$4&amp;"; ","")&amp;IF(AND(BY83="✓",BY$4&lt;&gt;""),BY$4&amp;"; ","")&amp;IF(AND(BZ83="✓",BZ$4&lt;&gt;""),BZ$4&amp;"; ","")&amp;IF(AND(CA83="✓",CA$4&lt;&gt;""),CA$4&amp;"; ","")&amp;IF(AND(CB83="✓",CB$4&lt;&gt;""),CB$4&amp;"; ","")&amp;IF(AND(CC83="✓",CC$4&lt;&gt;""),CC$4&amp;"; ","")&amp;IF(AND(CD83="✓",CD$4&lt;&gt;""),CD$4&amp;"; ","")&amp;IF(AND(CE83="✓",CE$4&lt;&gt;""),CE$4&amp;"; ","")&amp;IF(AND(CF83="✓",CF$4&lt;&gt;""),CF$4&amp;"; ","")&amp;IF(AND(CG83="✓",CG$4&lt;&gt;""),CG$4&amp;"; ","")&amp;IF(AND(CH83="✓",CH$4&lt;&gt;""),CH$4&amp;"; ","")&amp;IF(AND(CI83="✓",CI$4&lt;&gt;""),CI$4&amp;"; ","")&amp;IF(AND(CJ83="✓",CJ$4&lt;&gt;""),CJ$4&amp;"; ","")&amp;IF(AND(CK83="✓",CK$4&lt;&gt;""),CK$4&amp;"; ","")&amp;IF(AND(CL83="✓",CL$4&lt;&gt;""),CL$4&amp;"; ","")&amp;IF(AND(CM83="✓",CM$4&lt;&gt;""),CM$4&amp;"; ","")&amp;IF(AND(CN83="✓",CN$4&lt;&gt;""),CN$4&amp;"; ","")&amp;IF(AND(CO83="✓",CO$4&lt;&gt;""),CO$4&amp;"; ","")</f>
        <v/>
      </c>
      <c r="CQ83" s="104" t="str">
        <f aca="false">IF($CP83="","",LEFT($CP83,LEN($CP83)-2))</f>
        <v/>
      </c>
      <c r="CR83" s="234" t="str">
        <f aca="false">IF($A83="","",COUNTIF($D83:$CO83,"✓"))</f>
        <v/>
      </c>
    </row>
    <row r="84" customFormat="false" ht="21.75" hidden="false" customHeight="true" outlineLevel="0" collapsed="false">
      <c r="A84" s="231" t="str">
        <f aca="false">IF(03_能力總表_Master!$A84="","",03_能力總表_Master!$A84)</f>
        <v/>
      </c>
      <c r="B84" s="166" t="str">
        <f aca="false">IF(03_能力總表_Master!$A84="","",03_能力總表_Master!$B84)</f>
        <v/>
      </c>
      <c r="C84" s="95" t="str">
        <f aca="false">IF(03_能力總表_Master!$A84="","",03_能力總表_Master!$E84)</f>
        <v/>
      </c>
      <c r="D84" s="232"/>
      <c r="E84" s="232"/>
      <c r="F84" s="232"/>
      <c r="G84" s="232"/>
      <c r="H84" s="232"/>
      <c r="I84" s="232"/>
      <c r="J84" s="232"/>
      <c r="K84" s="232"/>
      <c r="L84" s="232"/>
      <c r="M84" s="232"/>
      <c r="N84" s="232"/>
      <c r="O84" s="232"/>
      <c r="P84" s="232"/>
      <c r="Q84" s="232"/>
      <c r="R84" s="232"/>
      <c r="S84" s="232"/>
      <c r="T84" s="232"/>
      <c r="U84" s="232"/>
      <c r="V84" s="232"/>
      <c r="W84" s="232"/>
      <c r="X84" s="232"/>
      <c r="Y84" s="232"/>
      <c r="Z84" s="232"/>
      <c r="AA84" s="232"/>
      <c r="AB84" s="232"/>
      <c r="AC84" s="232"/>
      <c r="AD84" s="232"/>
      <c r="AE84" s="232"/>
      <c r="AF84" s="232"/>
      <c r="AG84" s="232"/>
      <c r="AH84" s="232"/>
      <c r="AI84" s="232"/>
      <c r="AJ84" s="232"/>
      <c r="AK84" s="232"/>
      <c r="AL84" s="232"/>
      <c r="AM84" s="232"/>
      <c r="AN84" s="232"/>
      <c r="AO84" s="232"/>
      <c r="AP84" s="232"/>
      <c r="AQ84" s="232"/>
      <c r="AR84" s="232"/>
      <c r="AS84" s="232"/>
      <c r="AT84" s="232"/>
      <c r="AU84" s="232"/>
      <c r="AV84" s="232"/>
      <c r="AW84" s="232"/>
      <c r="AX84" s="232"/>
      <c r="AY84" s="232"/>
      <c r="AZ84" s="232"/>
      <c r="BA84" s="232"/>
      <c r="BB84" s="232"/>
      <c r="BC84" s="232"/>
      <c r="BD84" s="232"/>
      <c r="BE84" s="232"/>
      <c r="BF84" s="232"/>
      <c r="BG84" s="232"/>
      <c r="BH84" s="232"/>
      <c r="BI84" s="232"/>
      <c r="BJ84" s="232"/>
      <c r="BK84" s="232"/>
      <c r="BL84" s="232"/>
      <c r="BM84" s="232"/>
      <c r="BN84" s="232"/>
      <c r="BO84" s="232"/>
      <c r="BP84" s="232"/>
      <c r="BQ84" s="232"/>
      <c r="BR84" s="232"/>
      <c r="BS84" s="232"/>
      <c r="BT84" s="232"/>
      <c r="BU84" s="232"/>
      <c r="BV84" s="232"/>
      <c r="BW84" s="232"/>
      <c r="BX84" s="232"/>
      <c r="BY84" s="232"/>
      <c r="BZ84" s="232"/>
      <c r="CA84" s="232"/>
      <c r="CB84" s="232"/>
      <c r="CC84" s="232"/>
      <c r="CD84" s="232"/>
      <c r="CE84" s="232"/>
      <c r="CF84" s="232"/>
      <c r="CG84" s="232"/>
      <c r="CH84" s="232"/>
      <c r="CI84" s="232"/>
      <c r="CJ84" s="232"/>
      <c r="CK84" s="232"/>
      <c r="CL84" s="232"/>
      <c r="CM84" s="232"/>
      <c r="CN84" s="232"/>
      <c r="CO84" s="232"/>
      <c r="CP84" s="233" t="str">
        <f aca="false">IF(AND(D84="✓",D$4&lt;&gt;""),D$4&amp;"; ","")&amp;IF(AND(E84="✓",E$4&lt;&gt;""),E$4&amp;"; ","")&amp;IF(AND(F84="✓",F$4&lt;&gt;""),F$4&amp;"; ","")&amp;IF(AND(G84="✓",G$4&lt;&gt;""),G$4&amp;"; ","")&amp;IF(AND(H84="✓",H$4&lt;&gt;""),H$4&amp;"; ","")&amp;IF(AND(I84="✓",I$4&lt;&gt;""),I$4&amp;"; ","")&amp;IF(AND(J84="✓",J$4&lt;&gt;""),J$4&amp;"; ","")&amp;IF(AND(K84="✓",K$4&lt;&gt;""),K$4&amp;"; ","")&amp;IF(AND(L84="✓",L$4&lt;&gt;""),L$4&amp;"; ","")&amp;IF(AND(M84="✓",M$4&lt;&gt;""),M$4&amp;"; ","")&amp;IF(AND(N84="✓",N$4&lt;&gt;""),N$4&amp;"; ","")&amp;IF(AND(O84="✓",O$4&lt;&gt;""),O$4&amp;"; ","")&amp;IF(AND(P84="✓",P$4&lt;&gt;""),P$4&amp;"; ","")&amp;IF(AND(Q84="✓",Q$4&lt;&gt;""),Q$4&amp;"; ","")&amp;IF(AND(R84="✓",R$4&lt;&gt;""),R$4&amp;"; ","")&amp;IF(AND(S84="✓",S$4&lt;&gt;""),S$4&amp;"; ","")&amp;IF(AND(T84="✓",T$4&lt;&gt;""),T$4&amp;"; ","")&amp;IF(AND(U84="✓",U$4&lt;&gt;""),U$4&amp;"; ","")&amp;IF(AND(V84="✓",V$4&lt;&gt;""),V$4&amp;"; ","")&amp;IF(AND(W84="✓",W$4&lt;&gt;""),W$4&amp;"; ","")&amp;IF(AND(X84="✓",X$4&lt;&gt;""),X$4&amp;"; ","")&amp;IF(AND(Y84="✓",Y$4&lt;&gt;""),Y$4&amp;"; ","")&amp;IF(AND(Z84="✓",Z$4&lt;&gt;""),Z$4&amp;"; ","")&amp;IF(AND(AA84="✓",AA$4&lt;&gt;""),AA$4&amp;"; ","")&amp;IF(AND(AB84="✓",AB$4&lt;&gt;""),AB$4&amp;"; ","")&amp;IF(AND(AC84="✓",AC$4&lt;&gt;""),AC$4&amp;"; ","")&amp;IF(AND(AD84="✓",AD$4&lt;&gt;""),AD$4&amp;"; ","")&amp;IF(AND(AE84="✓",AE$4&lt;&gt;""),AE$4&amp;"; ","")&amp;IF(AND(AF84="✓",AF$4&lt;&gt;""),AF$4&amp;"; ","")&amp;IF(AND(AG84="✓",AG$4&lt;&gt;""),AG$4&amp;"; ","")&amp;IF(AND(AH84="✓",AH$4&lt;&gt;""),AH$4&amp;"; ","")&amp;IF(AND(AI84="✓",AI$4&lt;&gt;""),AI$4&amp;"; ","")&amp;IF(AND(AJ84="✓",AJ$4&lt;&gt;""),AJ$4&amp;"; ","")&amp;IF(AND(AK84="✓",AK$4&lt;&gt;""),AK$4&amp;"; ","")&amp;IF(AND(AL84="✓",AL$4&lt;&gt;""),AL$4&amp;"; ","")&amp;IF(AND(AM84="✓",AM$4&lt;&gt;""),AM$4&amp;"; ","")&amp;IF(AND(AN84="✓",AN$4&lt;&gt;""),AN$4&amp;"; ","")&amp;IF(AND(AO84="✓",AO$4&lt;&gt;""),AO$4&amp;"; ","")&amp;IF(AND(AP84="✓",AP$4&lt;&gt;""),AP$4&amp;"; ","")&amp;IF(AND(AQ84="✓",AQ$4&lt;&gt;""),AQ$4&amp;"; ","")&amp;IF(AND(AR84="✓",AR$4&lt;&gt;""),AR$4&amp;"; ","")&amp;IF(AND(AS84="✓",AS$4&lt;&gt;""),AS$4&amp;"; ","")&amp;IF(AND(AT84="✓",AT$4&lt;&gt;""),AT$4&amp;"; ","")&amp;IF(AND(AU84="✓",AU$4&lt;&gt;""),AU$4&amp;"; ","")&amp;IF(AND(AV84="✓",AV$4&lt;&gt;""),AV$4&amp;"; ","")&amp;IF(AND(AW84="✓",AW$4&lt;&gt;""),AW$4&amp;"; ","")&amp;IF(AND(AX84="✓",AX$4&lt;&gt;""),AX$4&amp;"; ","")&amp;IF(AND(AY84="✓",AY$4&lt;&gt;""),AY$4&amp;"; ","")&amp;IF(AND(AZ84="✓",AZ$4&lt;&gt;""),AZ$4&amp;"; ","")&amp;IF(AND(BA84="✓",BA$4&lt;&gt;""),BA$4&amp;"; ","")&amp;IF(AND(BB84="✓",BB$4&lt;&gt;""),BB$4&amp;"; ","")&amp;IF(AND(BC84="✓",BC$4&lt;&gt;""),BC$4&amp;"; ","")&amp;IF(AND(BD84="✓",BD$4&lt;&gt;""),BD$4&amp;"; ","")&amp;IF(AND(BE84="✓",BE$4&lt;&gt;""),BE$4&amp;"; ","")&amp;IF(AND(BF84="✓",BF$4&lt;&gt;""),BF$4&amp;"; ","")&amp;IF(AND(BG84="✓",BG$4&lt;&gt;""),BG$4&amp;"; ","")&amp;IF(AND(BH84="✓",BH$4&lt;&gt;""),BH$4&amp;"; ","")&amp;IF(AND(BI84="✓",BI$4&lt;&gt;""),BI$4&amp;"; ","")&amp;IF(AND(BJ84="✓",BJ$4&lt;&gt;""),BJ$4&amp;"; ","")&amp;IF(AND(BK84="✓",BK$4&lt;&gt;""),BK$4&amp;"; ","")&amp;IF(AND(BL84="✓",BL$4&lt;&gt;""),BL$4&amp;"; ","")&amp;IF(AND(BM84="✓",BM$4&lt;&gt;""),BM$4&amp;"; ","")&amp;IF(AND(BN84="✓",BN$4&lt;&gt;""),BN$4&amp;"; ","")&amp;IF(AND(BO84="✓",BO$4&lt;&gt;""),BO$4&amp;"; ","")&amp;IF(AND(BP84="✓",BP$4&lt;&gt;""),BP$4&amp;"; ","")&amp;IF(AND(BQ84="✓",BQ$4&lt;&gt;""),BQ$4&amp;"; ","")&amp;IF(AND(BR84="✓",BR$4&lt;&gt;""),BR$4&amp;"; ","")&amp;IF(AND(BS84="✓",BS$4&lt;&gt;""),BS$4&amp;"; ","")&amp;IF(AND(BT84="✓",BT$4&lt;&gt;""),BT$4&amp;"; ","")&amp;IF(AND(BU84="✓",BU$4&lt;&gt;""),BU$4&amp;"; ","")&amp;IF(AND(BV84="✓",BV$4&lt;&gt;""),BV$4&amp;"; ","")&amp;IF(AND(BW84="✓",BW$4&lt;&gt;""),BW$4&amp;"; ","")&amp;IF(AND(BX84="✓",BX$4&lt;&gt;""),BX$4&amp;"; ","")&amp;IF(AND(BY84="✓",BY$4&lt;&gt;""),BY$4&amp;"; ","")&amp;IF(AND(BZ84="✓",BZ$4&lt;&gt;""),BZ$4&amp;"; ","")&amp;IF(AND(CA84="✓",CA$4&lt;&gt;""),CA$4&amp;"; ","")&amp;IF(AND(CB84="✓",CB$4&lt;&gt;""),CB$4&amp;"; ","")&amp;IF(AND(CC84="✓",CC$4&lt;&gt;""),CC$4&amp;"; ","")&amp;IF(AND(CD84="✓",CD$4&lt;&gt;""),CD$4&amp;"; ","")&amp;IF(AND(CE84="✓",CE$4&lt;&gt;""),CE$4&amp;"; ","")&amp;IF(AND(CF84="✓",CF$4&lt;&gt;""),CF$4&amp;"; ","")&amp;IF(AND(CG84="✓",CG$4&lt;&gt;""),CG$4&amp;"; ","")&amp;IF(AND(CH84="✓",CH$4&lt;&gt;""),CH$4&amp;"; ","")&amp;IF(AND(CI84="✓",CI$4&lt;&gt;""),CI$4&amp;"; ","")&amp;IF(AND(CJ84="✓",CJ$4&lt;&gt;""),CJ$4&amp;"; ","")&amp;IF(AND(CK84="✓",CK$4&lt;&gt;""),CK$4&amp;"; ","")&amp;IF(AND(CL84="✓",CL$4&lt;&gt;""),CL$4&amp;"; ","")&amp;IF(AND(CM84="✓",CM$4&lt;&gt;""),CM$4&amp;"; ","")&amp;IF(AND(CN84="✓",CN$4&lt;&gt;""),CN$4&amp;"; ","")&amp;IF(AND(CO84="✓",CO$4&lt;&gt;""),CO$4&amp;"; ","")</f>
        <v/>
      </c>
      <c r="CQ84" s="104" t="str">
        <f aca="false">IF($CP84="","",LEFT($CP84,LEN($CP84)-2))</f>
        <v/>
      </c>
      <c r="CR84" s="234" t="str">
        <f aca="false">IF($A84="","",COUNTIF($D84:$CO84,"✓"))</f>
        <v/>
      </c>
    </row>
    <row r="85" customFormat="false" ht="21.75" hidden="false" customHeight="true" outlineLevel="0" collapsed="false">
      <c r="A85" s="231" t="str">
        <f aca="false">IF(03_能力總表_Master!$A85="","",03_能力總表_Master!$A85)</f>
        <v/>
      </c>
      <c r="B85" s="166" t="str">
        <f aca="false">IF(03_能力總表_Master!$A85="","",03_能力總表_Master!$B85)</f>
        <v/>
      </c>
      <c r="C85" s="95" t="str">
        <f aca="false">IF(03_能力總表_Master!$A85="","",03_能力總表_Master!$E85)</f>
        <v/>
      </c>
      <c r="D85" s="232"/>
      <c r="E85" s="232"/>
      <c r="F85" s="232"/>
      <c r="G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  <c r="AA85" s="232"/>
      <c r="AB85" s="232"/>
      <c r="AC85" s="232"/>
      <c r="AD85" s="232"/>
      <c r="AE85" s="232"/>
      <c r="AF85" s="232"/>
      <c r="AG85" s="232"/>
      <c r="AH85" s="232"/>
      <c r="AI85" s="232"/>
      <c r="AJ85" s="232"/>
      <c r="AK85" s="232"/>
      <c r="AL85" s="232"/>
      <c r="AM85" s="232"/>
      <c r="AN85" s="232"/>
      <c r="AO85" s="232"/>
      <c r="AP85" s="232"/>
      <c r="AQ85" s="232"/>
      <c r="AR85" s="232"/>
      <c r="AS85" s="232"/>
      <c r="AT85" s="232"/>
      <c r="AU85" s="232"/>
      <c r="AV85" s="232"/>
      <c r="AW85" s="232"/>
      <c r="AX85" s="232"/>
      <c r="AY85" s="232"/>
      <c r="AZ85" s="232"/>
      <c r="BA85" s="232"/>
      <c r="BB85" s="232"/>
      <c r="BC85" s="232"/>
      <c r="BD85" s="232"/>
      <c r="BE85" s="232"/>
      <c r="BF85" s="232"/>
      <c r="BG85" s="232"/>
      <c r="BH85" s="232"/>
      <c r="BI85" s="232"/>
      <c r="BJ85" s="232"/>
      <c r="BK85" s="232"/>
      <c r="BL85" s="232"/>
      <c r="BM85" s="232"/>
      <c r="BN85" s="232"/>
      <c r="BO85" s="232"/>
      <c r="BP85" s="232"/>
      <c r="BQ85" s="232"/>
      <c r="BR85" s="232"/>
      <c r="BS85" s="232"/>
      <c r="BT85" s="232"/>
      <c r="BU85" s="232"/>
      <c r="BV85" s="232"/>
      <c r="BW85" s="232"/>
      <c r="BX85" s="232"/>
      <c r="BY85" s="232"/>
      <c r="BZ85" s="232"/>
      <c r="CA85" s="232"/>
      <c r="CB85" s="232"/>
      <c r="CC85" s="232"/>
      <c r="CD85" s="232"/>
      <c r="CE85" s="232"/>
      <c r="CF85" s="232"/>
      <c r="CG85" s="232"/>
      <c r="CH85" s="232"/>
      <c r="CI85" s="232"/>
      <c r="CJ85" s="232"/>
      <c r="CK85" s="232"/>
      <c r="CL85" s="232"/>
      <c r="CM85" s="232"/>
      <c r="CN85" s="232"/>
      <c r="CO85" s="232"/>
      <c r="CP85" s="233" t="str">
        <f aca="false">IF(AND(D85="✓",D$4&lt;&gt;""),D$4&amp;"; ","")&amp;IF(AND(E85="✓",E$4&lt;&gt;""),E$4&amp;"; ","")&amp;IF(AND(F85="✓",F$4&lt;&gt;""),F$4&amp;"; ","")&amp;IF(AND(G85="✓",G$4&lt;&gt;""),G$4&amp;"; ","")&amp;IF(AND(H85="✓",H$4&lt;&gt;""),H$4&amp;"; ","")&amp;IF(AND(I85="✓",I$4&lt;&gt;""),I$4&amp;"; ","")&amp;IF(AND(J85="✓",J$4&lt;&gt;""),J$4&amp;"; ","")&amp;IF(AND(K85="✓",K$4&lt;&gt;""),K$4&amp;"; ","")&amp;IF(AND(L85="✓",L$4&lt;&gt;""),L$4&amp;"; ","")&amp;IF(AND(M85="✓",M$4&lt;&gt;""),M$4&amp;"; ","")&amp;IF(AND(N85="✓",N$4&lt;&gt;""),N$4&amp;"; ","")&amp;IF(AND(O85="✓",O$4&lt;&gt;""),O$4&amp;"; ","")&amp;IF(AND(P85="✓",P$4&lt;&gt;""),P$4&amp;"; ","")&amp;IF(AND(Q85="✓",Q$4&lt;&gt;""),Q$4&amp;"; ","")&amp;IF(AND(R85="✓",R$4&lt;&gt;""),R$4&amp;"; ","")&amp;IF(AND(S85="✓",S$4&lt;&gt;""),S$4&amp;"; ","")&amp;IF(AND(T85="✓",T$4&lt;&gt;""),T$4&amp;"; ","")&amp;IF(AND(U85="✓",U$4&lt;&gt;""),U$4&amp;"; ","")&amp;IF(AND(V85="✓",V$4&lt;&gt;""),V$4&amp;"; ","")&amp;IF(AND(W85="✓",W$4&lt;&gt;""),W$4&amp;"; ","")&amp;IF(AND(X85="✓",X$4&lt;&gt;""),X$4&amp;"; ","")&amp;IF(AND(Y85="✓",Y$4&lt;&gt;""),Y$4&amp;"; ","")&amp;IF(AND(Z85="✓",Z$4&lt;&gt;""),Z$4&amp;"; ","")&amp;IF(AND(AA85="✓",AA$4&lt;&gt;""),AA$4&amp;"; ","")&amp;IF(AND(AB85="✓",AB$4&lt;&gt;""),AB$4&amp;"; ","")&amp;IF(AND(AC85="✓",AC$4&lt;&gt;""),AC$4&amp;"; ","")&amp;IF(AND(AD85="✓",AD$4&lt;&gt;""),AD$4&amp;"; ","")&amp;IF(AND(AE85="✓",AE$4&lt;&gt;""),AE$4&amp;"; ","")&amp;IF(AND(AF85="✓",AF$4&lt;&gt;""),AF$4&amp;"; ","")&amp;IF(AND(AG85="✓",AG$4&lt;&gt;""),AG$4&amp;"; ","")&amp;IF(AND(AH85="✓",AH$4&lt;&gt;""),AH$4&amp;"; ","")&amp;IF(AND(AI85="✓",AI$4&lt;&gt;""),AI$4&amp;"; ","")&amp;IF(AND(AJ85="✓",AJ$4&lt;&gt;""),AJ$4&amp;"; ","")&amp;IF(AND(AK85="✓",AK$4&lt;&gt;""),AK$4&amp;"; ","")&amp;IF(AND(AL85="✓",AL$4&lt;&gt;""),AL$4&amp;"; ","")&amp;IF(AND(AM85="✓",AM$4&lt;&gt;""),AM$4&amp;"; ","")&amp;IF(AND(AN85="✓",AN$4&lt;&gt;""),AN$4&amp;"; ","")&amp;IF(AND(AO85="✓",AO$4&lt;&gt;""),AO$4&amp;"; ","")&amp;IF(AND(AP85="✓",AP$4&lt;&gt;""),AP$4&amp;"; ","")&amp;IF(AND(AQ85="✓",AQ$4&lt;&gt;""),AQ$4&amp;"; ","")&amp;IF(AND(AR85="✓",AR$4&lt;&gt;""),AR$4&amp;"; ","")&amp;IF(AND(AS85="✓",AS$4&lt;&gt;""),AS$4&amp;"; ","")&amp;IF(AND(AT85="✓",AT$4&lt;&gt;""),AT$4&amp;"; ","")&amp;IF(AND(AU85="✓",AU$4&lt;&gt;""),AU$4&amp;"; ","")&amp;IF(AND(AV85="✓",AV$4&lt;&gt;""),AV$4&amp;"; ","")&amp;IF(AND(AW85="✓",AW$4&lt;&gt;""),AW$4&amp;"; ","")&amp;IF(AND(AX85="✓",AX$4&lt;&gt;""),AX$4&amp;"; ","")&amp;IF(AND(AY85="✓",AY$4&lt;&gt;""),AY$4&amp;"; ","")&amp;IF(AND(AZ85="✓",AZ$4&lt;&gt;""),AZ$4&amp;"; ","")&amp;IF(AND(BA85="✓",BA$4&lt;&gt;""),BA$4&amp;"; ","")&amp;IF(AND(BB85="✓",BB$4&lt;&gt;""),BB$4&amp;"; ","")&amp;IF(AND(BC85="✓",BC$4&lt;&gt;""),BC$4&amp;"; ","")&amp;IF(AND(BD85="✓",BD$4&lt;&gt;""),BD$4&amp;"; ","")&amp;IF(AND(BE85="✓",BE$4&lt;&gt;""),BE$4&amp;"; ","")&amp;IF(AND(BF85="✓",BF$4&lt;&gt;""),BF$4&amp;"; ","")&amp;IF(AND(BG85="✓",BG$4&lt;&gt;""),BG$4&amp;"; ","")&amp;IF(AND(BH85="✓",BH$4&lt;&gt;""),BH$4&amp;"; ","")&amp;IF(AND(BI85="✓",BI$4&lt;&gt;""),BI$4&amp;"; ","")&amp;IF(AND(BJ85="✓",BJ$4&lt;&gt;""),BJ$4&amp;"; ","")&amp;IF(AND(BK85="✓",BK$4&lt;&gt;""),BK$4&amp;"; ","")&amp;IF(AND(BL85="✓",BL$4&lt;&gt;""),BL$4&amp;"; ","")&amp;IF(AND(BM85="✓",BM$4&lt;&gt;""),BM$4&amp;"; ","")&amp;IF(AND(BN85="✓",BN$4&lt;&gt;""),BN$4&amp;"; ","")&amp;IF(AND(BO85="✓",BO$4&lt;&gt;""),BO$4&amp;"; ","")&amp;IF(AND(BP85="✓",BP$4&lt;&gt;""),BP$4&amp;"; ","")&amp;IF(AND(BQ85="✓",BQ$4&lt;&gt;""),BQ$4&amp;"; ","")&amp;IF(AND(BR85="✓",BR$4&lt;&gt;""),BR$4&amp;"; ","")&amp;IF(AND(BS85="✓",BS$4&lt;&gt;""),BS$4&amp;"; ","")&amp;IF(AND(BT85="✓",BT$4&lt;&gt;""),BT$4&amp;"; ","")&amp;IF(AND(BU85="✓",BU$4&lt;&gt;""),BU$4&amp;"; ","")&amp;IF(AND(BV85="✓",BV$4&lt;&gt;""),BV$4&amp;"; ","")&amp;IF(AND(BW85="✓",BW$4&lt;&gt;""),BW$4&amp;"; ","")&amp;IF(AND(BX85="✓",BX$4&lt;&gt;""),BX$4&amp;"; ","")&amp;IF(AND(BY85="✓",BY$4&lt;&gt;""),BY$4&amp;"; ","")&amp;IF(AND(BZ85="✓",BZ$4&lt;&gt;""),BZ$4&amp;"; ","")&amp;IF(AND(CA85="✓",CA$4&lt;&gt;""),CA$4&amp;"; ","")&amp;IF(AND(CB85="✓",CB$4&lt;&gt;""),CB$4&amp;"; ","")&amp;IF(AND(CC85="✓",CC$4&lt;&gt;""),CC$4&amp;"; ","")&amp;IF(AND(CD85="✓",CD$4&lt;&gt;""),CD$4&amp;"; ","")&amp;IF(AND(CE85="✓",CE$4&lt;&gt;""),CE$4&amp;"; ","")&amp;IF(AND(CF85="✓",CF$4&lt;&gt;""),CF$4&amp;"; ","")&amp;IF(AND(CG85="✓",CG$4&lt;&gt;""),CG$4&amp;"; ","")&amp;IF(AND(CH85="✓",CH$4&lt;&gt;""),CH$4&amp;"; ","")&amp;IF(AND(CI85="✓",CI$4&lt;&gt;""),CI$4&amp;"; ","")&amp;IF(AND(CJ85="✓",CJ$4&lt;&gt;""),CJ$4&amp;"; ","")&amp;IF(AND(CK85="✓",CK$4&lt;&gt;""),CK$4&amp;"; ","")&amp;IF(AND(CL85="✓",CL$4&lt;&gt;""),CL$4&amp;"; ","")&amp;IF(AND(CM85="✓",CM$4&lt;&gt;""),CM$4&amp;"; ","")&amp;IF(AND(CN85="✓",CN$4&lt;&gt;""),CN$4&amp;"; ","")&amp;IF(AND(CO85="✓",CO$4&lt;&gt;""),CO$4&amp;"; ","")</f>
        <v/>
      </c>
      <c r="CQ85" s="104" t="str">
        <f aca="false">IF($CP85="","",LEFT($CP85,LEN($CP85)-2))</f>
        <v/>
      </c>
      <c r="CR85" s="234" t="str">
        <f aca="false">IF($A85="","",COUNTIF($D85:$CO85,"✓"))</f>
        <v/>
      </c>
    </row>
    <row r="86" customFormat="false" ht="21.75" hidden="false" customHeight="true" outlineLevel="0" collapsed="false">
      <c r="A86" s="231" t="str">
        <f aca="false">IF(03_能力總表_Master!$A86="","",03_能力總表_Master!$A86)</f>
        <v/>
      </c>
      <c r="B86" s="166" t="str">
        <f aca="false">IF(03_能力總表_Master!$A86="","",03_能力總表_Master!$B86)</f>
        <v/>
      </c>
      <c r="C86" s="95" t="str">
        <f aca="false">IF(03_能力總表_Master!$A86="","",03_能力總表_Master!$E86)</f>
        <v/>
      </c>
      <c r="D86" s="232"/>
      <c r="E86" s="232"/>
      <c r="F86" s="232"/>
      <c r="G86" s="232"/>
      <c r="H86" s="232"/>
      <c r="I86" s="232"/>
      <c r="J86" s="232"/>
      <c r="K86" s="232"/>
      <c r="L86" s="232"/>
      <c r="M86" s="232"/>
      <c r="N86" s="232"/>
      <c r="O86" s="232"/>
      <c r="P86" s="232"/>
      <c r="Q86" s="232"/>
      <c r="R86" s="232"/>
      <c r="S86" s="232"/>
      <c r="T86" s="232"/>
      <c r="U86" s="232"/>
      <c r="V86" s="232"/>
      <c r="W86" s="232"/>
      <c r="X86" s="232"/>
      <c r="Y86" s="232"/>
      <c r="Z86" s="232"/>
      <c r="AA86" s="232"/>
      <c r="AB86" s="232"/>
      <c r="AC86" s="232"/>
      <c r="AD86" s="232"/>
      <c r="AE86" s="232"/>
      <c r="AF86" s="232"/>
      <c r="AG86" s="232"/>
      <c r="AH86" s="232"/>
      <c r="AI86" s="232"/>
      <c r="AJ86" s="232"/>
      <c r="AK86" s="232"/>
      <c r="AL86" s="232"/>
      <c r="AM86" s="232"/>
      <c r="AN86" s="232"/>
      <c r="AO86" s="232"/>
      <c r="AP86" s="232"/>
      <c r="AQ86" s="232"/>
      <c r="AR86" s="232"/>
      <c r="AS86" s="232"/>
      <c r="AT86" s="232"/>
      <c r="AU86" s="232"/>
      <c r="AV86" s="232"/>
      <c r="AW86" s="232"/>
      <c r="AX86" s="232"/>
      <c r="AY86" s="232"/>
      <c r="AZ86" s="232"/>
      <c r="BA86" s="232"/>
      <c r="BB86" s="232"/>
      <c r="BC86" s="232"/>
      <c r="BD86" s="232"/>
      <c r="BE86" s="232"/>
      <c r="BF86" s="232"/>
      <c r="BG86" s="232"/>
      <c r="BH86" s="232"/>
      <c r="BI86" s="232"/>
      <c r="BJ86" s="232"/>
      <c r="BK86" s="232"/>
      <c r="BL86" s="232"/>
      <c r="BM86" s="232"/>
      <c r="BN86" s="232"/>
      <c r="BO86" s="232"/>
      <c r="BP86" s="232"/>
      <c r="BQ86" s="232"/>
      <c r="BR86" s="232"/>
      <c r="BS86" s="232"/>
      <c r="BT86" s="232"/>
      <c r="BU86" s="232"/>
      <c r="BV86" s="232"/>
      <c r="BW86" s="232"/>
      <c r="BX86" s="232"/>
      <c r="BY86" s="232"/>
      <c r="BZ86" s="232"/>
      <c r="CA86" s="232"/>
      <c r="CB86" s="232"/>
      <c r="CC86" s="232"/>
      <c r="CD86" s="232"/>
      <c r="CE86" s="232"/>
      <c r="CF86" s="232"/>
      <c r="CG86" s="232"/>
      <c r="CH86" s="232"/>
      <c r="CI86" s="232"/>
      <c r="CJ86" s="232"/>
      <c r="CK86" s="232"/>
      <c r="CL86" s="232"/>
      <c r="CM86" s="232"/>
      <c r="CN86" s="232"/>
      <c r="CO86" s="232"/>
      <c r="CP86" s="233" t="str">
        <f aca="false">IF(AND(D86="✓",D$4&lt;&gt;""),D$4&amp;"; ","")&amp;IF(AND(E86="✓",E$4&lt;&gt;""),E$4&amp;"; ","")&amp;IF(AND(F86="✓",F$4&lt;&gt;""),F$4&amp;"; ","")&amp;IF(AND(G86="✓",G$4&lt;&gt;""),G$4&amp;"; ","")&amp;IF(AND(H86="✓",H$4&lt;&gt;""),H$4&amp;"; ","")&amp;IF(AND(I86="✓",I$4&lt;&gt;""),I$4&amp;"; ","")&amp;IF(AND(J86="✓",J$4&lt;&gt;""),J$4&amp;"; ","")&amp;IF(AND(K86="✓",K$4&lt;&gt;""),K$4&amp;"; ","")&amp;IF(AND(L86="✓",L$4&lt;&gt;""),L$4&amp;"; ","")&amp;IF(AND(M86="✓",M$4&lt;&gt;""),M$4&amp;"; ","")&amp;IF(AND(N86="✓",N$4&lt;&gt;""),N$4&amp;"; ","")&amp;IF(AND(O86="✓",O$4&lt;&gt;""),O$4&amp;"; ","")&amp;IF(AND(P86="✓",P$4&lt;&gt;""),P$4&amp;"; ","")&amp;IF(AND(Q86="✓",Q$4&lt;&gt;""),Q$4&amp;"; ","")&amp;IF(AND(R86="✓",R$4&lt;&gt;""),R$4&amp;"; ","")&amp;IF(AND(S86="✓",S$4&lt;&gt;""),S$4&amp;"; ","")&amp;IF(AND(T86="✓",T$4&lt;&gt;""),T$4&amp;"; ","")&amp;IF(AND(U86="✓",U$4&lt;&gt;""),U$4&amp;"; ","")&amp;IF(AND(V86="✓",V$4&lt;&gt;""),V$4&amp;"; ","")&amp;IF(AND(W86="✓",W$4&lt;&gt;""),W$4&amp;"; ","")&amp;IF(AND(X86="✓",X$4&lt;&gt;""),X$4&amp;"; ","")&amp;IF(AND(Y86="✓",Y$4&lt;&gt;""),Y$4&amp;"; ","")&amp;IF(AND(Z86="✓",Z$4&lt;&gt;""),Z$4&amp;"; ","")&amp;IF(AND(AA86="✓",AA$4&lt;&gt;""),AA$4&amp;"; ","")&amp;IF(AND(AB86="✓",AB$4&lt;&gt;""),AB$4&amp;"; ","")&amp;IF(AND(AC86="✓",AC$4&lt;&gt;""),AC$4&amp;"; ","")&amp;IF(AND(AD86="✓",AD$4&lt;&gt;""),AD$4&amp;"; ","")&amp;IF(AND(AE86="✓",AE$4&lt;&gt;""),AE$4&amp;"; ","")&amp;IF(AND(AF86="✓",AF$4&lt;&gt;""),AF$4&amp;"; ","")&amp;IF(AND(AG86="✓",AG$4&lt;&gt;""),AG$4&amp;"; ","")&amp;IF(AND(AH86="✓",AH$4&lt;&gt;""),AH$4&amp;"; ","")&amp;IF(AND(AI86="✓",AI$4&lt;&gt;""),AI$4&amp;"; ","")&amp;IF(AND(AJ86="✓",AJ$4&lt;&gt;""),AJ$4&amp;"; ","")&amp;IF(AND(AK86="✓",AK$4&lt;&gt;""),AK$4&amp;"; ","")&amp;IF(AND(AL86="✓",AL$4&lt;&gt;""),AL$4&amp;"; ","")&amp;IF(AND(AM86="✓",AM$4&lt;&gt;""),AM$4&amp;"; ","")&amp;IF(AND(AN86="✓",AN$4&lt;&gt;""),AN$4&amp;"; ","")&amp;IF(AND(AO86="✓",AO$4&lt;&gt;""),AO$4&amp;"; ","")&amp;IF(AND(AP86="✓",AP$4&lt;&gt;""),AP$4&amp;"; ","")&amp;IF(AND(AQ86="✓",AQ$4&lt;&gt;""),AQ$4&amp;"; ","")&amp;IF(AND(AR86="✓",AR$4&lt;&gt;""),AR$4&amp;"; ","")&amp;IF(AND(AS86="✓",AS$4&lt;&gt;""),AS$4&amp;"; ","")&amp;IF(AND(AT86="✓",AT$4&lt;&gt;""),AT$4&amp;"; ","")&amp;IF(AND(AU86="✓",AU$4&lt;&gt;""),AU$4&amp;"; ","")&amp;IF(AND(AV86="✓",AV$4&lt;&gt;""),AV$4&amp;"; ","")&amp;IF(AND(AW86="✓",AW$4&lt;&gt;""),AW$4&amp;"; ","")&amp;IF(AND(AX86="✓",AX$4&lt;&gt;""),AX$4&amp;"; ","")&amp;IF(AND(AY86="✓",AY$4&lt;&gt;""),AY$4&amp;"; ","")&amp;IF(AND(AZ86="✓",AZ$4&lt;&gt;""),AZ$4&amp;"; ","")&amp;IF(AND(BA86="✓",BA$4&lt;&gt;""),BA$4&amp;"; ","")&amp;IF(AND(BB86="✓",BB$4&lt;&gt;""),BB$4&amp;"; ","")&amp;IF(AND(BC86="✓",BC$4&lt;&gt;""),BC$4&amp;"; ","")&amp;IF(AND(BD86="✓",BD$4&lt;&gt;""),BD$4&amp;"; ","")&amp;IF(AND(BE86="✓",BE$4&lt;&gt;""),BE$4&amp;"; ","")&amp;IF(AND(BF86="✓",BF$4&lt;&gt;""),BF$4&amp;"; ","")&amp;IF(AND(BG86="✓",BG$4&lt;&gt;""),BG$4&amp;"; ","")&amp;IF(AND(BH86="✓",BH$4&lt;&gt;""),BH$4&amp;"; ","")&amp;IF(AND(BI86="✓",BI$4&lt;&gt;""),BI$4&amp;"; ","")&amp;IF(AND(BJ86="✓",BJ$4&lt;&gt;""),BJ$4&amp;"; ","")&amp;IF(AND(BK86="✓",BK$4&lt;&gt;""),BK$4&amp;"; ","")&amp;IF(AND(BL86="✓",BL$4&lt;&gt;""),BL$4&amp;"; ","")&amp;IF(AND(BM86="✓",BM$4&lt;&gt;""),BM$4&amp;"; ","")&amp;IF(AND(BN86="✓",BN$4&lt;&gt;""),BN$4&amp;"; ","")&amp;IF(AND(BO86="✓",BO$4&lt;&gt;""),BO$4&amp;"; ","")&amp;IF(AND(BP86="✓",BP$4&lt;&gt;""),BP$4&amp;"; ","")&amp;IF(AND(BQ86="✓",BQ$4&lt;&gt;""),BQ$4&amp;"; ","")&amp;IF(AND(BR86="✓",BR$4&lt;&gt;""),BR$4&amp;"; ","")&amp;IF(AND(BS86="✓",BS$4&lt;&gt;""),BS$4&amp;"; ","")&amp;IF(AND(BT86="✓",BT$4&lt;&gt;""),BT$4&amp;"; ","")&amp;IF(AND(BU86="✓",BU$4&lt;&gt;""),BU$4&amp;"; ","")&amp;IF(AND(BV86="✓",BV$4&lt;&gt;""),BV$4&amp;"; ","")&amp;IF(AND(BW86="✓",BW$4&lt;&gt;""),BW$4&amp;"; ","")&amp;IF(AND(BX86="✓",BX$4&lt;&gt;""),BX$4&amp;"; ","")&amp;IF(AND(BY86="✓",BY$4&lt;&gt;""),BY$4&amp;"; ","")&amp;IF(AND(BZ86="✓",BZ$4&lt;&gt;""),BZ$4&amp;"; ","")&amp;IF(AND(CA86="✓",CA$4&lt;&gt;""),CA$4&amp;"; ","")&amp;IF(AND(CB86="✓",CB$4&lt;&gt;""),CB$4&amp;"; ","")&amp;IF(AND(CC86="✓",CC$4&lt;&gt;""),CC$4&amp;"; ","")&amp;IF(AND(CD86="✓",CD$4&lt;&gt;""),CD$4&amp;"; ","")&amp;IF(AND(CE86="✓",CE$4&lt;&gt;""),CE$4&amp;"; ","")&amp;IF(AND(CF86="✓",CF$4&lt;&gt;""),CF$4&amp;"; ","")&amp;IF(AND(CG86="✓",CG$4&lt;&gt;""),CG$4&amp;"; ","")&amp;IF(AND(CH86="✓",CH$4&lt;&gt;""),CH$4&amp;"; ","")&amp;IF(AND(CI86="✓",CI$4&lt;&gt;""),CI$4&amp;"; ","")&amp;IF(AND(CJ86="✓",CJ$4&lt;&gt;""),CJ$4&amp;"; ","")&amp;IF(AND(CK86="✓",CK$4&lt;&gt;""),CK$4&amp;"; ","")&amp;IF(AND(CL86="✓",CL$4&lt;&gt;""),CL$4&amp;"; ","")&amp;IF(AND(CM86="✓",CM$4&lt;&gt;""),CM$4&amp;"; ","")&amp;IF(AND(CN86="✓",CN$4&lt;&gt;""),CN$4&amp;"; ","")&amp;IF(AND(CO86="✓",CO$4&lt;&gt;""),CO$4&amp;"; ","")</f>
        <v/>
      </c>
      <c r="CQ86" s="104" t="str">
        <f aca="false">IF($CP86="","",LEFT($CP86,LEN($CP86)-2))</f>
        <v/>
      </c>
      <c r="CR86" s="234" t="str">
        <f aca="false">IF($A86="","",COUNTIF($D86:$CO86,"✓"))</f>
        <v/>
      </c>
    </row>
    <row r="87" customFormat="false" ht="21.75" hidden="false" customHeight="true" outlineLevel="0" collapsed="false">
      <c r="A87" s="231" t="str">
        <f aca="false">IF(03_能力總表_Master!$A87="","",03_能力總表_Master!$A87)</f>
        <v/>
      </c>
      <c r="B87" s="166" t="str">
        <f aca="false">IF(03_能力總表_Master!$A87="","",03_能力總表_Master!$B87)</f>
        <v/>
      </c>
      <c r="C87" s="95" t="str">
        <f aca="false">IF(03_能力總表_Master!$A87="","",03_能力總表_Master!$E87)</f>
        <v/>
      </c>
      <c r="D87" s="232"/>
      <c r="E87" s="232"/>
      <c r="F87" s="232"/>
      <c r="G87" s="232"/>
      <c r="H87" s="232"/>
      <c r="I87" s="232"/>
      <c r="J87" s="232"/>
      <c r="K87" s="232"/>
      <c r="L87" s="232"/>
      <c r="M87" s="232"/>
      <c r="N87" s="232"/>
      <c r="O87" s="232"/>
      <c r="P87" s="232"/>
      <c r="Q87" s="232"/>
      <c r="R87" s="232"/>
      <c r="S87" s="232"/>
      <c r="T87" s="232"/>
      <c r="U87" s="232"/>
      <c r="V87" s="232"/>
      <c r="W87" s="232"/>
      <c r="X87" s="232"/>
      <c r="Y87" s="232"/>
      <c r="Z87" s="232"/>
      <c r="AA87" s="232"/>
      <c r="AB87" s="232"/>
      <c r="AC87" s="232"/>
      <c r="AD87" s="232"/>
      <c r="AE87" s="232"/>
      <c r="AF87" s="232"/>
      <c r="AG87" s="232"/>
      <c r="AH87" s="232"/>
      <c r="AI87" s="232"/>
      <c r="AJ87" s="232"/>
      <c r="AK87" s="232"/>
      <c r="AL87" s="232"/>
      <c r="AM87" s="232"/>
      <c r="AN87" s="232"/>
      <c r="AO87" s="232"/>
      <c r="AP87" s="232"/>
      <c r="AQ87" s="232"/>
      <c r="AR87" s="232"/>
      <c r="AS87" s="232"/>
      <c r="AT87" s="232"/>
      <c r="AU87" s="232"/>
      <c r="AV87" s="232"/>
      <c r="AW87" s="232"/>
      <c r="AX87" s="232"/>
      <c r="AY87" s="232"/>
      <c r="AZ87" s="232"/>
      <c r="BA87" s="232"/>
      <c r="BB87" s="232"/>
      <c r="BC87" s="232"/>
      <c r="BD87" s="232"/>
      <c r="BE87" s="232"/>
      <c r="BF87" s="232"/>
      <c r="BG87" s="232"/>
      <c r="BH87" s="232"/>
      <c r="BI87" s="232"/>
      <c r="BJ87" s="232"/>
      <c r="BK87" s="232"/>
      <c r="BL87" s="232"/>
      <c r="BM87" s="232"/>
      <c r="BN87" s="232"/>
      <c r="BO87" s="232"/>
      <c r="BP87" s="232"/>
      <c r="BQ87" s="232"/>
      <c r="BR87" s="232"/>
      <c r="BS87" s="232"/>
      <c r="BT87" s="232"/>
      <c r="BU87" s="232"/>
      <c r="BV87" s="232"/>
      <c r="BW87" s="232"/>
      <c r="BX87" s="232"/>
      <c r="BY87" s="232"/>
      <c r="BZ87" s="232"/>
      <c r="CA87" s="232"/>
      <c r="CB87" s="232"/>
      <c r="CC87" s="232"/>
      <c r="CD87" s="232"/>
      <c r="CE87" s="232"/>
      <c r="CF87" s="232"/>
      <c r="CG87" s="232"/>
      <c r="CH87" s="232"/>
      <c r="CI87" s="232"/>
      <c r="CJ87" s="232"/>
      <c r="CK87" s="232"/>
      <c r="CL87" s="232"/>
      <c r="CM87" s="232"/>
      <c r="CN87" s="232"/>
      <c r="CO87" s="232"/>
      <c r="CP87" s="233" t="str">
        <f aca="false">IF(AND(D87="✓",D$4&lt;&gt;""),D$4&amp;"; ","")&amp;IF(AND(E87="✓",E$4&lt;&gt;""),E$4&amp;"; ","")&amp;IF(AND(F87="✓",F$4&lt;&gt;""),F$4&amp;"; ","")&amp;IF(AND(G87="✓",G$4&lt;&gt;""),G$4&amp;"; ","")&amp;IF(AND(H87="✓",H$4&lt;&gt;""),H$4&amp;"; ","")&amp;IF(AND(I87="✓",I$4&lt;&gt;""),I$4&amp;"; ","")&amp;IF(AND(J87="✓",J$4&lt;&gt;""),J$4&amp;"; ","")&amp;IF(AND(K87="✓",K$4&lt;&gt;""),K$4&amp;"; ","")&amp;IF(AND(L87="✓",L$4&lt;&gt;""),L$4&amp;"; ","")&amp;IF(AND(M87="✓",M$4&lt;&gt;""),M$4&amp;"; ","")&amp;IF(AND(N87="✓",N$4&lt;&gt;""),N$4&amp;"; ","")&amp;IF(AND(O87="✓",O$4&lt;&gt;""),O$4&amp;"; ","")&amp;IF(AND(P87="✓",P$4&lt;&gt;""),P$4&amp;"; ","")&amp;IF(AND(Q87="✓",Q$4&lt;&gt;""),Q$4&amp;"; ","")&amp;IF(AND(R87="✓",R$4&lt;&gt;""),R$4&amp;"; ","")&amp;IF(AND(S87="✓",S$4&lt;&gt;""),S$4&amp;"; ","")&amp;IF(AND(T87="✓",T$4&lt;&gt;""),T$4&amp;"; ","")&amp;IF(AND(U87="✓",U$4&lt;&gt;""),U$4&amp;"; ","")&amp;IF(AND(V87="✓",V$4&lt;&gt;""),V$4&amp;"; ","")&amp;IF(AND(W87="✓",W$4&lt;&gt;""),W$4&amp;"; ","")&amp;IF(AND(X87="✓",X$4&lt;&gt;""),X$4&amp;"; ","")&amp;IF(AND(Y87="✓",Y$4&lt;&gt;""),Y$4&amp;"; ","")&amp;IF(AND(Z87="✓",Z$4&lt;&gt;""),Z$4&amp;"; ","")&amp;IF(AND(AA87="✓",AA$4&lt;&gt;""),AA$4&amp;"; ","")&amp;IF(AND(AB87="✓",AB$4&lt;&gt;""),AB$4&amp;"; ","")&amp;IF(AND(AC87="✓",AC$4&lt;&gt;""),AC$4&amp;"; ","")&amp;IF(AND(AD87="✓",AD$4&lt;&gt;""),AD$4&amp;"; ","")&amp;IF(AND(AE87="✓",AE$4&lt;&gt;""),AE$4&amp;"; ","")&amp;IF(AND(AF87="✓",AF$4&lt;&gt;""),AF$4&amp;"; ","")&amp;IF(AND(AG87="✓",AG$4&lt;&gt;""),AG$4&amp;"; ","")&amp;IF(AND(AH87="✓",AH$4&lt;&gt;""),AH$4&amp;"; ","")&amp;IF(AND(AI87="✓",AI$4&lt;&gt;""),AI$4&amp;"; ","")&amp;IF(AND(AJ87="✓",AJ$4&lt;&gt;""),AJ$4&amp;"; ","")&amp;IF(AND(AK87="✓",AK$4&lt;&gt;""),AK$4&amp;"; ","")&amp;IF(AND(AL87="✓",AL$4&lt;&gt;""),AL$4&amp;"; ","")&amp;IF(AND(AM87="✓",AM$4&lt;&gt;""),AM$4&amp;"; ","")&amp;IF(AND(AN87="✓",AN$4&lt;&gt;""),AN$4&amp;"; ","")&amp;IF(AND(AO87="✓",AO$4&lt;&gt;""),AO$4&amp;"; ","")&amp;IF(AND(AP87="✓",AP$4&lt;&gt;""),AP$4&amp;"; ","")&amp;IF(AND(AQ87="✓",AQ$4&lt;&gt;""),AQ$4&amp;"; ","")&amp;IF(AND(AR87="✓",AR$4&lt;&gt;""),AR$4&amp;"; ","")&amp;IF(AND(AS87="✓",AS$4&lt;&gt;""),AS$4&amp;"; ","")&amp;IF(AND(AT87="✓",AT$4&lt;&gt;""),AT$4&amp;"; ","")&amp;IF(AND(AU87="✓",AU$4&lt;&gt;""),AU$4&amp;"; ","")&amp;IF(AND(AV87="✓",AV$4&lt;&gt;""),AV$4&amp;"; ","")&amp;IF(AND(AW87="✓",AW$4&lt;&gt;""),AW$4&amp;"; ","")&amp;IF(AND(AX87="✓",AX$4&lt;&gt;""),AX$4&amp;"; ","")&amp;IF(AND(AY87="✓",AY$4&lt;&gt;""),AY$4&amp;"; ","")&amp;IF(AND(AZ87="✓",AZ$4&lt;&gt;""),AZ$4&amp;"; ","")&amp;IF(AND(BA87="✓",BA$4&lt;&gt;""),BA$4&amp;"; ","")&amp;IF(AND(BB87="✓",BB$4&lt;&gt;""),BB$4&amp;"; ","")&amp;IF(AND(BC87="✓",BC$4&lt;&gt;""),BC$4&amp;"; ","")&amp;IF(AND(BD87="✓",BD$4&lt;&gt;""),BD$4&amp;"; ","")&amp;IF(AND(BE87="✓",BE$4&lt;&gt;""),BE$4&amp;"; ","")&amp;IF(AND(BF87="✓",BF$4&lt;&gt;""),BF$4&amp;"; ","")&amp;IF(AND(BG87="✓",BG$4&lt;&gt;""),BG$4&amp;"; ","")&amp;IF(AND(BH87="✓",BH$4&lt;&gt;""),BH$4&amp;"; ","")&amp;IF(AND(BI87="✓",BI$4&lt;&gt;""),BI$4&amp;"; ","")&amp;IF(AND(BJ87="✓",BJ$4&lt;&gt;""),BJ$4&amp;"; ","")&amp;IF(AND(BK87="✓",BK$4&lt;&gt;""),BK$4&amp;"; ","")&amp;IF(AND(BL87="✓",BL$4&lt;&gt;""),BL$4&amp;"; ","")&amp;IF(AND(BM87="✓",BM$4&lt;&gt;""),BM$4&amp;"; ","")&amp;IF(AND(BN87="✓",BN$4&lt;&gt;""),BN$4&amp;"; ","")&amp;IF(AND(BO87="✓",BO$4&lt;&gt;""),BO$4&amp;"; ","")&amp;IF(AND(BP87="✓",BP$4&lt;&gt;""),BP$4&amp;"; ","")&amp;IF(AND(BQ87="✓",BQ$4&lt;&gt;""),BQ$4&amp;"; ","")&amp;IF(AND(BR87="✓",BR$4&lt;&gt;""),BR$4&amp;"; ","")&amp;IF(AND(BS87="✓",BS$4&lt;&gt;""),BS$4&amp;"; ","")&amp;IF(AND(BT87="✓",BT$4&lt;&gt;""),BT$4&amp;"; ","")&amp;IF(AND(BU87="✓",BU$4&lt;&gt;""),BU$4&amp;"; ","")&amp;IF(AND(BV87="✓",BV$4&lt;&gt;""),BV$4&amp;"; ","")&amp;IF(AND(BW87="✓",BW$4&lt;&gt;""),BW$4&amp;"; ","")&amp;IF(AND(BX87="✓",BX$4&lt;&gt;""),BX$4&amp;"; ","")&amp;IF(AND(BY87="✓",BY$4&lt;&gt;""),BY$4&amp;"; ","")&amp;IF(AND(BZ87="✓",BZ$4&lt;&gt;""),BZ$4&amp;"; ","")&amp;IF(AND(CA87="✓",CA$4&lt;&gt;""),CA$4&amp;"; ","")&amp;IF(AND(CB87="✓",CB$4&lt;&gt;""),CB$4&amp;"; ","")&amp;IF(AND(CC87="✓",CC$4&lt;&gt;""),CC$4&amp;"; ","")&amp;IF(AND(CD87="✓",CD$4&lt;&gt;""),CD$4&amp;"; ","")&amp;IF(AND(CE87="✓",CE$4&lt;&gt;""),CE$4&amp;"; ","")&amp;IF(AND(CF87="✓",CF$4&lt;&gt;""),CF$4&amp;"; ","")&amp;IF(AND(CG87="✓",CG$4&lt;&gt;""),CG$4&amp;"; ","")&amp;IF(AND(CH87="✓",CH$4&lt;&gt;""),CH$4&amp;"; ","")&amp;IF(AND(CI87="✓",CI$4&lt;&gt;""),CI$4&amp;"; ","")&amp;IF(AND(CJ87="✓",CJ$4&lt;&gt;""),CJ$4&amp;"; ","")&amp;IF(AND(CK87="✓",CK$4&lt;&gt;""),CK$4&amp;"; ","")&amp;IF(AND(CL87="✓",CL$4&lt;&gt;""),CL$4&amp;"; ","")&amp;IF(AND(CM87="✓",CM$4&lt;&gt;""),CM$4&amp;"; ","")&amp;IF(AND(CN87="✓",CN$4&lt;&gt;""),CN$4&amp;"; ","")&amp;IF(AND(CO87="✓",CO$4&lt;&gt;""),CO$4&amp;"; ","")</f>
        <v/>
      </c>
      <c r="CQ87" s="104" t="str">
        <f aca="false">IF($CP87="","",LEFT($CP87,LEN($CP87)-2))</f>
        <v/>
      </c>
      <c r="CR87" s="234" t="str">
        <f aca="false">IF($A87="","",COUNTIF($D87:$CO87,"✓"))</f>
        <v/>
      </c>
    </row>
    <row r="88" customFormat="false" ht="21.75" hidden="false" customHeight="true" outlineLevel="0" collapsed="false">
      <c r="A88" s="231" t="str">
        <f aca="false">IF(03_能力總表_Master!$A88="","",03_能力總表_Master!$A88)</f>
        <v/>
      </c>
      <c r="B88" s="166" t="str">
        <f aca="false">IF(03_能力總表_Master!$A88="","",03_能力總表_Master!$B88)</f>
        <v/>
      </c>
      <c r="C88" s="95" t="str">
        <f aca="false">IF(03_能力總表_Master!$A88="","",03_能力總表_Master!$E88)</f>
        <v/>
      </c>
      <c r="D88" s="232"/>
      <c r="E88" s="232"/>
      <c r="F88" s="232"/>
      <c r="G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2"/>
      <c r="AA88" s="232"/>
      <c r="AB88" s="232"/>
      <c r="AC88" s="232"/>
      <c r="AD88" s="232"/>
      <c r="AE88" s="232"/>
      <c r="AF88" s="232"/>
      <c r="AG88" s="232"/>
      <c r="AH88" s="232"/>
      <c r="AI88" s="232"/>
      <c r="AJ88" s="232"/>
      <c r="AK88" s="232"/>
      <c r="AL88" s="232"/>
      <c r="AM88" s="232"/>
      <c r="AN88" s="232"/>
      <c r="AO88" s="232"/>
      <c r="AP88" s="232"/>
      <c r="AQ88" s="232"/>
      <c r="AR88" s="232"/>
      <c r="AS88" s="232"/>
      <c r="AT88" s="232"/>
      <c r="AU88" s="232"/>
      <c r="AV88" s="232"/>
      <c r="AW88" s="232"/>
      <c r="AX88" s="232"/>
      <c r="AY88" s="232"/>
      <c r="AZ88" s="232"/>
      <c r="BA88" s="232"/>
      <c r="BB88" s="232"/>
      <c r="BC88" s="232"/>
      <c r="BD88" s="232"/>
      <c r="BE88" s="232"/>
      <c r="BF88" s="232"/>
      <c r="BG88" s="232"/>
      <c r="BH88" s="232"/>
      <c r="BI88" s="232"/>
      <c r="BJ88" s="232"/>
      <c r="BK88" s="232"/>
      <c r="BL88" s="232"/>
      <c r="BM88" s="232"/>
      <c r="BN88" s="232"/>
      <c r="BO88" s="232"/>
      <c r="BP88" s="232"/>
      <c r="BQ88" s="232"/>
      <c r="BR88" s="232"/>
      <c r="BS88" s="232"/>
      <c r="BT88" s="232"/>
      <c r="BU88" s="232"/>
      <c r="BV88" s="232"/>
      <c r="BW88" s="232"/>
      <c r="BX88" s="232"/>
      <c r="BY88" s="232"/>
      <c r="BZ88" s="232"/>
      <c r="CA88" s="232"/>
      <c r="CB88" s="232"/>
      <c r="CC88" s="232"/>
      <c r="CD88" s="232"/>
      <c r="CE88" s="232"/>
      <c r="CF88" s="232"/>
      <c r="CG88" s="232"/>
      <c r="CH88" s="232"/>
      <c r="CI88" s="232"/>
      <c r="CJ88" s="232"/>
      <c r="CK88" s="232"/>
      <c r="CL88" s="232"/>
      <c r="CM88" s="232"/>
      <c r="CN88" s="232"/>
      <c r="CO88" s="232"/>
      <c r="CP88" s="233" t="str">
        <f aca="false">IF(AND(D88="✓",D$4&lt;&gt;""),D$4&amp;"; ","")&amp;IF(AND(E88="✓",E$4&lt;&gt;""),E$4&amp;"; ","")&amp;IF(AND(F88="✓",F$4&lt;&gt;""),F$4&amp;"; ","")&amp;IF(AND(G88="✓",G$4&lt;&gt;""),G$4&amp;"; ","")&amp;IF(AND(H88="✓",H$4&lt;&gt;""),H$4&amp;"; ","")&amp;IF(AND(I88="✓",I$4&lt;&gt;""),I$4&amp;"; ","")&amp;IF(AND(J88="✓",J$4&lt;&gt;""),J$4&amp;"; ","")&amp;IF(AND(K88="✓",K$4&lt;&gt;""),K$4&amp;"; ","")&amp;IF(AND(L88="✓",L$4&lt;&gt;""),L$4&amp;"; ","")&amp;IF(AND(M88="✓",M$4&lt;&gt;""),M$4&amp;"; ","")&amp;IF(AND(N88="✓",N$4&lt;&gt;""),N$4&amp;"; ","")&amp;IF(AND(O88="✓",O$4&lt;&gt;""),O$4&amp;"; ","")&amp;IF(AND(P88="✓",P$4&lt;&gt;""),P$4&amp;"; ","")&amp;IF(AND(Q88="✓",Q$4&lt;&gt;""),Q$4&amp;"; ","")&amp;IF(AND(R88="✓",R$4&lt;&gt;""),R$4&amp;"; ","")&amp;IF(AND(S88="✓",S$4&lt;&gt;""),S$4&amp;"; ","")&amp;IF(AND(T88="✓",T$4&lt;&gt;""),T$4&amp;"; ","")&amp;IF(AND(U88="✓",U$4&lt;&gt;""),U$4&amp;"; ","")&amp;IF(AND(V88="✓",V$4&lt;&gt;""),V$4&amp;"; ","")&amp;IF(AND(W88="✓",W$4&lt;&gt;""),W$4&amp;"; ","")&amp;IF(AND(X88="✓",X$4&lt;&gt;""),X$4&amp;"; ","")&amp;IF(AND(Y88="✓",Y$4&lt;&gt;""),Y$4&amp;"; ","")&amp;IF(AND(Z88="✓",Z$4&lt;&gt;""),Z$4&amp;"; ","")&amp;IF(AND(AA88="✓",AA$4&lt;&gt;""),AA$4&amp;"; ","")&amp;IF(AND(AB88="✓",AB$4&lt;&gt;""),AB$4&amp;"; ","")&amp;IF(AND(AC88="✓",AC$4&lt;&gt;""),AC$4&amp;"; ","")&amp;IF(AND(AD88="✓",AD$4&lt;&gt;""),AD$4&amp;"; ","")&amp;IF(AND(AE88="✓",AE$4&lt;&gt;""),AE$4&amp;"; ","")&amp;IF(AND(AF88="✓",AF$4&lt;&gt;""),AF$4&amp;"; ","")&amp;IF(AND(AG88="✓",AG$4&lt;&gt;""),AG$4&amp;"; ","")&amp;IF(AND(AH88="✓",AH$4&lt;&gt;""),AH$4&amp;"; ","")&amp;IF(AND(AI88="✓",AI$4&lt;&gt;""),AI$4&amp;"; ","")&amp;IF(AND(AJ88="✓",AJ$4&lt;&gt;""),AJ$4&amp;"; ","")&amp;IF(AND(AK88="✓",AK$4&lt;&gt;""),AK$4&amp;"; ","")&amp;IF(AND(AL88="✓",AL$4&lt;&gt;""),AL$4&amp;"; ","")&amp;IF(AND(AM88="✓",AM$4&lt;&gt;""),AM$4&amp;"; ","")&amp;IF(AND(AN88="✓",AN$4&lt;&gt;""),AN$4&amp;"; ","")&amp;IF(AND(AO88="✓",AO$4&lt;&gt;""),AO$4&amp;"; ","")&amp;IF(AND(AP88="✓",AP$4&lt;&gt;""),AP$4&amp;"; ","")&amp;IF(AND(AQ88="✓",AQ$4&lt;&gt;""),AQ$4&amp;"; ","")&amp;IF(AND(AR88="✓",AR$4&lt;&gt;""),AR$4&amp;"; ","")&amp;IF(AND(AS88="✓",AS$4&lt;&gt;""),AS$4&amp;"; ","")&amp;IF(AND(AT88="✓",AT$4&lt;&gt;""),AT$4&amp;"; ","")&amp;IF(AND(AU88="✓",AU$4&lt;&gt;""),AU$4&amp;"; ","")&amp;IF(AND(AV88="✓",AV$4&lt;&gt;""),AV$4&amp;"; ","")&amp;IF(AND(AW88="✓",AW$4&lt;&gt;""),AW$4&amp;"; ","")&amp;IF(AND(AX88="✓",AX$4&lt;&gt;""),AX$4&amp;"; ","")&amp;IF(AND(AY88="✓",AY$4&lt;&gt;""),AY$4&amp;"; ","")&amp;IF(AND(AZ88="✓",AZ$4&lt;&gt;""),AZ$4&amp;"; ","")&amp;IF(AND(BA88="✓",BA$4&lt;&gt;""),BA$4&amp;"; ","")&amp;IF(AND(BB88="✓",BB$4&lt;&gt;""),BB$4&amp;"; ","")&amp;IF(AND(BC88="✓",BC$4&lt;&gt;""),BC$4&amp;"; ","")&amp;IF(AND(BD88="✓",BD$4&lt;&gt;""),BD$4&amp;"; ","")&amp;IF(AND(BE88="✓",BE$4&lt;&gt;""),BE$4&amp;"; ","")&amp;IF(AND(BF88="✓",BF$4&lt;&gt;""),BF$4&amp;"; ","")&amp;IF(AND(BG88="✓",BG$4&lt;&gt;""),BG$4&amp;"; ","")&amp;IF(AND(BH88="✓",BH$4&lt;&gt;""),BH$4&amp;"; ","")&amp;IF(AND(BI88="✓",BI$4&lt;&gt;""),BI$4&amp;"; ","")&amp;IF(AND(BJ88="✓",BJ$4&lt;&gt;""),BJ$4&amp;"; ","")&amp;IF(AND(BK88="✓",BK$4&lt;&gt;""),BK$4&amp;"; ","")&amp;IF(AND(BL88="✓",BL$4&lt;&gt;""),BL$4&amp;"; ","")&amp;IF(AND(BM88="✓",BM$4&lt;&gt;""),BM$4&amp;"; ","")&amp;IF(AND(BN88="✓",BN$4&lt;&gt;""),BN$4&amp;"; ","")&amp;IF(AND(BO88="✓",BO$4&lt;&gt;""),BO$4&amp;"; ","")&amp;IF(AND(BP88="✓",BP$4&lt;&gt;""),BP$4&amp;"; ","")&amp;IF(AND(BQ88="✓",BQ$4&lt;&gt;""),BQ$4&amp;"; ","")&amp;IF(AND(BR88="✓",BR$4&lt;&gt;""),BR$4&amp;"; ","")&amp;IF(AND(BS88="✓",BS$4&lt;&gt;""),BS$4&amp;"; ","")&amp;IF(AND(BT88="✓",BT$4&lt;&gt;""),BT$4&amp;"; ","")&amp;IF(AND(BU88="✓",BU$4&lt;&gt;""),BU$4&amp;"; ","")&amp;IF(AND(BV88="✓",BV$4&lt;&gt;""),BV$4&amp;"; ","")&amp;IF(AND(BW88="✓",BW$4&lt;&gt;""),BW$4&amp;"; ","")&amp;IF(AND(BX88="✓",BX$4&lt;&gt;""),BX$4&amp;"; ","")&amp;IF(AND(BY88="✓",BY$4&lt;&gt;""),BY$4&amp;"; ","")&amp;IF(AND(BZ88="✓",BZ$4&lt;&gt;""),BZ$4&amp;"; ","")&amp;IF(AND(CA88="✓",CA$4&lt;&gt;""),CA$4&amp;"; ","")&amp;IF(AND(CB88="✓",CB$4&lt;&gt;""),CB$4&amp;"; ","")&amp;IF(AND(CC88="✓",CC$4&lt;&gt;""),CC$4&amp;"; ","")&amp;IF(AND(CD88="✓",CD$4&lt;&gt;""),CD$4&amp;"; ","")&amp;IF(AND(CE88="✓",CE$4&lt;&gt;""),CE$4&amp;"; ","")&amp;IF(AND(CF88="✓",CF$4&lt;&gt;""),CF$4&amp;"; ","")&amp;IF(AND(CG88="✓",CG$4&lt;&gt;""),CG$4&amp;"; ","")&amp;IF(AND(CH88="✓",CH$4&lt;&gt;""),CH$4&amp;"; ","")&amp;IF(AND(CI88="✓",CI$4&lt;&gt;""),CI$4&amp;"; ","")&amp;IF(AND(CJ88="✓",CJ$4&lt;&gt;""),CJ$4&amp;"; ","")&amp;IF(AND(CK88="✓",CK$4&lt;&gt;""),CK$4&amp;"; ","")&amp;IF(AND(CL88="✓",CL$4&lt;&gt;""),CL$4&amp;"; ","")&amp;IF(AND(CM88="✓",CM$4&lt;&gt;""),CM$4&amp;"; ","")&amp;IF(AND(CN88="✓",CN$4&lt;&gt;""),CN$4&amp;"; ","")&amp;IF(AND(CO88="✓",CO$4&lt;&gt;""),CO$4&amp;"; ","")</f>
        <v/>
      </c>
      <c r="CQ88" s="104" t="str">
        <f aca="false">IF($CP88="","",LEFT($CP88,LEN($CP88)-2))</f>
        <v/>
      </c>
      <c r="CR88" s="234" t="str">
        <f aca="false">IF($A88="","",COUNTIF($D88:$CO88,"✓"))</f>
        <v/>
      </c>
    </row>
    <row r="89" customFormat="false" ht="21.75" hidden="false" customHeight="true" outlineLevel="0" collapsed="false">
      <c r="A89" s="231" t="str">
        <f aca="false">IF(03_能力總表_Master!$A89="","",03_能力總表_Master!$A89)</f>
        <v/>
      </c>
      <c r="B89" s="166" t="str">
        <f aca="false">IF(03_能力總表_Master!$A89="","",03_能力總表_Master!$B89)</f>
        <v/>
      </c>
      <c r="C89" s="95" t="str">
        <f aca="false">IF(03_能力總表_Master!$A89="","",03_能力總表_Master!$E89)</f>
        <v/>
      </c>
      <c r="D89" s="232"/>
      <c r="E89" s="232"/>
      <c r="F89" s="232"/>
      <c r="G89" s="232"/>
      <c r="H89" s="232"/>
      <c r="I89" s="232"/>
      <c r="J89" s="232"/>
      <c r="K89" s="232"/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232"/>
      <c r="Z89" s="232"/>
      <c r="AA89" s="232"/>
      <c r="AB89" s="232"/>
      <c r="AC89" s="232"/>
      <c r="AD89" s="232"/>
      <c r="AE89" s="232"/>
      <c r="AF89" s="232"/>
      <c r="AG89" s="232"/>
      <c r="AH89" s="232"/>
      <c r="AI89" s="232"/>
      <c r="AJ89" s="232"/>
      <c r="AK89" s="232"/>
      <c r="AL89" s="232"/>
      <c r="AM89" s="232"/>
      <c r="AN89" s="232"/>
      <c r="AO89" s="232"/>
      <c r="AP89" s="232"/>
      <c r="AQ89" s="232"/>
      <c r="AR89" s="232"/>
      <c r="AS89" s="232"/>
      <c r="AT89" s="232"/>
      <c r="AU89" s="232"/>
      <c r="AV89" s="232"/>
      <c r="AW89" s="232"/>
      <c r="AX89" s="232"/>
      <c r="AY89" s="232"/>
      <c r="AZ89" s="232"/>
      <c r="BA89" s="232"/>
      <c r="BB89" s="232"/>
      <c r="BC89" s="232"/>
      <c r="BD89" s="232"/>
      <c r="BE89" s="232"/>
      <c r="BF89" s="232"/>
      <c r="BG89" s="232"/>
      <c r="BH89" s="232"/>
      <c r="BI89" s="232"/>
      <c r="BJ89" s="232"/>
      <c r="BK89" s="232"/>
      <c r="BL89" s="232"/>
      <c r="BM89" s="232"/>
      <c r="BN89" s="232"/>
      <c r="BO89" s="232"/>
      <c r="BP89" s="232"/>
      <c r="BQ89" s="232"/>
      <c r="BR89" s="232"/>
      <c r="BS89" s="232"/>
      <c r="BT89" s="232"/>
      <c r="BU89" s="232"/>
      <c r="BV89" s="232"/>
      <c r="BW89" s="232"/>
      <c r="BX89" s="232"/>
      <c r="BY89" s="232"/>
      <c r="BZ89" s="232"/>
      <c r="CA89" s="232"/>
      <c r="CB89" s="232"/>
      <c r="CC89" s="232"/>
      <c r="CD89" s="232"/>
      <c r="CE89" s="232"/>
      <c r="CF89" s="232"/>
      <c r="CG89" s="232"/>
      <c r="CH89" s="232"/>
      <c r="CI89" s="232"/>
      <c r="CJ89" s="232"/>
      <c r="CK89" s="232"/>
      <c r="CL89" s="232"/>
      <c r="CM89" s="232"/>
      <c r="CN89" s="232"/>
      <c r="CO89" s="232"/>
      <c r="CP89" s="233" t="str">
        <f aca="false">IF(AND(D89="✓",D$4&lt;&gt;""),D$4&amp;"; ","")&amp;IF(AND(E89="✓",E$4&lt;&gt;""),E$4&amp;"; ","")&amp;IF(AND(F89="✓",F$4&lt;&gt;""),F$4&amp;"; ","")&amp;IF(AND(G89="✓",G$4&lt;&gt;""),G$4&amp;"; ","")&amp;IF(AND(H89="✓",H$4&lt;&gt;""),H$4&amp;"; ","")&amp;IF(AND(I89="✓",I$4&lt;&gt;""),I$4&amp;"; ","")&amp;IF(AND(J89="✓",J$4&lt;&gt;""),J$4&amp;"; ","")&amp;IF(AND(K89="✓",K$4&lt;&gt;""),K$4&amp;"; ","")&amp;IF(AND(L89="✓",L$4&lt;&gt;""),L$4&amp;"; ","")&amp;IF(AND(M89="✓",M$4&lt;&gt;""),M$4&amp;"; ","")&amp;IF(AND(N89="✓",N$4&lt;&gt;""),N$4&amp;"; ","")&amp;IF(AND(O89="✓",O$4&lt;&gt;""),O$4&amp;"; ","")&amp;IF(AND(P89="✓",P$4&lt;&gt;""),P$4&amp;"; ","")&amp;IF(AND(Q89="✓",Q$4&lt;&gt;""),Q$4&amp;"; ","")&amp;IF(AND(R89="✓",R$4&lt;&gt;""),R$4&amp;"; ","")&amp;IF(AND(S89="✓",S$4&lt;&gt;""),S$4&amp;"; ","")&amp;IF(AND(T89="✓",T$4&lt;&gt;""),T$4&amp;"; ","")&amp;IF(AND(U89="✓",U$4&lt;&gt;""),U$4&amp;"; ","")&amp;IF(AND(V89="✓",V$4&lt;&gt;""),V$4&amp;"; ","")&amp;IF(AND(W89="✓",W$4&lt;&gt;""),W$4&amp;"; ","")&amp;IF(AND(X89="✓",X$4&lt;&gt;""),X$4&amp;"; ","")&amp;IF(AND(Y89="✓",Y$4&lt;&gt;""),Y$4&amp;"; ","")&amp;IF(AND(Z89="✓",Z$4&lt;&gt;""),Z$4&amp;"; ","")&amp;IF(AND(AA89="✓",AA$4&lt;&gt;""),AA$4&amp;"; ","")&amp;IF(AND(AB89="✓",AB$4&lt;&gt;""),AB$4&amp;"; ","")&amp;IF(AND(AC89="✓",AC$4&lt;&gt;""),AC$4&amp;"; ","")&amp;IF(AND(AD89="✓",AD$4&lt;&gt;""),AD$4&amp;"; ","")&amp;IF(AND(AE89="✓",AE$4&lt;&gt;""),AE$4&amp;"; ","")&amp;IF(AND(AF89="✓",AF$4&lt;&gt;""),AF$4&amp;"; ","")&amp;IF(AND(AG89="✓",AG$4&lt;&gt;""),AG$4&amp;"; ","")&amp;IF(AND(AH89="✓",AH$4&lt;&gt;""),AH$4&amp;"; ","")&amp;IF(AND(AI89="✓",AI$4&lt;&gt;""),AI$4&amp;"; ","")&amp;IF(AND(AJ89="✓",AJ$4&lt;&gt;""),AJ$4&amp;"; ","")&amp;IF(AND(AK89="✓",AK$4&lt;&gt;""),AK$4&amp;"; ","")&amp;IF(AND(AL89="✓",AL$4&lt;&gt;""),AL$4&amp;"; ","")&amp;IF(AND(AM89="✓",AM$4&lt;&gt;""),AM$4&amp;"; ","")&amp;IF(AND(AN89="✓",AN$4&lt;&gt;""),AN$4&amp;"; ","")&amp;IF(AND(AO89="✓",AO$4&lt;&gt;""),AO$4&amp;"; ","")&amp;IF(AND(AP89="✓",AP$4&lt;&gt;""),AP$4&amp;"; ","")&amp;IF(AND(AQ89="✓",AQ$4&lt;&gt;""),AQ$4&amp;"; ","")&amp;IF(AND(AR89="✓",AR$4&lt;&gt;""),AR$4&amp;"; ","")&amp;IF(AND(AS89="✓",AS$4&lt;&gt;""),AS$4&amp;"; ","")&amp;IF(AND(AT89="✓",AT$4&lt;&gt;""),AT$4&amp;"; ","")&amp;IF(AND(AU89="✓",AU$4&lt;&gt;""),AU$4&amp;"; ","")&amp;IF(AND(AV89="✓",AV$4&lt;&gt;""),AV$4&amp;"; ","")&amp;IF(AND(AW89="✓",AW$4&lt;&gt;""),AW$4&amp;"; ","")&amp;IF(AND(AX89="✓",AX$4&lt;&gt;""),AX$4&amp;"; ","")&amp;IF(AND(AY89="✓",AY$4&lt;&gt;""),AY$4&amp;"; ","")&amp;IF(AND(AZ89="✓",AZ$4&lt;&gt;""),AZ$4&amp;"; ","")&amp;IF(AND(BA89="✓",BA$4&lt;&gt;""),BA$4&amp;"; ","")&amp;IF(AND(BB89="✓",BB$4&lt;&gt;""),BB$4&amp;"; ","")&amp;IF(AND(BC89="✓",BC$4&lt;&gt;""),BC$4&amp;"; ","")&amp;IF(AND(BD89="✓",BD$4&lt;&gt;""),BD$4&amp;"; ","")&amp;IF(AND(BE89="✓",BE$4&lt;&gt;""),BE$4&amp;"; ","")&amp;IF(AND(BF89="✓",BF$4&lt;&gt;""),BF$4&amp;"; ","")&amp;IF(AND(BG89="✓",BG$4&lt;&gt;""),BG$4&amp;"; ","")&amp;IF(AND(BH89="✓",BH$4&lt;&gt;""),BH$4&amp;"; ","")&amp;IF(AND(BI89="✓",BI$4&lt;&gt;""),BI$4&amp;"; ","")&amp;IF(AND(BJ89="✓",BJ$4&lt;&gt;""),BJ$4&amp;"; ","")&amp;IF(AND(BK89="✓",BK$4&lt;&gt;""),BK$4&amp;"; ","")&amp;IF(AND(BL89="✓",BL$4&lt;&gt;""),BL$4&amp;"; ","")&amp;IF(AND(BM89="✓",BM$4&lt;&gt;""),BM$4&amp;"; ","")&amp;IF(AND(BN89="✓",BN$4&lt;&gt;""),BN$4&amp;"; ","")&amp;IF(AND(BO89="✓",BO$4&lt;&gt;""),BO$4&amp;"; ","")&amp;IF(AND(BP89="✓",BP$4&lt;&gt;""),BP$4&amp;"; ","")&amp;IF(AND(BQ89="✓",BQ$4&lt;&gt;""),BQ$4&amp;"; ","")&amp;IF(AND(BR89="✓",BR$4&lt;&gt;""),BR$4&amp;"; ","")&amp;IF(AND(BS89="✓",BS$4&lt;&gt;""),BS$4&amp;"; ","")&amp;IF(AND(BT89="✓",BT$4&lt;&gt;""),BT$4&amp;"; ","")&amp;IF(AND(BU89="✓",BU$4&lt;&gt;""),BU$4&amp;"; ","")&amp;IF(AND(BV89="✓",BV$4&lt;&gt;""),BV$4&amp;"; ","")&amp;IF(AND(BW89="✓",BW$4&lt;&gt;""),BW$4&amp;"; ","")&amp;IF(AND(BX89="✓",BX$4&lt;&gt;""),BX$4&amp;"; ","")&amp;IF(AND(BY89="✓",BY$4&lt;&gt;""),BY$4&amp;"; ","")&amp;IF(AND(BZ89="✓",BZ$4&lt;&gt;""),BZ$4&amp;"; ","")&amp;IF(AND(CA89="✓",CA$4&lt;&gt;""),CA$4&amp;"; ","")&amp;IF(AND(CB89="✓",CB$4&lt;&gt;""),CB$4&amp;"; ","")&amp;IF(AND(CC89="✓",CC$4&lt;&gt;""),CC$4&amp;"; ","")&amp;IF(AND(CD89="✓",CD$4&lt;&gt;""),CD$4&amp;"; ","")&amp;IF(AND(CE89="✓",CE$4&lt;&gt;""),CE$4&amp;"; ","")&amp;IF(AND(CF89="✓",CF$4&lt;&gt;""),CF$4&amp;"; ","")&amp;IF(AND(CG89="✓",CG$4&lt;&gt;""),CG$4&amp;"; ","")&amp;IF(AND(CH89="✓",CH$4&lt;&gt;""),CH$4&amp;"; ","")&amp;IF(AND(CI89="✓",CI$4&lt;&gt;""),CI$4&amp;"; ","")&amp;IF(AND(CJ89="✓",CJ$4&lt;&gt;""),CJ$4&amp;"; ","")&amp;IF(AND(CK89="✓",CK$4&lt;&gt;""),CK$4&amp;"; ","")&amp;IF(AND(CL89="✓",CL$4&lt;&gt;""),CL$4&amp;"; ","")&amp;IF(AND(CM89="✓",CM$4&lt;&gt;""),CM$4&amp;"; ","")&amp;IF(AND(CN89="✓",CN$4&lt;&gt;""),CN$4&amp;"; ","")&amp;IF(AND(CO89="✓",CO$4&lt;&gt;""),CO$4&amp;"; ","")</f>
        <v/>
      </c>
      <c r="CQ89" s="104" t="str">
        <f aca="false">IF($CP89="","",LEFT($CP89,LEN($CP89)-2))</f>
        <v/>
      </c>
      <c r="CR89" s="234" t="str">
        <f aca="false">IF($A89="","",COUNTIF($D89:$CO89,"✓"))</f>
        <v/>
      </c>
    </row>
    <row r="90" customFormat="false" ht="21.75" hidden="false" customHeight="true" outlineLevel="0" collapsed="false">
      <c r="A90" s="231" t="str">
        <f aca="false">IF(03_能力總表_Master!$A90="","",03_能力總表_Master!$A90)</f>
        <v/>
      </c>
      <c r="B90" s="166" t="str">
        <f aca="false">IF(03_能力總表_Master!$A90="","",03_能力總表_Master!$B90)</f>
        <v/>
      </c>
      <c r="C90" s="95" t="str">
        <f aca="false">IF(03_能力總表_Master!$A90="","",03_能力總表_Master!$E90)</f>
        <v/>
      </c>
      <c r="D90" s="232"/>
      <c r="E90" s="232"/>
      <c r="F90" s="232"/>
      <c r="G90" s="232"/>
      <c r="H90" s="232"/>
      <c r="I90" s="232"/>
      <c r="J90" s="232"/>
      <c r="K90" s="232"/>
      <c r="L90" s="232"/>
      <c r="M90" s="232"/>
      <c r="N90" s="232"/>
      <c r="O90" s="232"/>
      <c r="P90" s="232"/>
      <c r="Q90" s="232"/>
      <c r="R90" s="232"/>
      <c r="S90" s="232"/>
      <c r="T90" s="232"/>
      <c r="U90" s="232"/>
      <c r="V90" s="232"/>
      <c r="W90" s="232"/>
      <c r="X90" s="232"/>
      <c r="Y90" s="232"/>
      <c r="Z90" s="232"/>
      <c r="AA90" s="232"/>
      <c r="AB90" s="232"/>
      <c r="AC90" s="232"/>
      <c r="AD90" s="232"/>
      <c r="AE90" s="232"/>
      <c r="AF90" s="232"/>
      <c r="AG90" s="232"/>
      <c r="AH90" s="232"/>
      <c r="AI90" s="232"/>
      <c r="AJ90" s="232"/>
      <c r="AK90" s="232"/>
      <c r="AL90" s="232"/>
      <c r="AM90" s="232"/>
      <c r="AN90" s="232"/>
      <c r="AO90" s="232"/>
      <c r="AP90" s="232"/>
      <c r="AQ90" s="232"/>
      <c r="AR90" s="232"/>
      <c r="AS90" s="232"/>
      <c r="AT90" s="232"/>
      <c r="AU90" s="232"/>
      <c r="AV90" s="232"/>
      <c r="AW90" s="232"/>
      <c r="AX90" s="232"/>
      <c r="AY90" s="232"/>
      <c r="AZ90" s="232"/>
      <c r="BA90" s="232"/>
      <c r="BB90" s="232"/>
      <c r="BC90" s="232"/>
      <c r="BD90" s="232"/>
      <c r="BE90" s="232"/>
      <c r="BF90" s="232"/>
      <c r="BG90" s="232"/>
      <c r="BH90" s="232"/>
      <c r="BI90" s="232"/>
      <c r="BJ90" s="232"/>
      <c r="BK90" s="232"/>
      <c r="BL90" s="232"/>
      <c r="BM90" s="232"/>
      <c r="BN90" s="232"/>
      <c r="BO90" s="232"/>
      <c r="BP90" s="232"/>
      <c r="BQ90" s="232"/>
      <c r="BR90" s="232"/>
      <c r="BS90" s="232"/>
      <c r="BT90" s="232"/>
      <c r="BU90" s="232"/>
      <c r="BV90" s="232"/>
      <c r="BW90" s="232"/>
      <c r="BX90" s="232"/>
      <c r="BY90" s="232"/>
      <c r="BZ90" s="232"/>
      <c r="CA90" s="232"/>
      <c r="CB90" s="232"/>
      <c r="CC90" s="232"/>
      <c r="CD90" s="232"/>
      <c r="CE90" s="232"/>
      <c r="CF90" s="232"/>
      <c r="CG90" s="232"/>
      <c r="CH90" s="232"/>
      <c r="CI90" s="232"/>
      <c r="CJ90" s="232"/>
      <c r="CK90" s="232"/>
      <c r="CL90" s="232"/>
      <c r="CM90" s="232"/>
      <c r="CN90" s="232"/>
      <c r="CO90" s="232"/>
      <c r="CP90" s="233" t="str">
        <f aca="false">IF(AND(D90="✓",D$4&lt;&gt;""),D$4&amp;"; ","")&amp;IF(AND(E90="✓",E$4&lt;&gt;""),E$4&amp;"; ","")&amp;IF(AND(F90="✓",F$4&lt;&gt;""),F$4&amp;"; ","")&amp;IF(AND(G90="✓",G$4&lt;&gt;""),G$4&amp;"; ","")&amp;IF(AND(H90="✓",H$4&lt;&gt;""),H$4&amp;"; ","")&amp;IF(AND(I90="✓",I$4&lt;&gt;""),I$4&amp;"; ","")&amp;IF(AND(J90="✓",J$4&lt;&gt;""),J$4&amp;"; ","")&amp;IF(AND(K90="✓",K$4&lt;&gt;""),K$4&amp;"; ","")&amp;IF(AND(L90="✓",L$4&lt;&gt;""),L$4&amp;"; ","")&amp;IF(AND(M90="✓",M$4&lt;&gt;""),M$4&amp;"; ","")&amp;IF(AND(N90="✓",N$4&lt;&gt;""),N$4&amp;"; ","")&amp;IF(AND(O90="✓",O$4&lt;&gt;""),O$4&amp;"; ","")&amp;IF(AND(P90="✓",P$4&lt;&gt;""),P$4&amp;"; ","")&amp;IF(AND(Q90="✓",Q$4&lt;&gt;""),Q$4&amp;"; ","")&amp;IF(AND(R90="✓",R$4&lt;&gt;""),R$4&amp;"; ","")&amp;IF(AND(S90="✓",S$4&lt;&gt;""),S$4&amp;"; ","")&amp;IF(AND(T90="✓",T$4&lt;&gt;""),T$4&amp;"; ","")&amp;IF(AND(U90="✓",U$4&lt;&gt;""),U$4&amp;"; ","")&amp;IF(AND(V90="✓",V$4&lt;&gt;""),V$4&amp;"; ","")&amp;IF(AND(W90="✓",W$4&lt;&gt;""),W$4&amp;"; ","")&amp;IF(AND(X90="✓",X$4&lt;&gt;""),X$4&amp;"; ","")&amp;IF(AND(Y90="✓",Y$4&lt;&gt;""),Y$4&amp;"; ","")&amp;IF(AND(Z90="✓",Z$4&lt;&gt;""),Z$4&amp;"; ","")&amp;IF(AND(AA90="✓",AA$4&lt;&gt;""),AA$4&amp;"; ","")&amp;IF(AND(AB90="✓",AB$4&lt;&gt;""),AB$4&amp;"; ","")&amp;IF(AND(AC90="✓",AC$4&lt;&gt;""),AC$4&amp;"; ","")&amp;IF(AND(AD90="✓",AD$4&lt;&gt;""),AD$4&amp;"; ","")&amp;IF(AND(AE90="✓",AE$4&lt;&gt;""),AE$4&amp;"; ","")&amp;IF(AND(AF90="✓",AF$4&lt;&gt;""),AF$4&amp;"; ","")&amp;IF(AND(AG90="✓",AG$4&lt;&gt;""),AG$4&amp;"; ","")&amp;IF(AND(AH90="✓",AH$4&lt;&gt;""),AH$4&amp;"; ","")&amp;IF(AND(AI90="✓",AI$4&lt;&gt;""),AI$4&amp;"; ","")&amp;IF(AND(AJ90="✓",AJ$4&lt;&gt;""),AJ$4&amp;"; ","")&amp;IF(AND(AK90="✓",AK$4&lt;&gt;""),AK$4&amp;"; ","")&amp;IF(AND(AL90="✓",AL$4&lt;&gt;""),AL$4&amp;"; ","")&amp;IF(AND(AM90="✓",AM$4&lt;&gt;""),AM$4&amp;"; ","")&amp;IF(AND(AN90="✓",AN$4&lt;&gt;""),AN$4&amp;"; ","")&amp;IF(AND(AO90="✓",AO$4&lt;&gt;""),AO$4&amp;"; ","")&amp;IF(AND(AP90="✓",AP$4&lt;&gt;""),AP$4&amp;"; ","")&amp;IF(AND(AQ90="✓",AQ$4&lt;&gt;""),AQ$4&amp;"; ","")&amp;IF(AND(AR90="✓",AR$4&lt;&gt;""),AR$4&amp;"; ","")&amp;IF(AND(AS90="✓",AS$4&lt;&gt;""),AS$4&amp;"; ","")&amp;IF(AND(AT90="✓",AT$4&lt;&gt;""),AT$4&amp;"; ","")&amp;IF(AND(AU90="✓",AU$4&lt;&gt;""),AU$4&amp;"; ","")&amp;IF(AND(AV90="✓",AV$4&lt;&gt;""),AV$4&amp;"; ","")&amp;IF(AND(AW90="✓",AW$4&lt;&gt;""),AW$4&amp;"; ","")&amp;IF(AND(AX90="✓",AX$4&lt;&gt;""),AX$4&amp;"; ","")&amp;IF(AND(AY90="✓",AY$4&lt;&gt;""),AY$4&amp;"; ","")&amp;IF(AND(AZ90="✓",AZ$4&lt;&gt;""),AZ$4&amp;"; ","")&amp;IF(AND(BA90="✓",BA$4&lt;&gt;""),BA$4&amp;"; ","")&amp;IF(AND(BB90="✓",BB$4&lt;&gt;""),BB$4&amp;"; ","")&amp;IF(AND(BC90="✓",BC$4&lt;&gt;""),BC$4&amp;"; ","")&amp;IF(AND(BD90="✓",BD$4&lt;&gt;""),BD$4&amp;"; ","")&amp;IF(AND(BE90="✓",BE$4&lt;&gt;""),BE$4&amp;"; ","")&amp;IF(AND(BF90="✓",BF$4&lt;&gt;""),BF$4&amp;"; ","")&amp;IF(AND(BG90="✓",BG$4&lt;&gt;""),BG$4&amp;"; ","")&amp;IF(AND(BH90="✓",BH$4&lt;&gt;""),BH$4&amp;"; ","")&amp;IF(AND(BI90="✓",BI$4&lt;&gt;""),BI$4&amp;"; ","")&amp;IF(AND(BJ90="✓",BJ$4&lt;&gt;""),BJ$4&amp;"; ","")&amp;IF(AND(BK90="✓",BK$4&lt;&gt;""),BK$4&amp;"; ","")&amp;IF(AND(BL90="✓",BL$4&lt;&gt;""),BL$4&amp;"; ","")&amp;IF(AND(BM90="✓",BM$4&lt;&gt;""),BM$4&amp;"; ","")&amp;IF(AND(BN90="✓",BN$4&lt;&gt;""),BN$4&amp;"; ","")&amp;IF(AND(BO90="✓",BO$4&lt;&gt;""),BO$4&amp;"; ","")&amp;IF(AND(BP90="✓",BP$4&lt;&gt;""),BP$4&amp;"; ","")&amp;IF(AND(BQ90="✓",BQ$4&lt;&gt;""),BQ$4&amp;"; ","")&amp;IF(AND(BR90="✓",BR$4&lt;&gt;""),BR$4&amp;"; ","")&amp;IF(AND(BS90="✓",BS$4&lt;&gt;""),BS$4&amp;"; ","")&amp;IF(AND(BT90="✓",BT$4&lt;&gt;""),BT$4&amp;"; ","")&amp;IF(AND(BU90="✓",BU$4&lt;&gt;""),BU$4&amp;"; ","")&amp;IF(AND(BV90="✓",BV$4&lt;&gt;""),BV$4&amp;"; ","")&amp;IF(AND(BW90="✓",BW$4&lt;&gt;""),BW$4&amp;"; ","")&amp;IF(AND(BX90="✓",BX$4&lt;&gt;""),BX$4&amp;"; ","")&amp;IF(AND(BY90="✓",BY$4&lt;&gt;""),BY$4&amp;"; ","")&amp;IF(AND(BZ90="✓",BZ$4&lt;&gt;""),BZ$4&amp;"; ","")&amp;IF(AND(CA90="✓",CA$4&lt;&gt;""),CA$4&amp;"; ","")&amp;IF(AND(CB90="✓",CB$4&lt;&gt;""),CB$4&amp;"; ","")&amp;IF(AND(CC90="✓",CC$4&lt;&gt;""),CC$4&amp;"; ","")&amp;IF(AND(CD90="✓",CD$4&lt;&gt;""),CD$4&amp;"; ","")&amp;IF(AND(CE90="✓",CE$4&lt;&gt;""),CE$4&amp;"; ","")&amp;IF(AND(CF90="✓",CF$4&lt;&gt;""),CF$4&amp;"; ","")&amp;IF(AND(CG90="✓",CG$4&lt;&gt;""),CG$4&amp;"; ","")&amp;IF(AND(CH90="✓",CH$4&lt;&gt;""),CH$4&amp;"; ","")&amp;IF(AND(CI90="✓",CI$4&lt;&gt;""),CI$4&amp;"; ","")&amp;IF(AND(CJ90="✓",CJ$4&lt;&gt;""),CJ$4&amp;"; ","")&amp;IF(AND(CK90="✓",CK$4&lt;&gt;""),CK$4&amp;"; ","")&amp;IF(AND(CL90="✓",CL$4&lt;&gt;""),CL$4&amp;"; ","")&amp;IF(AND(CM90="✓",CM$4&lt;&gt;""),CM$4&amp;"; ","")&amp;IF(AND(CN90="✓",CN$4&lt;&gt;""),CN$4&amp;"; ","")&amp;IF(AND(CO90="✓",CO$4&lt;&gt;""),CO$4&amp;"; ","")</f>
        <v/>
      </c>
      <c r="CQ90" s="104" t="str">
        <f aca="false">IF($CP90="","",LEFT($CP90,LEN($CP90)-2))</f>
        <v/>
      </c>
      <c r="CR90" s="234" t="str">
        <f aca="false">IF($A90="","",COUNTIF($D90:$CO90,"✓"))</f>
        <v/>
      </c>
    </row>
    <row r="91" customFormat="false" ht="21.75" hidden="false" customHeight="true" outlineLevel="0" collapsed="false">
      <c r="A91" s="231" t="str">
        <f aca="false">IF(03_能力總表_Master!$A91="","",03_能力總表_Master!$A91)</f>
        <v/>
      </c>
      <c r="B91" s="166" t="str">
        <f aca="false">IF(03_能力總表_Master!$A91="","",03_能力總表_Master!$B91)</f>
        <v/>
      </c>
      <c r="C91" s="95" t="str">
        <f aca="false">IF(03_能力總表_Master!$A91="","",03_能力總表_Master!$E91)</f>
        <v/>
      </c>
      <c r="D91" s="232"/>
      <c r="E91" s="232"/>
      <c r="F91" s="232"/>
      <c r="G91" s="232"/>
      <c r="H91" s="232"/>
      <c r="I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232"/>
      <c r="Z91" s="232"/>
      <c r="AA91" s="232"/>
      <c r="AB91" s="232"/>
      <c r="AC91" s="232"/>
      <c r="AD91" s="232"/>
      <c r="AE91" s="232"/>
      <c r="AF91" s="232"/>
      <c r="AG91" s="232"/>
      <c r="AH91" s="232"/>
      <c r="AI91" s="232"/>
      <c r="AJ91" s="232"/>
      <c r="AK91" s="232"/>
      <c r="AL91" s="232"/>
      <c r="AM91" s="232"/>
      <c r="AN91" s="232"/>
      <c r="AO91" s="232"/>
      <c r="AP91" s="232"/>
      <c r="AQ91" s="232"/>
      <c r="AR91" s="232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232"/>
      <c r="BH91" s="232"/>
      <c r="BI91" s="232"/>
      <c r="BJ91" s="232"/>
      <c r="BK91" s="232"/>
      <c r="BL91" s="232"/>
      <c r="BM91" s="232"/>
      <c r="BN91" s="232"/>
      <c r="BO91" s="232"/>
      <c r="BP91" s="232"/>
      <c r="BQ91" s="232"/>
      <c r="BR91" s="232"/>
      <c r="BS91" s="232"/>
      <c r="BT91" s="232"/>
      <c r="BU91" s="232"/>
      <c r="BV91" s="232"/>
      <c r="BW91" s="232"/>
      <c r="BX91" s="232"/>
      <c r="BY91" s="232"/>
      <c r="BZ91" s="232"/>
      <c r="CA91" s="232"/>
      <c r="CB91" s="232"/>
      <c r="CC91" s="232"/>
      <c r="CD91" s="232"/>
      <c r="CE91" s="232"/>
      <c r="CF91" s="232"/>
      <c r="CG91" s="232"/>
      <c r="CH91" s="232"/>
      <c r="CI91" s="232"/>
      <c r="CJ91" s="232"/>
      <c r="CK91" s="232"/>
      <c r="CL91" s="232"/>
      <c r="CM91" s="232"/>
      <c r="CN91" s="232"/>
      <c r="CO91" s="232"/>
      <c r="CP91" s="233" t="str">
        <f aca="false">IF(AND(D91="✓",D$4&lt;&gt;""),D$4&amp;"; ","")&amp;IF(AND(E91="✓",E$4&lt;&gt;""),E$4&amp;"; ","")&amp;IF(AND(F91="✓",F$4&lt;&gt;""),F$4&amp;"; ","")&amp;IF(AND(G91="✓",G$4&lt;&gt;""),G$4&amp;"; ","")&amp;IF(AND(H91="✓",H$4&lt;&gt;""),H$4&amp;"; ","")&amp;IF(AND(I91="✓",I$4&lt;&gt;""),I$4&amp;"; ","")&amp;IF(AND(J91="✓",J$4&lt;&gt;""),J$4&amp;"; ","")&amp;IF(AND(K91="✓",K$4&lt;&gt;""),K$4&amp;"; ","")&amp;IF(AND(L91="✓",L$4&lt;&gt;""),L$4&amp;"; ","")&amp;IF(AND(M91="✓",M$4&lt;&gt;""),M$4&amp;"; ","")&amp;IF(AND(N91="✓",N$4&lt;&gt;""),N$4&amp;"; ","")&amp;IF(AND(O91="✓",O$4&lt;&gt;""),O$4&amp;"; ","")&amp;IF(AND(P91="✓",P$4&lt;&gt;""),P$4&amp;"; ","")&amp;IF(AND(Q91="✓",Q$4&lt;&gt;""),Q$4&amp;"; ","")&amp;IF(AND(R91="✓",R$4&lt;&gt;""),R$4&amp;"; ","")&amp;IF(AND(S91="✓",S$4&lt;&gt;""),S$4&amp;"; ","")&amp;IF(AND(T91="✓",T$4&lt;&gt;""),T$4&amp;"; ","")&amp;IF(AND(U91="✓",U$4&lt;&gt;""),U$4&amp;"; ","")&amp;IF(AND(V91="✓",V$4&lt;&gt;""),V$4&amp;"; ","")&amp;IF(AND(W91="✓",W$4&lt;&gt;""),W$4&amp;"; ","")&amp;IF(AND(X91="✓",X$4&lt;&gt;""),X$4&amp;"; ","")&amp;IF(AND(Y91="✓",Y$4&lt;&gt;""),Y$4&amp;"; ","")&amp;IF(AND(Z91="✓",Z$4&lt;&gt;""),Z$4&amp;"; ","")&amp;IF(AND(AA91="✓",AA$4&lt;&gt;""),AA$4&amp;"; ","")&amp;IF(AND(AB91="✓",AB$4&lt;&gt;""),AB$4&amp;"; ","")&amp;IF(AND(AC91="✓",AC$4&lt;&gt;""),AC$4&amp;"; ","")&amp;IF(AND(AD91="✓",AD$4&lt;&gt;""),AD$4&amp;"; ","")&amp;IF(AND(AE91="✓",AE$4&lt;&gt;""),AE$4&amp;"; ","")&amp;IF(AND(AF91="✓",AF$4&lt;&gt;""),AF$4&amp;"; ","")&amp;IF(AND(AG91="✓",AG$4&lt;&gt;""),AG$4&amp;"; ","")&amp;IF(AND(AH91="✓",AH$4&lt;&gt;""),AH$4&amp;"; ","")&amp;IF(AND(AI91="✓",AI$4&lt;&gt;""),AI$4&amp;"; ","")&amp;IF(AND(AJ91="✓",AJ$4&lt;&gt;""),AJ$4&amp;"; ","")&amp;IF(AND(AK91="✓",AK$4&lt;&gt;""),AK$4&amp;"; ","")&amp;IF(AND(AL91="✓",AL$4&lt;&gt;""),AL$4&amp;"; ","")&amp;IF(AND(AM91="✓",AM$4&lt;&gt;""),AM$4&amp;"; ","")&amp;IF(AND(AN91="✓",AN$4&lt;&gt;""),AN$4&amp;"; ","")&amp;IF(AND(AO91="✓",AO$4&lt;&gt;""),AO$4&amp;"; ","")&amp;IF(AND(AP91="✓",AP$4&lt;&gt;""),AP$4&amp;"; ","")&amp;IF(AND(AQ91="✓",AQ$4&lt;&gt;""),AQ$4&amp;"; ","")&amp;IF(AND(AR91="✓",AR$4&lt;&gt;""),AR$4&amp;"; ","")&amp;IF(AND(AS91="✓",AS$4&lt;&gt;""),AS$4&amp;"; ","")&amp;IF(AND(AT91="✓",AT$4&lt;&gt;""),AT$4&amp;"; ","")&amp;IF(AND(AU91="✓",AU$4&lt;&gt;""),AU$4&amp;"; ","")&amp;IF(AND(AV91="✓",AV$4&lt;&gt;""),AV$4&amp;"; ","")&amp;IF(AND(AW91="✓",AW$4&lt;&gt;""),AW$4&amp;"; ","")&amp;IF(AND(AX91="✓",AX$4&lt;&gt;""),AX$4&amp;"; ","")&amp;IF(AND(AY91="✓",AY$4&lt;&gt;""),AY$4&amp;"; ","")&amp;IF(AND(AZ91="✓",AZ$4&lt;&gt;""),AZ$4&amp;"; ","")&amp;IF(AND(BA91="✓",BA$4&lt;&gt;""),BA$4&amp;"; ","")&amp;IF(AND(BB91="✓",BB$4&lt;&gt;""),BB$4&amp;"; ","")&amp;IF(AND(BC91="✓",BC$4&lt;&gt;""),BC$4&amp;"; ","")&amp;IF(AND(BD91="✓",BD$4&lt;&gt;""),BD$4&amp;"; ","")&amp;IF(AND(BE91="✓",BE$4&lt;&gt;""),BE$4&amp;"; ","")&amp;IF(AND(BF91="✓",BF$4&lt;&gt;""),BF$4&amp;"; ","")&amp;IF(AND(BG91="✓",BG$4&lt;&gt;""),BG$4&amp;"; ","")&amp;IF(AND(BH91="✓",BH$4&lt;&gt;""),BH$4&amp;"; ","")&amp;IF(AND(BI91="✓",BI$4&lt;&gt;""),BI$4&amp;"; ","")&amp;IF(AND(BJ91="✓",BJ$4&lt;&gt;""),BJ$4&amp;"; ","")&amp;IF(AND(BK91="✓",BK$4&lt;&gt;""),BK$4&amp;"; ","")&amp;IF(AND(BL91="✓",BL$4&lt;&gt;""),BL$4&amp;"; ","")&amp;IF(AND(BM91="✓",BM$4&lt;&gt;""),BM$4&amp;"; ","")&amp;IF(AND(BN91="✓",BN$4&lt;&gt;""),BN$4&amp;"; ","")&amp;IF(AND(BO91="✓",BO$4&lt;&gt;""),BO$4&amp;"; ","")&amp;IF(AND(BP91="✓",BP$4&lt;&gt;""),BP$4&amp;"; ","")&amp;IF(AND(BQ91="✓",BQ$4&lt;&gt;""),BQ$4&amp;"; ","")&amp;IF(AND(BR91="✓",BR$4&lt;&gt;""),BR$4&amp;"; ","")&amp;IF(AND(BS91="✓",BS$4&lt;&gt;""),BS$4&amp;"; ","")&amp;IF(AND(BT91="✓",BT$4&lt;&gt;""),BT$4&amp;"; ","")&amp;IF(AND(BU91="✓",BU$4&lt;&gt;""),BU$4&amp;"; ","")&amp;IF(AND(BV91="✓",BV$4&lt;&gt;""),BV$4&amp;"; ","")&amp;IF(AND(BW91="✓",BW$4&lt;&gt;""),BW$4&amp;"; ","")&amp;IF(AND(BX91="✓",BX$4&lt;&gt;""),BX$4&amp;"; ","")&amp;IF(AND(BY91="✓",BY$4&lt;&gt;""),BY$4&amp;"; ","")&amp;IF(AND(BZ91="✓",BZ$4&lt;&gt;""),BZ$4&amp;"; ","")&amp;IF(AND(CA91="✓",CA$4&lt;&gt;""),CA$4&amp;"; ","")&amp;IF(AND(CB91="✓",CB$4&lt;&gt;""),CB$4&amp;"; ","")&amp;IF(AND(CC91="✓",CC$4&lt;&gt;""),CC$4&amp;"; ","")&amp;IF(AND(CD91="✓",CD$4&lt;&gt;""),CD$4&amp;"; ","")&amp;IF(AND(CE91="✓",CE$4&lt;&gt;""),CE$4&amp;"; ","")&amp;IF(AND(CF91="✓",CF$4&lt;&gt;""),CF$4&amp;"; ","")&amp;IF(AND(CG91="✓",CG$4&lt;&gt;""),CG$4&amp;"; ","")&amp;IF(AND(CH91="✓",CH$4&lt;&gt;""),CH$4&amp;"; ","")&amp;IF(AND(CI91="✓",CI$4&lt;&gt;""),CI$4&amp;"; ","")&amp;IF(AND(CJ91="✓",CJ$4&lt;&gt;""),CJ$4&amp;"; ","")&amp;IF(AND(CK91="✓",CK$4&lt;&gt;""),CK$4&amp;"; ","")&amp;IF(AND(CL91="✓",CL$4&lt;&gt;""),CL$4&amp;"; ","")&amp;IF(AND(CM91="✓",CM$4&lt;&gt;""),CM$4&amp;"; ","")&amp;IF(AND(CN91="✓",CN$4&lt;&gt;""),CN$4&amp;"; ","")&amp;IF(AND(CO91="✓",CO$4&lt;&gt;""),CO$4&amp;"; ","")</f>
        <v/>
      </c>
      <c r="CQ91" s="104" t="str">
        <f aca="false">IF($CP91="","",LEFT($CP91,LEN($CP91)-2))</f>
        <v/>
      </c>
      <c r="CR91" s="234" t="str">
        <f aca="false">IF($A91="","",COUNTIF($D91:$CO91,"✓"))</f>
        <v/>
      </c>
    </row>
    <row r="92" customFormat="false" ht="21.75" hidden="false" customHeight="true" outlineLevel="0" collapsed="false">
      <c r="A92" s="231" t="str">
        <f aca="false">IF(03_能力總表_Master!$A92="","",03_能力總表_Master!$A92)</f>
        <v/>
      </c>
      <c r="B92" s="166" t="str">
        <f aca="false">IF(03_能力總表_Master!$A92="","",03_能力總表_Master!$B92)</f>
        <v/>
      </c>
      <c r="C92" s="95" t="str">
        <f aca="false">IF(03_能力總表_Master!$A92="","",03_能力總表_Master!$E92)</f>
        <v/>
      </c>
      <c r="D92" s="232"/>
      <c r="E92" s="232"/>
      <c r="F92" s="232"/>
      <c r="G92" s="232"/>
      <c r="H92" s="232"/>
      <c r="I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  <c r="AA92" s="232"/>
      <c r="AB92" s="232"/>
      <c r="AC92" s="232"/>
      <c r="AD92" s="232"/>
      <c r="AE92" s="232"/>
      <c r="AF92" s="232"/>
      <c r="AG92" s="232"/>
      <c r="AH92" s="232"/>
      <c r="AI92" s="232"/>
      <c r="AJ92" s="232"/>
      <c r="AK92" s="232"/>
      <c r="AL92" s="232"/>
      <c r="AM92" s="232"/>
      <c r="AN92" s="232"/>
      <c r="AO92" s="232"/>
      <c r="AP92" s="232"/>
      <c r="AQ92" s="232"/>
      <c r="AR92" s="232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232"/>
      <c r="BH92" s="232"/>
      <c r="BI92" s="232"/>
      <c r="BJ92" s="232"/>
      <c r="BK92" s="232"/>
      <c r="BL92" s="232"/>
      <c r="BM92" s="232"/>
      <c r="BN92" s="232"/>
      <c r="BO92" s="232"/>
      <c r="BP92" s="232"/>
      <c r="BQ92" s="232"/>
      <c r="BR92" s="232"/>
      <c r="BS92" s="232"/>
      <c r="BT92" s="232"/>
      <c r="BU92" s="232"/>
      <c r="BV92" s="232"/>
      <c r="BW92" s="232"/>
      <c r="BX92" s="232"/>
      <c r="BY92" s="232"/>
      <c r="BZ92" s="232"/>
      <c r="CA92" s="232"/>
      <c r="CB92" s="232"/>
      <c r="CC92" s="232"/>
      <c r="CD92" s="232"/>
      <c r="CE92" s="232"/>
      <c r="CF92" s="232"/>
      <c r="CG92" s="232"/>
      <c r="CH92" s="232"/>
      <c r="CI92" s="232"/>
      <c r="CJ92" s="232"/>
      <c r="CK92" s="232"/>
      <c r="CL92" s="232"/>
      <c r="CM92" s="232"/>
      <c r="CN92" s="232"/>
      <c r="CO92" s="232"/>
      <c r="CP92" s="233" t="str">
        <f aca="false">IF(AND(D92="✓",D$4&lt;&gt;""),D$4&amp;"; ","")&amp;IF(AND(E92="✓",E$4&lt;&gt;""),E$4&amp;"; ","")&amp;IF(AND(F92="✓",F$4&lt;&gt;""),F$4&amp;"; ","")&amp;IF(AND(G92="✓",G$4&lt;&gt;""),G$4&amp;"; ","")&amp;IF(AND(H92="✓",H$4&lt;&gt;""),H$4&amp;"; ","")&amp;IF(AND(I92="✓",I$4&lt;&gt;""),I$4&amp;"; ","")&amp;IF(AND(J92="✓",J$4&lt;&gt;""),J$4&amp;"; ","")&amp;IF(AND(K92="✓",K$4&lt;&gt;""),K$4&amp;"; ","")&amp;IF(AND(L92="✓",L$4&lt;&gt;""),L$4&amp;"; ","")&amp;IF(AND(M92="✓",M$4&lt;&gt;""),M$4&amp;"; ","")&amp;IF(AND(N92="✓",N$4&lt;&gt;""),N$4&amp;"; ","")&amp;IF(AND(O92="✓",O$4&lt;&gt;""),O$4&amp;"; ","")&amp;IF(AND(P92="✓",P$4&lt;&gt;""),P$4&amp;"; ","")&amp;IF(AND(Q92="✓",Q$4&lt;&gt;""),Q$4&amp;"; ","")&amp;IF(AND(R92="✓",R$4&lt;&gt;""),R$4&amp;"; ","")&amp;IF(AND(S92="✓",S$4&lt;&gt;""),S$4&amp;"; ","")&amp;IF(AND(T92="✓",T$4&lt;&gt;""),T$4&amp;"; ","")&amp;IF(AND(U92="✓",U$4&lt;&gt;""),U$4&amp;"; ","")&amp;IF(AND(V92="✓",V$4&lt;&gt;""),V$4&amp;"; ","")&amp;IF(AND(W92="✓",W$4&lt;&gt;""),W$4&amp;"; ","")&amp;IF(AND(X92="✓",X$4&lt;&gt;""),X$4&amp;"; ","")&amp;IF(AND(Y92="✓",Y$4&lt;&gt;""),Y$4&amp;"; ","")&amp;IF(AND(Z92="✓",Z$4&lt;&gt;""),Z$4&amp;"; ","")&amp;IF(AND(AA92="✓",AA$4&lt;&gt;""),AA$4&amp;"; ","")&amp;IF(AND(AB92="✓",AB$4&lt;&gt;""),AB$4&amp;"; ","")&amp;IF(AND(AC92="✓",AC$4&lt;&gt;""),AC$4&amp;"; ","")&amp;IF(AND(AD92="✓",AD$4&lt;&gt;""),AD$4&amp;"; ","")&amp;IF(AND(AE92="✓",AE$4&lt;&gt;""),AE$4&amp;"; ","")&amp;IF(AND(AF92="✓",AF$4&lt;&gt;""),AF$4&amp;"; ","")&amp;IF(AND(AG92="✓",AG$4&lt;&gt;""),AG$4&amp;"; ","")&amp;IF(AND(AH92="✓",AH$4&lt;&gt;""),AH$4&amp;"; ","")&amp;IF(AND(AI92="✓",AI$4&lt;&gt;""),AI$4&amp;"; ","")&amp;IF(AND(AJ92="✓",AJ$4&lt;&gt;""),AJ$4&amp;"; ","")&amp;IF(AND(AK92="✓",AK$4&lt;&gt;""),AK$4&amp;"; ","")&amp;IF(AND(AL92="✓",AL$4&lt;&gt;""),AL$4&amp;"; ","")&amp;IF(AND(AM92="✓",AM$4&lt;&gt;""),AM$4&amp;"; ","")&amp;IF(AND(AN92="✓",AN$4&lt;&gt;""),AN$4&amp;"; ","")&amp;IF(AND(AO92="✓",AO$4&lt;&gt;""),AO$4&amp;"; ","")&amp;IF(AND(AP92="✓",AP$4&lt;&gt;""),AP$4&amp;"; ","")&amp;IF(AND(AQ92="✓",AQ$4&lt;&gt;""),AQ$4&amp;"; ","")&amp;IF(AND(AR92="✓",AR$4&lt;&gt;""),AR$4&amp;"; ","")&amp;IF(AND(AS92="✓",AS$4&lt;&gt;""),AS$4&amp;"; ","")&amp;IF(AND(AT92="✓",AT$4&lt;&gt;""),AT$4&amp;"; ","")&amp;IF(AND(AU92="✓",AU$4&lt;&gt;""),AU$4&amp;"; ","")&amp;IF(AND(AV92="✓",AV$4&lt;&gt;""),AV$4&amp;"; ","")&amp;IF(AND(AW92="✓",AW$4&lt;&gt;""),AW$4&amp;"; ","")&amp;IF(AND(AX92="✓",AX$4&lt;&gt;""),AX$4&amp;"; ","")&amp;IF(AND(AY92="✓",AY$4&lt;&gt;""),AY$4&amp;"; ","")&amp;IF(AND(AZ92="✓",AZ$4&lt;&gt;""),AZ$4&amp;"; ","")&amp;IF(AND(BA92="✓",BA$4&lt;&gt;""),BA$4&amp;"; ","")&amp;IF(AND(BB92="✓",BB$4&lt;&gt;""),BB$4&amp;"; ","")&amp;IF(AND(BC92="✓",BC$4&lt;&gt;""),BC$4&amp;"; ","")&amp;IF(AND(BD92="✓",BD$4&lt;&gt;""),BD$4&amp;"; ","")&amp;IF(AND(BE92="✓",BE$4&lt;&gt;""),BE$4&amp;"; ","")&amp;IF(AND(BF92="✓",BF$4&lt;&gt;""),BF$4&amp;"; ","")&amp;IF(AND(BG92="✓",BG$4&lt;&gt;""),BG$4&amp;"; ","")&amp;IF(AND(BH92="✓",BH$4&lt;&gt;""),BH$4&amp;"; ","")&amp;IF(AND(BI92="✓",BI$4&lt;&gt;""),BI$4&amp;"; ","")&amp;IF(AND(BJ92="✓",BJ$4&lt;&gt;""),BJ$4&amp;"; ","")&amp;IF(AND(BK92="✓",BK$4&lt;&gt;""),BK$4&amp;"; ","")&amp;IF(AND(BL92="✓",BL$4&lt;&gt;""),BL$4&amp;"; ","")&amp;IF(AND(BM92="✓",BM$4&lt;&gt;""),BM$4&amp;"; ","")&amp;IF(AND(BN92="✓",BN$4&lt;&gt;""),BN$4&amp;"; ","")&amp;IF(AND(BO92="✓",BO$4&lt;&gt;""),BO$4&amp;"; ","")&amp;IF(AND(BP92="✓",BP$4&lt;&gt;""),BP$4&amp;"; ","")&amp;IF(AND(BQ92="✓",BQ$4&lt;&gt;""),BQ$4&amp;"; ","")&amp;IF(AND(BR92="✓",BR$4&lt;&gt;""),BR$4&amp;"; ","")&amp;IF(AND(BS92="✓",BS$4&lt;&gt;""),BS$4&amp;"; ","")&amp;IF(AND(BT92="✓",BT$4&lt;&gt;""),BT$4&amp;"; ","")&amp;IF(AND(BU92="✓",BU$4&lt;&gt;""),BU$4&amp;"; ","")&amp;IF(AND(BV92="✓",BV$4&lt;&gt;""),BV$4&amp;"; ","")&amp;IF(AND(BW92="✓",BW$4&lt;&gt;""),BW$4&amp;"; ","")&amp;IF(AND(BX92="✓",BX$4&lt;&gt;""),BX$4&amp;"; ","")&amp;IF(AND(BY92="✓",BY$4&lt;&gt;""),BY$4&amp;"; ","")&amp;IF(AND(BZ92="✓",BZ$4&lt;&gt;""),BZ$4&amp;"; ","")&amp;IF(AND(CA92="✓",CA$4&lt;&gt;""),CA$4&amp;"; ","")&amp;IF(AND(CB92="✓",CB$4&lt;&gt;""),CB$4&amp;"; ","")&amp;IF(AND(CC92="✓",CC$4&lt;&gt;""),CC$4&amp;"; ","")&amp;IF(AND(CD92="✓",CD$4&lt;&gt;""),CD$4&amp;"; ","")&amp;IF(AND(CE92="✓",CE$4&lt;&gt;""),CE$4&amp;"; ","")&amp;IF(AND(CF92="✓",CF$4&lt;&gt;""),CF$4&amp;"; ","")&amp;IF(AND(CG92="✓",CG$4&lt;&gt;""),CG$4&amp;"; ","")&amp;IF(AND(CH92="✓",CH$4&lt;&gt;""),CH$4&amp;"; ","")&amp;IF(AND(CI92="✓",CI$4&lt;&gt;""),CI$4&amp;"; ","")&amp;IF(AND(CJ92="✓",CJ$4&lt;&gt;""),CJ$4&amp;"; ","")&amp;IF(AND(CK92="✓",CK$4&lt;&gt;""),CK$4&amp;"; ","")&amp;IF(AND(CL92="✓",CL$4&lt;&gt;""),CL$4&amp;"; ","")&amp;IF(AND(CM92="✓",CM$4&lt;&gt;""),CM$4&amp;"; ","")&amp;IF(AND(CN92="✓",CN$4&lt;&gt;""),CN$4&amp;"; ","")&amp;IF(AND(CO92="✓",CO$4&lt;&gt;""),CO$4&amp;"; ","")</f>
        <v/>
      </c>
      <c r="CQ92" s="104" t="str">
        <f aca="false">IF($CP92="","",LEFT($CP92,LEN($CP92)-2))</f>
        <v/>
      </c>
      <c r="CR92" s="234" t="str">
        <f aca="false">IF($A92="","",COUNTIF($D92:$CO92,"✓"))</f>
        <v/>
      </c>
    </row>
    <row r="93" customFormat="false" ht="21.75" hidden="false" customHeight="true" outlineLevel="0" collapsed="false">
      <c r="A93" s="231" t="str">
        <f aca="false">IF(03_能力總表_Master!$A93="","",03_能力總表_Master!$A93)</f>
        <v/>
      </c>
      <c r="B93" s="166" t="str">
        <f aca="false">IF(03_能力總表_Master!$A93="","",03_能力總表_Master!$B93)</f>
        <v/>
      </c>
      <c r="C93" s="95" t="str">
        <f aca="false">IF(03_能力總表_Master!$A93="","",03_能力總表_Master!$E93)</f>
        <v/>
      </c>
      <c r="D93" s="232"/>
      <c r="E93" s="232"/>
      <c r="F93" s="232"/>
      <c r="G93" s="232"/>
      <c r="H93" s="232"/>
      <c r="I93" s="232"/>
      <c r="J93" s="232"/>
      <c r="K93" s="232"/>
      <c r="L93" s="232"/>
      <c r="M93" s="232"/>
      <c r="N93" s="232"/>
      <c r="O93" s="232"/>
      <c r="P93" s="232"/>
      <c r="Q93" s="232"/>
      <c r="R93" s="232"/>
      <c r="S93" s="232"/>
      <c r="T93" s="232"/>
      <c r="U93" s="232"/>
      <c r="V93" s="232"/>
      <c r="W93" s="232"/>
      <c r="X93" s="232"/>
      <c r="Y93" s="232"/>
      <c r="Z93" s="232"/>
      <c r="AA93" s="232"/>
      <c r="AB93" s="232"/>
      <c r="AC93" s="232"/>
      <c r="AD93" s="232"/>
      <c r="AE93" s="232"/>
      <c r="AF93" s="232"/>
      <c r="AG93" s="232"/>
      <c r="AH93" s="232"/>
      <c r="AI93" s="232"/>
      <c r="AJ93" s="232"/>
      <c r="AK93" s="232"/>
      <c r="AL93" s="232"/>
      <c r="AM93" s="232"/>
      <c r="AN93" s="232"/>
      <c r="AO93" s="232"/>
      <c r="AP93" s="232"/>
      <c r="AQ93" s="232"/>
      <c r="AR93" s="232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232"/>
      <c r="BH93" s="232"/>
      <c r="BI93" s="232"/>
      <c r="BJ93" s="232"/>
      <c r="BK93" s="232"/>
      <c r="BL93" s="232"/>
      <c r="BM93" s="232"/>
      <c r="BN93" s="232"/>
      <c r="BO93" s="232"/>
      <c r="BP93" s="232"/>
      <c r="BQ93" s="232"/>
      <c r="BR93" s="232"/>
      <c r="BS93" s="232"/>
      <c r="BT93" s="232"/>
      <c r="BU93" s="232"/>
      <c r="BV93" s="232"/>
      <c r="BW93" s="232"/>
      <c r="BX93" s="232"/>
      <c r="BY93" s="232"/>
      <c r="BZ93" s="232"/>
      <c r="CA93" s="232"/>
      <c r="CB93" s="232"/>
      <c r="CC93" s="232"/>
      <c r="CD93" s="232"/>
      <c r="CE93" s="232"/>
      <c r="CF93" s="232"/>
      <c r="CG93" s="232"/>
      <c r="CH93" s="232"/>
      <c r="CI93" s="232"/>
      <c r="CJ93" s="232"/>
      <c r="CK93" s="232"/>
      <c r="CL93" s="232"/>
      <c r="CM93" s="232"/>
      <c r="CN93" s="232"/>
      <c r="CO93" s="232"/>
      <c r="CP93" s="233" t="str">
        <f aca="false">IF(AND(D93="✓",D$4&lt;&gt;""),D$4&amp;"; ","")&amp;IF(AND(E93="✓",E$4&lt;&gt;""),E$4&amp;"; ","")&amp;IF(AND(F93="✓",F$4&lt;&gt;""),F$4&amp;"; ","")&amp;IF(AND(G93="✓",G$4&lt;&gt;""),G$4&amp;"; ","")&amp;IF(AND(H93="✓",H$4&lt;&gt;""),H$4&amp;"; ","")&amp;IF(AND(I93="✓",I$4&lt;&gt;""),I$4&amp;"; ","")&amp;IF(AND(J93="✓",J$4&lt;&gt;""),J$4&amp;"; ","")&amp;IF(AND(K93="✓",K$4&lt;&gt;""),K$4&amp;"; ","")&amp;IF(AND(L93="✓",L$4&lt;&gt;""),L$4&amp;"; ","")&amp;IF(AND(M93="✓",M$4&lt;&gt;""),M$4&amp;"; ","")&amp;IF(AND(N93="✓",N$4&lt;&gt;""),N$4&amp;"; ","")&amp;IF(AND(O93="✓",O$4&lt;&gt;""),O$4&amp;"; ","")&amp;IF(AND(P93="✓",P$4&lt;&gt;""),P$4&amp;"; ","")&amp;IF(AND(Q93="✓",Q$4&lt;&gt;""),Q$4&amp;"; ","")&amp;IF(AND(R93="✓",R$4&lt;&gt;""),R$4&amp;"; ","")&amp;IF(AND(S93="✓",S$4&lt;&gt;""),S$4&amp;"; ","")&amp;IF(AND(T93="✓",T$4&lt;&gt;""),T$4&amp;"; ","")&amp;IF(AND(U93="✓",U$4&lt;&gt;""),U$4&amp;"; ","")&amp;IF(AND(V93="✓",V$4&lt;&gt;""),V$4&amp;"; ","")&amp;IF(AND(W93="✓",W$4&lt;&gt;""),W$4&amp;"; ","")&amp;IF(AND(X93="✓",X$4&lt;&gt;""),X$4&amp;"; ","")&amp;IF(AND(Y93="✓",Y$4&lt;&gt;""),Y$4&amp;"; ","")&amp;IF(AND(Z93="✓",Z$4&lt;&gt;""),Z$4&amp;"; ","")&amp;IF(AND(AA93="✓",AA$4&lt;&gt;""),AA$4&amp;"; ","")&amp;IF(AND(AB93="✓",AB$4&lt;&gt;""),AB$4&amp;"; ","")&amp;IF(AND(AC93="✓",AC$4&lt;&gt;""),AC$4&amp;"; ","")&amp;IF(AND(AD93="✓",AD$4&lt;&gt;""),AD$4&amp;"; ","")&amp;IF(AND(AE93="✓",AE$4&lt;&gt;""),AE$4&amp;"; ","")&amp;IF(AND(AF93="✓",AF$4&lt;&gt;""),AF$4&amp;"; ","")&amp;IF(AND(AG93="✓",AG$4&lt;&gt;""),AG$4&amp;"; ","")&amp;IF(AND(AH93="✓",AH$4&lt;&gt;""),AH$4&amp;"; ","")&amp;IF(AND(AI93="✓",AI$4&lt;&gt;""),AI$4&amp;"; ","")&amp;IF(AND(AJ93="✓",AJ$4&lt;&gt;""),AJ$4&amp;"; ","")&amp;IF(AND(AK93="✓",AK$4&lt;&gt;""),AK$4&amp;"; ","")&amp;IF(AND(AL93="✓",AL$4&lt;&gt;""),AL$4&amp;"; ","")&amp;IF(AND(AM93="✓",AM$4&lt;&gt;""),AM$4&amp;"; ","")&amp;IF(AND(AN93="✓",AN$4&lt;&gt;""),AN$4&amp;"; ","")&amp;IF(AND(AO93="✓",AO$4&lt;&gt;""),AO$4&amp;"; ","")&amp;IF(AND(AP93="✓",AP$4&lt;&gt;""),AP$4&amp;"; ","")&amp;IF(AND(AQ93="✓",AQ$4&lt;&gt;""),AQ$4&amp;"; ","")&amp;IF(AND(AR93="✓",AR$4&lt;&gt;""),AR$4&amp;"; ","")&amp;IF(AND(AS93="✓",AS$4&lt;&gt;""),AS$4&amp;"; ","")&amp;IF(AND(AT93="✓",AT$4&lt;&gt;""),AT$4&amp;"; ","")&amp;IF(AND(AU93="✓",AU$4&lt;&gt;""),AU$4&amp;"; ","")&amp;IF(AND(AV93="✓",AV$4&lt;&gt;""),AV$4&amp;"; ","")&amp;IF(AND(AW93="✓",AW$4&lt;&gt;""),AW$4&amp;"; ","")&amp;IF(AND(AX93="✓",AX$4&lt;&gt;""),AX$4&amp;"; ","")&amp;IF(AND(AY93="✓",AY$4&lt;&gt;""),AY$4&amp;"; ","")&amp;IF(AND(AZ93="✓",AZ$4&lt;&gt;""),AZ$4&amp;"; ","")&amp;IF(AND(BA93="✓",BA$4&lt;&gt;""),BA$4&amp;"; ","")&amp;IF(AND(BB93="✓",BB$4&lt;&gt;""),BB$4&amp;"; ","")&amp;IF(AND(BC93="✓",BC$4&lt;&gt;""),BC$4&amp;"; ","")&amp;IF(AND(BD93="✓",BD$4&lt;&gt;""),BD$4&amp;"; ","")&amp;IF(AND(BE93="✓",BE$4&lt;&gt;""),BE$4&amp;"; ","")&amp;IF(AND(BF93="✓",BF$4&lt;&gt;""),BF$4&amp;"; ","")&amp;IF(AND(BG93="✓",BG$4&lt;&gt;""),BG$4&amp;"; ","")&amp;IF(AND(BH93="✓",BH$4&lt;&gt;""),BH$4&amp;"; ","")&amp;IF(AND(BI93="✓",BI$4&lt;&gt;""),BI$4&amp;"; ","")&amp;IF(AND(BJ93="✓",BJ$4&lt;&gt;""),BJ$4&amp;"; ","")&amp;IF(AND(BK93="✓",BK$4&lt;&gt;""),BK$4&amp;"; ","")&amp;IF(AND(BL93="✓",BL$4&lt;&gt;""),BL$4&amp;"; ","")&amp;IF(AND(BM93="✓",BM$4&lt;&gt;""),BM$4&amp;"; ","")&amp;IF(AND(BN93="✓",BN$4&lt;&gt;""),BN$4&amp;"; ","")&amp;IF(AND(BO93="✓",BO$4&lt;&gt;""),BO$4&amp;"; ","")&amp;IF(AND(BP93="✓",BP$4&lt;&gt;""),BP$4&amp;"; ","")&amp;IF(AND(BQ93="✓",BQ$4&lt;&gt;""),BQ$4&amp;"; ","")&amp;IF(AND(BR93="✓",BR$4&lt;&gt;""),BR$4&amp;"; ","")&amp;IF(AND(BS93="✓",BS$4&lt;&gt;""),BS$4&amp;"; ","")&amp;IF(AND(BT93="✓",BT$4&lt;&gt;""),BT$4&amp;"; ","")&amp;IF(AND(BU93="✓",BU$4&lt;&gt;""),BU$4&amp;"; ","")&amp;IF(AND(BV93="✓",BV$4&lt;&gt;""),BV$4&amp;"; ","")&amp;IF(AND(BW93="✓",BW$4&lt;&gt;""),BW$4&amp;"; ","")&amp;IF(AND(BX93="✓",BX$4&lt;&gt;""),BX$4&amp;"; ","")&amp;IF(AND(BY93="✓",BY$4&lt;&gt;""),BY$4&amp;"; ","")&amp;IF(AND(BZ93="✓",BZ$4&lt;&gt;""),BZ$4&amp;"; ","")&amp;IF(AND(CA93="✓",CA$4&lt;&gt;""),CA$4&amp;"; ","")&amp;IF(AND(CB93="✓",CB$4&lt;&gt;""),CB$4&amp;"; ","")&amp;IF(AND(CC93="✓",CC$4&lt;&gt;""),CC$4&amp;"; ","")&amp;IF(AND(CD93="✓",CD$4&lt;&gt;""),CD$4&amp;"; ","")&amp;IF(AND(CE93="✓",CE$4&lt;&gt;""),CE$4&amp;"; ","")&amp;IF(AND(CF93="✓",CF$4&lt;&gt;""),CF$4&amp;"; ","")&amp;IF(AND(CG93="✓",CG$4&lt;&gt;""),CG$4&amp;"; ","")&amp;IF(AND(CH93="✓",CH$4&lt;&gt;""),CH$4&amp;"; ","")&amp;IF(AND(CI93="✓",CI$4&lt;&gt;""),CI$4&amp;"; ","")&amp;IF(AND(CJ93="✓",CJ$4&lt;&gt;""),CJ$4&amp;"; ","")&amp;IF(AND(CK93="✓",CK$4&lt;&gt;""),CK$4&amp;"; ","")&amp;IF(AND(CL93="✓",CL$4&lt;&gt;""),CL$4&amp;"; ","")&amp;IF(AND(CM93="✓",CM$4&lt;&gt;""),CM$4&amp;"; ","")&amp;IF(AND(CN93="✓",CN$4&lt;&gt;""),CN$4&amp;"; ","")&amp;IF(AND(CO93="✓",CO$4&lt;&gt;""),CO$4&amp;"; ","")</f>
        <v/>
      </c>
      <c r="CQ93" s="104" t="str">
        <f aca="false">IF($CP93="","",LEFT($CP93,LEN($CP93)-2))</f>
        <v/>
      </c>
      <c r="CR93" s="234" t="str">
        <f aca="false">IF($A93="","",COUNTIF($D93:$CO93,"✓"))</f>
        <v/>
      </c>
    </row>
    <row r="94" customFormat="false" ht="21.75" hidden="false" customHeight="true" outlineLevel="0" collapsed="false">
      <c r="A94" s="231" t="str">
        <f aca="false">IF(03_能力總表_Master!$A94="","",03_能力總表_Master!$A94)</f>
        <v/>
      </c>
      <c r="B94" s="166" t="str">
        <f aca="false">IF(03_能力總表_Master!$A94="","",03_能力總表_Master!$B94)</f>
        <v/>
      </c>
      <c r="C94" s="95" t="str">
        <f aca="false">IF(03_能力總表_Master!$A94="","",03_能力總表_Master!$E94)</f>
        <v/>
      </c>
      <c r="D94" s="232"/>
      <c r="E94" s="232"/>
      <c r="F94" s="232"/>
      <c r="G94" s="232"/>
      <c r="H94" s="232"/>
      <c r="I94" s="232"/>
      <c r="J94" s="232"/>
      <c r="K94" s="232"/>
      <c r="L94" s="232"/>
      <c r="M94" s="232"/>
      <c r="N94" s="232"/>
      <c r="O94" s="232"/>
      <c r="P94" s="232"/>
      <c r="Q94" s="232"/>
      <c r="R94" s="232"/>
      <c r="S94" s="232"/>
      <c r="T94" s="232"/>
      <c r="U94" s="232"/>
      <c r="V94" s="232"/>
      <c r="W94" s="232"/>
      <c r="X94" s="232"/>
      <c r="Y94" s="232"/>
      <c r="Z94" s="232"/>
      <c r="AA94" s="232"/>
      <c r="AB94" s="232"/>
      <c r="AC94" s="232"/>
      <c r="AD94" s="232"/>
      <c r="AE94" s="232"/>
      <c r="AF94" s="232"/>
      <c r="AG94" s="232"/>
      <c r="AH94" s="232"/>
      <c r="AI94" s="232"/>
      <c r="AJ94" s="232"/>
      <c r="AK94" s="232"/>
      <c r="AL94" s="232"/>
      <c r="AM94" s="232"/>
      <c r="AN94" s="232"/>
      <c r="AO94" s="232"/>
      <c r="AP94" s="232"/>
      <c r="AQ94" s="232"/>
      <c r="AR94" s="232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232"/>
      <c r="BH94" s="232"/>
      <c r="BI94" s="232"/>
      <c r="BJ94" s="232"/>
      <c r="BK94" s="232"/>
      <c r="BL94" s="232"/>
      <c r="BM94" s="232"/>
      <c r="BN94" s="232"/>
      <c r="BO94" s="232"/>
      <c r="BP94" s="232"/>
      <c r="BQ94" s="232"/>
      <c r="BR94" s="232"/>
      <c r="BS94" s="232"/>
      <c r="BT94" s="232"/>
      <c r="BU94" s="232"/>
      <c r="BV94" s="232"/>
      <c r="BW94" s="232"/>
      <c r="BX94" s="232"/>
      <c r="BY94" s="232"/>
      <c r="BZ94" s="232"/>
      <c r="CA94" s="232"/>
      <c r="CB94" s="232"/>
      <c r="CC94" s="232"/>
      <c r="CD94" s="232"/>
      <c r="CE94" s="232"/>
      <c r="CF94" s="232"/>
      <c r="CG94" s="232"/>
      <c r="CH94" s="232"/>
      <c r="CI94" s="232"/>
      <c r="CJ94" s="232"/>
      <c r="CK94" s="232"/>
      <c r="CL94" s="232"/>
      <c r="CM94" s="232"/>
      <c r="CN94" s="232"/>
      <c r="CO94" s="232"/>
      <c r="CP94" s="233" t="str">
        <f aca="false">IF(AND(D94="✓",D$4&lt;&gt;""),D$4&amp;"; ","")&amp;IF(AND(E94="✓",E$4&lt;&gt;""),E$4&amp;"; ","")&amp;IF(AND(F94="✓",F$4&lt;&gt;""),F$4&amp;"; ","")&amp;IF(AND(G94="✓",G$4&lt;&gt;""),G$4&amp;"; ","")&amp;IF(AND(H94="✓",H$4&lt;&gt;""),H$4&amp;"; ","")&amp;IF(AND(I94="✓",I$4&lt;&gt;""),I$4&amp;"; ","")&amp;IF(AND(J94="✓",J$4&lt;&gt;""),J$4&amp;"; ","")&amp;IF(AND(K94="✓",K$4&lt;&gt;""),K$4&amp;"; ","")&amp;IF(AND(L94="✓",L$4&lt;&gt;""),L$4&amp;"; ","")&amp;IF(AND(M94="✓",M$4&lt;&gt;""),M$4&amp;"; ","")&amp;IF(AND(N94="✓",N$4&lt;&gt;""),N$4&amp;"; ","")&amp;IF(AND(O94="✓",O$4&lt;&gt;""),O$4&amp;"; ","")&amp;IF(AND(P94="✓",P$4&lt;&gt;""),P$4&amp;"; ","")&amp;IF(AND(Q94="✓",Q$4&lt;&gt;""),Q$4&amp;"; ","")&amp;IF(AND(R94="✓",R$4&lt;&gt;""),R$4&amp;"; ","")&amp;IF(AND(S94="✓",S$4&lt;&gt;""),S$4&amp;"; ","")&amp;IF(AND(T94="✓",T$4&lt;&gt;""),T$4&amp;"; ","")&amp;IF(AND(U94="✓",U$4&lt;&gt;""),U$4&amp;"; ","")&amp;IF(AND(V94="✓",V$4&lt;&gt;""),V$4&amp;"; ","")&amp;IF(AND(W94="✓",W$4&lt;&gt;""),W$4&amp;"; ","")&amp;IF(AND(X94="✓",X$4&lt;&gt;""),X$4&amp;"; ","")&amp;IF(AND(Y94="✓",Y$4&lt;&gt;""),Y$4&amp;"; ","")&amp;IF(AND(Z94="✓",Z$4&lt;&gt;""),Z$4&amp;"; ","")&amp;IF(AND(AA94="✓",AA$4&lt;&gt;""),AA$4&amp;"; ","")&amp;IF(AND(AB94="✓",AB$4&lt;&gt;""),AB$4&amp;"; ","")&amp;IF(AND(AC94="✓",AC$4&lt;&gt;""),AC$4&amp;"; ","")&amp;IF(AND(AD94="✓",AD$4&lt;&gt;""),AD$4&amp;"; ","")&amp;IF(AND(AE94="✓",AE$4&lt;&gt;""),AE$4&amp;"; ","")&amp;IF(AND(AF94="✓",AF$4&lt;&gt;""),AF$4&amp;"; ","")&amp;IF(AND(AG94="✓",AG$4&lt;&gt;""),AG$4&amp;"; ","")&amp;IF(AND(AH94="✓",AH$4&lt;&gt;""),AH$4&amp;"; ","")&amp;IF(AND(AI94="✓",AI$4&lt;&gt;""),AI$4&amp;"; ","")&amp;IF(AND(AJ94="✓",AJ$4&lt;&gt;""),AJ$4&amp;"; ","")&amp;IF(AND(AK94="✓",AK$4&lt;&gt;""),AK$4&amp;"; ","")&amp;IF(AND(AL94="✓",AL$4&lt;&gt;""),AL$4&amp;"; ","")&amp;IF(AND(AM94="✓",AM$4&lt;&gt;""),AM$4&amp;"; ","")&amp;IF(AND(AN94="✓",AN$4&lt;&gt;""),AN$4&amp;"; ","")&amp;IF(AND(AO94="✓",AO$4&lt;&gt;""),AO$4&amp;"; ","")&amp;IF(AND(AP94="✓",AP$4&lt;&gt;""),AP$4&amp;"; ","")&amp;IF(AND(AQ94="✓",AQ$4&lt;&gt;""),AQ$4&amp;"; ","")&amp;IF(AND(AR94="✓",AR$4&lt;&gt;""),AR$4&amp;"; ","")&amp;IF(AND(AS94="✓",AS$4&lt;&gt;""),AS$4&amp;"; ","")&amp;IF(AND(AT94="✓",AT$4&lt;&gt;""),AT$4&amp;"; ","")&amp;IF(AND(AU94="✓",AU$4&lt;&gt;""),AU$4&amp;"; ","")&amp;IF(AND(AV94="✓",AV$4&lt;&gt;""),AV$4&amp;"; ","")&amp;IF(AND(AW94="✓",AW$4&lt;&gt;""),AW$4&amp;"; ","")&amp;IF(AND(AX94="✓",AX$4&lt;&gt;""),AX$4&amp;"; ","")&amp;IF(AND(AY94="✓",AY$4&lt;&gt;""),AY$4&amp;"; ","")&amp;IF(AND(AZ94="✓",AZ$4&lt;&gt;""),AZ$4&amp;"; ","")&amp;IF(AND(BA94="✓",BA$4&lt;&gt;""),BA$4&amp;"; ","")&amp;IF(AND(BB94="✓",BB$4&lt;&gt;""),BB$4&amp;"; ","")&amp;IF(AND(BC94="✓",BC$4&lt;&gt;""),BC$4&amp;"; ","")&amp;IF(AND(BD94="✓",BD$4&lt;&gt;""),BD$4&amp;"; ","")&amp;IF(AND(BE94="✓",BE$4&lt;&gt;""),BE$4&amp;"; ","")&amp;IF(AND(BF94="✓",BF$4&lt;&gt;""),BF$4&amp;"; ","")&amp;IF(AND(BG94="✓",BG$4&lt;&gt;""),BG$4&amp;"; ","")&amp;IF(AND(BH94="✓",BH$4&lt;&gt;""),BH$4&amp;"; ","")&amp;IF(AND(BI94="✓",BI$4&lt;&gt;""),BI$4&amp;"; ","")&amp;IF(AND(BJ94="✓",BJ$4&lt;&gt;""),BJ$4&amp;"; ","")&amp;IF(AND(BK94="✓",BK$4&lt;&gt;""),BK$4&amp;"; ","")&amp;IF(AND(BL94="✓",BL$4&lt;&gt;""),BL$4&amp;"; ","")&amp;IF(AND(BM94="✓",BM$4&lt;&gt;""),BM$4&amp;"; ","")&amp;IF(AND(BN94="✓",BN$4&lt;&gt;""),BN$4&amp;"; ","")&amp;IF(AND(BO94="✓",BO$4&lt;&gt;""),BO$4&amp;"; ","")&amp;IF(AND(BP94="✓",BP$4&lt;&gt;""),BP$4&amp;"; ","")&amp;IF(AND(BQ94="✓",BQ$4&lt;&gt;""),BQ$4&amp;"; ","")&amp;IF(AND(BR94="✓",BR$4&lt;&gt;""),BR$4&amp;"; ","")&amp;IF(AND(BS94="✓",BS$4&lt;&gt;""),BS$4&amp;"; ","")&amp;IF(AND(BT94="✓",BT$4&lt;&gt;""),BT$4&amp;"; ","")&amp;IF(AND(BU94="✓",BU$4&lt;&gt;""),BU$4&amp;"; ","")&amp;IF(AND(BV94="✓",BV$4&lt;&gt;""),BV$4&amp;"; ","")&amp;IF(AND(BW94="✓",BW$4&lt;&gt;""),BW$4&amp;"; ","")&amp;IF(AND(BX94="✓",BX$4&lt;&gt;""),BX$4&amp;"; ","")&amp;IF(AND(BY94="✓",BY$4&lt;&gt;""),BY$4&amp;"; ","")&amp;IF(AND(BZ94="✓",BZ$4&lt;&gt;""),BZ$4&amp;"; ","")&amp;IF(AND(CA94="✓",CA$4&lt;&gt;""),CA$4&amp;"; ","")&amp;IF(AND(CB94="✓",CB$4&lt;&gt;""),CB$4&amp;"; ","")&amp;IF(AND(CC94="✓",CC$4&lt;&gt;""),CC$4&amp;"; ","")&amp;IF(AND(CD94="✓",CD$4&lt;&gt;""),CD$4&amp;"; ","")&amp;IF(AND(CE94="✓",CE$4&lt;&gt;""),CE$4&amp;"; ","")&amp;IF(AND(CF94="✓",CF$4&lt;&gt;""),CF$4&amp;"; ","")&amp;IF(AND(CG94="✓",CG$4&lt;&gt;""),CG$4&amp;"; ","")&amp;IF(AND(CH94="✓",CH$4&lt;&gt;""),CH$4&amp;"; ","")&amp;IF(AND(CI94="✓",CI$4&lt;&gt;""),CI$4&amp;"; ","")&amp;IF(AND(CJ94="✓",CJ$4&lt;&gt;""),CJ$4&amp;"; ","")&amp;IF(AND(CK94="✓",CK$4&lt;&gt;""),CK$4&amp;"; ","")&amp;IF(AND(CL94="✓",CL$4&lt;&gt;""),CL$4&amp;"; ","")&amp;IF(AND(CM94="✓",CM$4&lt;&gt;""),CM$4&amp;"; ","")&amp;IF(AND(CN94="✓",CN$4&lt;&gt;""),CN$4&amp;"; ","")&amp;IF(AND(CO94="✓",CO$4&lt;&gt;""),CO$4&amp;"; ","")</f>
        <v/>
      </c>
      <c r="CQ94" s="104" t="str">
        <f aca="false">IF($CP94="","",LEFT($CP94,LEN($CP94)-2))</f>
        <v/>
      </c>
      <c r="CR94" s="234" t="str">
        <f aca="false">IF($A94="","",COUNTIF($D94:$CO94,"✓"))</f>
        <v/>
      </c>
    </row>
    <row r="95" customFormat="false" ht="21.75" hidden="false" customHeight="true" outlineLevel="0" collapsed="false">
      <c r="A95" s="231" t="str">
        <f aca="false">IF(03_能力總表_Master!$A95="","",03_能力總表_Master!$A95)</f>
        <v/>
      </c>
      <c r="B95" s="166" t="str">
        <f aca="false">IF(03_能力總表_Master!$A95="","",03_能力總表_Master!$B95)</f>
        <v/>
      </c>
      <c r="C95" s="95" t="str">
        <f aca="false">IF(03_能力總表_Master!$A95="","",03_能力總表_Master!$E95)</f>
        <v/>
      </c>
      <c r="D95" s="232"/>
      <c r="E95" s="232"/>
      <c r="F95" s="232"/>
      <c r="G95" s="232"/>
      <c r="H95" s="232"/>
      <c r="I95" s="232"/>
      <c r="J95" s="232"/>
      <c r="K95" s="232"/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232"/>
      <c r="Z95" s="232"/>
      <c r="AA95" s="232"/>
      <c r="AB95" s="232"/>
      <c r="AC95" s="232"/>
      <c r="AD95" s="232"/>
      <c r="AE95" s="232"/>
      <c r="AF95" s="232"/>
      <c r="AG95" s="232"/>
      <c r="AH95" s="232"/>
      <c r="AI95" s="232"/>
      <c r="AJ95" s="232"/>
      <c r="AK95" s="232"/>
      <c r="AL95" s="232"/>
      <c r="AM95" s="232"/>
      <c r="AN95" s="232"/>
      <c r="AO95" s="232"/>
      <c r="AP95" s="232"/>
      <c r="AQ95" s="232"/>
      <c r="AR95" s="232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232"/>
      <c r="BH95" s="232"/>
      <c r="BI95" s="232"/>
      <c r="BJ95" s="232"/>
      <c r="BK95" s="232"/>
      <c r="BL95" s="232"/>
      <c r="BM95" s="232"/>
      <c r="BN95" s="232"/>
      <c r="BO95" s="232"/>
      <c r="BP95" s="232"/>
      <c r="BQ95" s="232"/>
      <c r="BR95" s="232"/>
      <c r="BS95" s="232"/>
      <c r="BT95" s="232"/>
      <c r="BU95" s="232"/>
      <c r="BV95" s="232"/>
      <c r="BW95" s="232"/>
      <c r="BX95" s="232"/>
      <c r="BY95" s="232"/>
      <c r="BZ95" s="232"/>
      <c r="CA95" s="232"/>
      <c r="CB95" s="232"/>
      <c r="CC95" s="232"/>
      <c r="CD95" s="232"/>
      <c r="CE95" s="232"/>
      <c r="CF95" s="232"/>
      <c r="CG95" s="232"/>
      <c r="CH95" s="232"/>
      <c r="CI95" s="232"/>
      <c r="CJ95" s="232"/>
      <c r="CK95" s="232"/>
      <c r="CL95" s="232"/>
      <c r="CM95" s="232"/>
      <c r="CN95" s="232"/>
      <c r="CO95" s="232"/>
      <c r="CP95" s="233" t="str">
        <f aca="false">IF(AND(D95="✓",D$4&lt;&gt;""),D$4&amp;"; ","")&amp;IF(AND(E95="✓",E$4&lt;&gt;""),E$4&amp;"; ","")&amp;IF(AND(F95="✓",F$4&lt;&gt;""),F$4&amp;"; ","")&amp;IF(AND(G95="✓",G$4&lt;&gt;""),G$4&amp;"; ","")&amp;IF(AND(H95="✓",H$4&lt;&gt;""),H$4&amp;"; ","")&amp;IF(AND(I95="✓",I$4&lt;&gt;""),I$4&amp;"; ","")&amp;IF(AND(J95="✓",J$4&lt;&gt;""),J$4&amp;"; ","")&amp;IF(AND(K95="✓",K$4&lt;&gt;""),K$4&amp;"; ","")&amp;IF(AND(L95="✓",L$4&lt;&gt;""),L$4&amp;"; ","")&amp;IF(AND(M95="✓",M$4&lt;&gt;""),M$4&amp;"; ","")&amp;IF(AND(N95="✓",N$4&lt;&gt;""),N$4&amp;"; ","")&amp;IF(AND(O95="✓",O$4&lt;&gt;""),O$4&amp;"; ","")&amp;IF(AND(P95="✓",P$4&lt;&gt;""),P$4&amp;"; ","")&amp;IF(AND(Q95="✓",Q$4&lt;&gt;""),Q$4&amp;"; ","")&amp;IF(AND(R95="✓",R$4&lt;&gt;""),R$4&amp;"; ","")&amp;IF(AND(S95="✓",S$4&lt;&gt;""),S$4&amp;"; ","")&amp;IF(AND(T95="✓",T$4&lt;&gt;""),T$4&amp;"; ","")&amp;IF(AND(U95="✓",U$4&lt;&gt;""),U$4&amp;"; ","")&amp;IF(AND(V95="✓",V$4&lt;&gt;""),V$4&amp;"; ","")&amp;IF(AND(W95="✓",W$4&lt;&gt;""),W$4&amp;"; ","")&amp;IF(AND(X95="✓",X$4&lt;&gt;""),X$4&amp;"; ","")&amp;IF(AND(Y95="✓",Y$4&lt;&gt;""),Y$4&amp;"; ","")&amp;IF(AND(Z95="✓",Z$4&lt;&gt;""),Z$4&amp;"; ","")&amp;IF(AND(AA95="✓",AA$4&lt;&gt;""),AA$4&amp;"; ","")&amp;IF(AND(AB95="✓",AB$4&lt;&gt;""),AB$4&amp;"; ","")&amp;IF(AND(AC95="✓",AC$4&lt;&gt;""),AC$4&amp;"; ","")&amp;IF(AND(AD95="✓",AD$4&lt;&gt;""),AD$4&amp;"; ","")&amp;IF(AND(AE95="✓",AE$4&lt;&gt;""),AE$4&amp;"; ","")&amp;IF(AND(AF95="✓",AF$4&lt;&gt;""),AF$4&amp;"; ","")&amp;IF(AND(AG95="✓",AG$4&lt;&gt;""),AG$4&amp;"; ","")&amp;IF(AND(AH95="✓",AH$4&lt;&gt;""),AH$4&amp;"; ","")&amp;IF(AND(AI95="✓",AI$4&lt;&gt;""),AI$4&amp;"; ","")&amp;IF(AND(AJ95="✓",AJ$4&lt;&gt;""),AJ$4&amp;"; ","")&amp;IF(AND(AK95="✓",AK$4&lt;&gt;""),AK$4&amp;"; ","")&amp;IF(AND(AL95="✓",AL$4&lt;&gt;""),AL$4&amp;"; ","")&amp;IF(AND(AM95="✓",AM$4&lt;&gt;""),AM$4&amp;"; ","")&amp;IF(AND(AN95="✓",AN$4&lt;&gt;""),AN$4&amp;"; ","")&amp;IF(AND(AO95="✓",AO$4&lt;&gt;""),AO$4&amp;"; ","")&amp;IF(AND(AP95="✓",AP$4&lt;&gt;""),AP$4&amp;"; ","")&amp;IF(AND(AQ95="✓",AQ$4&lt;&gt;""),AQ$4&amp;"; ","")&amp;IF(AND(AR95="✓",AR$4&lt;&gt;""),AR$4&amp;"; ","")&amp;IF(AND(AS95="✓",AS$4&lt;&gt;""),AS$4&amp;"; ","")&amp;IF(AND(AT95="✓",AT$4&lt;&gt;""),AT$4&amp;"; ","")&amp;IF(AND(AU95="✓",AU$4&lt;&gt;""),AU$4&amp;"; ","")&amp;IF(AND(AV95="✓",AV$4&lt;&gt;""),AV$4&amp;"; ","")&amp;IF(AND(AW95="✓",AW$4&lt;&gt;""),AW$4&amp;"; ","")&amp;IF(AND(AX95="✓",AX$4&lt;&gt;""),AX$4&amp;"; ","")&amp;IF(AND(AY95="✓",AY$4&lt;&gt;""),AY$4&amp;"; ","")&amp;IF(AND(AZ95="✓",AZ$4&lt;&gt;""),AZ$4&amp;"; ","")&amp;IF(AND(BA95="✓",BA$4&lt;&gt;""),BA$4&amp;"; ","")&amp;IF(AND(BB95="✓",BB$4&lt;&gt;""),BB$4&amp;"; ","")&amp;IF(AND(BC95="✓",BC$4&lt;&gt;""),BC$4&amp;"; ","")&amp;IF(AND(BD95="✓",BD$4&lt;&gt;""),BD$4&amp;"; ","")&amp;IF(AND(BE95="✓",BE$4&lt;&gt;""),BE$4&amp;"; ","")&amp;IF(AND(BF95="✓",BF$4&lt;&gt;""),BF$4&amp;"; ","")&amp;IF(AND(BG95="✓",BG$4&lt;&gt;""),BG$4&amp;"; ","")&amp;IF(AND(BH95="✓",BH$4&lt;&gt;""),BH$4&amp;"; ","")&amp;IF(AND(BI95="✓",BI$4&lt;&gt;""),BI$4&amp;"; ","")&amp;IF(AND(BJ95="✓",BJ$4&lt;&gt;""),BJ$4&amp;"; ","")&amp;IF(AND(BK95="✓",BK$4&lt;&gt;""),BK$4&amp;"; ","")&amp;IF(AND(BL95="✓",BL$4&lt;&gt;""),BL$4&amp;"; ","")&amp;IF(AND(BM95="✓",BM$4&lt;&gt;""),BM$4&amp;"; ","")&amp;IF(AND(BN95="✓",BN$4&lt;&gt;""),BN$4&amp;"; ","")&amp;IF(AND(BO95="✓",BO$4&lt;&gt;""),BO$4&amp;"; ","")&amp;IF(AND(BP95="✓",BP$4&lt;&gt;""),BP$4&amp;"; ","")&amp;IF(AND(BQ95="✓",BQ$4&lt;&gt;""),BQ$4&amp;"; ","")&amp;IF(AND(BR95="✓",BR$4&lt;&gt;""),BR$4&amp;"; ","")&amp;IF(AND(BS95="✓",BS$4&lt;&gt;""),BS$4&amp;"; ","")&amp;IF(AND(BT95="✓",BT$4&lt;&gt;""),BT$4&amp;"; ","")&amp;IF(AND(BU95="✓",BU$4&lt;&gt;""),BU$4&amp;"; ","")&amp;IF(AND(BV95="✓",BV$4&lt;&gt;""),BV$4&amp;"; ","")&amp;IF(AND(BW95="✓",BW$4&lt;&gt;""),BW$4&amp;"; ","")&amp;IF(AND(BX95="✓",BX$4&lt;&gt;""),BX$4&amp;"; ","")&amp;IF(AND(BY95="✓",BY$4&lt;&gt;""),BY$4&amp;"; ","")&amp;IF(AND(BZ95="✓",BZ$4&lt;&gt;""),BZ$4&amp;"; ","")&amp;IF(AND(CA95="✓",CA$4&lt;&gt;""),CA$4&amp;"; ","")&amp;IF(AND(CB95="✓",CB$4&lt;&gt;""),CB$4&amp;"; ","")&amp;IF(AND(CC95="✓",CC$4&lt;&gt;""),CC$4&amp;"; ","")&amp;IF(AND(CD95="✓",CD$4&lt;&gt;""),CD$4&amp;"; ","")&amp;IF(AND(CE95="✓",CE$4&lt;&gt;""),CE$4&amp;"; ","")&amp;IF(AND(CF95="✓",CF$4&lt;&gt;""),CF$4&amp;"; ","")&amp;IF(AND(CG95="✓",CG$4&lt;&gt;""),CG$4&amp;"; ","")&amp;IF(AND(CH95="✓",CH$4&lt;&gt;""),CH$4&amp;"; ","")&amp;IF(AND(CI95="✓",CI$4&lt;&gt;""),CI$4&amp;"; ","")&amp;IF(AND(CJ95="✓",CJ$4&lt;&gt;""),CJ$4&amp;"; ","")&amp;IF(AND(CK95="✓",CK$4&lt;&gt;""),CK$4&amp;"; ","")&amp;IF(AND(CL95="✓",CL$4&lt;&gt;""),CL$4&amp;"; ","")&amp;IF(AND(CM95="✓",CM$4&lt;&gt;""),CM$4&amp;"; ","")&amp;IF(AND(CN95="✓",CN$4&lt;&gt;""),CN$4&amp;"; ","")&amp;IF(AND(CO95="✓",CO$4&lt;&gt;""),CO$4&amp;"; ","")</f>
        <v/>
      </c>
      <c r="CQ95" s="104" t="str">
        <f aca="false">IF($CP95="","",LEFT($CP95,LEN($CP95)-2))</f>
        <v/>
      </c>
      <c r="CR95" s="234" t="str">
        <f aca="false">IF($A95="","",COUNTIF($D95:$CO95,"✓"))</f>
        <v/>
      </c>
    </row>
    <row r="96" customFormat="false" ht="21.75" hidden="false" customHeight="true" outlineLevel="0" collapsed="false">
      <c r="A96" s="231" t="str">
        <f aca="false">IF(03_能力總表_Master!$A96="","",03_能力總表_Master!$A96)</f>
        <v/>
      </c>
      <c r="B96" s="166" t="str">
        <f aca="false">IF(03_能力總表_Master!$A96="","",03_能力總表_Master!$B96)</f>
        <v/>
      </c>
      <c r="C96" s="95" t="str">
        <f aca="false">IF(03_能力總表_Master!$A96="","",03_能力總表_Master!$E96)</f>
        <v/>
      </c>
      <c r="D96" s="232"/>
      <c r="E96" s="232"/>
      <c r="F96" s="232"/>
      <c r="G96" s="232"/>
      <c r="H96" s="232"/>
      <c r="I96" s="232"/>
      <c r="J96" s="232"/>
      <c r="K96" s="232"/>
      <c r="L96" s="232"/>
      <c r="M96" s="232"/>
      <c r="N96" s="232"/>
      <c r="O96" s="232"/>
      <c r="P96" s="232"/>
      <c r="Q96" s="232"/>
      <c r="R96" s="232"/>
      <c r="S96" s="232"/>
      <c r="T96" s="232"/>
      <c r="U96" s="232"/>
      <c r="V96" s="232"/>
      <c r="W96" s="232"/>
      <c r="X96" s="232"/>
      <c r="Y96" s="232"/>
      <c r="Z96" s="232"/>
      <c r="AA96" s="232"/>
      <c r="AB96" s="232"/>
      <c r="AC96" s="232"/>
      <c r="AD96" s="232"/>
      <c r="AE96" s="232"/>
      <c r="AF96" s="232"/>
      <c r="AG96" s="232"/>
      <c r="AH96" s="232"/>
      <c r="AI96" s="232"/>
      <c r="AJ96" s="232"/>
      <c r="AK96" s="232"/>
      <c r="AL96" s="232"/>
      <c r="AM96" s="232"/>
      <c r="AN96" s="232"/>
      <c r="AO96" s="232"/>
      <c r="AP96" s="232"/>
      <c r="AQ96" s="232"/>
      <c r="AR96" s="232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232"/>
      <c r="BH96" s="232"/>
      <c r="BI96" s="232"/>
      <c r="BJ96" s="232"/>
      <c r="BK96" s="232"/>
      <c r="BL96" s="232"/>
      <c r="BM96" s="232"/>
      <c r="BN96" s="232"/>
      <c r="BO96" s="232"/>
      <c r="BP96" s="232"/>
      <c r="BQ96" s="232"/>
      <c r="BR96" s="232"/>
      <c r="BS96" s="232"/>
      <c r="BT96" s="232"/>
      <c r="BU96" s="232"/>
      <c r="BV96" s="232"/>
      <c r="BW96" s="232"/>
      <c r="BX96" s="232"/>
      <c r="BY96" s="232"/>
      <c r="BZ96" s="232"/>
      <c r="CA96" s="232"/>
      <c r="CB96" s="232"/>
      <c r="CC96" s="232"/>
      <c r="CD96" s="232"/>
      <c r="CE96" s="232"/>
      <c r="CF96" s="232"/>
      <c r="CG96" s="232"/>
      <c r="CH96" s="232"/>
      <c r="CI96" s="232"/>
      <c r="CJ96" s="232"/>
      <c r="CK96" s="232"/>
      <c r="CL96" s="232"/>
      <c r="CM96" s="232"/>
      <c r="CN96" s="232"/>
      <c r="CO96" s="232"/>
      <c r="CP96" s="233" t="str">
        <f aca="false">IF(AND(D96="✓",D$4&lt;&gt;""),D$4&amp;"; ","")&amp;IF(AND(E96="✓",E$4&lt;&gt;""),E$4&amp;"; ","")&amp;IF(AND(F96="✓",F$4&lt;&gt;""),F$4&amp;"; ","")&amp;IF(AND(G96="✓",G$4&lt;&gt;""),G$4&amp;"; ","")&amp;IF(AND(H96="✓",H$4&lt;&gt;""),H$4&amp;"; ","")&amp;IF(AND(I96="✓",I$4&lt;&gt;""),I$4&amp;"; ","")&amp;IF(AND(J96="✓",J$4&lt;&gt;""),J$4&amp;"; ","")&amp;IF(AND(K96="✓",K$4&lt;&gt;""),K$4&amp;"; ","")&amp;IF(AND(L96="✓",L$4&lt;&gt;""),L$4&amp;"; ","")&amp;IF(AND(M96="✓",M$4&lt;&gt;""),M$4&amp;"; ","")&amp;IF(AND(N96="✓",N$4&lt;&gt;""),N$4&amp;"; ","")&amp;IF(AND(O96="✓",O$4&lt;&gt;""),O$4&amp;"; ","")&amp;IF(AND(P96="✓",P$4&lt;&gt;""),P$4&amp;"; ","")&amp;IF(AND(Q96="✓",Q$4&lt;&gt;""),Q$4&amp;"; ","")&amp;IF(AND(R96="✓",R$4&lt;&gt;""),R$4&amp;"; ","")&amp;IF(AND(S96="✓",S$4&lt;&gt;""),S$4&amp;"; ","")&amp;IF(AND(T96="✓",T$4&lt;&gt;""),T$4&amp;"; ","")&amp;IF(AND(U96="✓",U$4&lt;&gt;""),U$4&amp;"; ","")&amp;IF(AND(V96="✓",V$4&lt;&gt;""),V$4&amp;"; ","")&amp;IF(AND(W96="✓",W$4&lt;&gt;""),W$4&amp;"; ","")&amp;IF(AND(X96="✓",X$4&lt;&gt;""),X$4&amp;"; ","")&amp;IF(AND(Y96="✓",Y$4&lt;&gt;""),Y$4&amp;"; ","")&amp;IF(AND(Z96="✓",Z$4&lt;&gt;""),Z$4&amp;"; ","")&amp;IF(AND(AA96="✓",AA$4&lt;&gt;""),AA$4&amp;"; ","")&amp;IF(AND(AB96="✓",AB$4&lt;&gt;""),AB$4&amp;"; ","")&amp;IF(AND(AC96="✓",AC$4&lt;&gt;""),AC$4&amp;"; ","")&amp;IF(AND(AD96="✓",AD$4&lt;&gt;""),AD$4&amp;"; ","")&amp;IF(AND(AE96="✓",AE$4&lt;&gt;""),AE$4&amp;"; ","")&amp;IF(AND(AF96="✓",AF$4&lt;&gt;""),AF$4&amp;"; ","")&amp;IF(AND(AG96="✓",AG$4&lt;&gt;""),AG$4&amp;"; ","")&amp;IF(AND(AH96="✓",AH$4&lt;&gt;""),AH$4&amp;"; ","")&amp;IF(AND(AI96="✓",AI$4&lt;&gt;""),AI$4&amp;"; ","")&amp;IF(AND(AJ96="✓",AJ$4&lt;&gt;""),AJ$4&amp;"; ","")&amp;IF(AND(AK96="✓",AK$4&lt;&gt;""),AK$4&amp;"; ","")&amp;IF(AND(AL96="✓",AL$4&lt;&gt;""),AL$4&amp;"; ","")&amp;IF(AND(AM96="✓",AM$4&lt;&gt;""),AM$4&amp;"; ","")&amp;IF(AND(AN96="✓",AN$4&lt;&gt;""),AN$4&amp;"; ","")&amp;IF(AND(AO96="✓",AO$4&lt;&gt;""),AO$4&amp;"; ","")&amp;IF(AND(AP96="✓",AP$4&lt;&gt;""),AP$4&amp;"; ","")&amp;IF(AND(AQ96="✓",AQ$4&lt;&gt;""),AQ$4&amp;"; ","")&amp;IF(AND(AR96="✓",AR$4&lt;&gt;""),AR$4&amp;"; ","")&amp;IF(AND(AS96="✓",AS$4&lt;&gt;""),AS$4&amp;"; ","")&amp;IF(AND(AT96="✓",AT$4&lt;&gt;""),AT$4&amp;"; ","")&amp;IF(AND(AU96="✓",AU$4&lt;&gt;""),AU$4&amp;"; ","")&amp;IF(AND(AV96="✓",AV$4&lt;&gt;""),AV$4&amp;"; ","")&amp;IF(AND(AW96="✓",AW$4&lt;&gt;""),AW$4&amp;"; ","")&amp;IF(AND(AX96="✓",AX$4&lt;&gt;""),AX$4&amp;"; ","")&amp;IF(AND(AY96="✓",AY$4&lt;&gt;""),AY$4&amp;"; ","")&amp;IF(AND(AZ96="✓",AZ$4&lt;&gt;""),AZ$4&amp;"; ","")&amp;IF(AND(BA96="✓",BA$4&lt;&gt;""),BA$4&amp;"; ","")&amp;IF(AND(BB96="✓",BB$4&lt;&gt;""),BB$4&amp;"; ","")&amp;IF(AND(BC96="✓",BC$4&lt;&gt;""),BC$4&amp;"; ","")&amp;IF(AND(BD96="✓",BD$4&lt;&gt;""),BD$4&amp;"; ","")&amp;IF(AND(BE96="✓",BE$4&lt;&gt;""),BE$4&amp;"; ","")&amp;IF(AND(BF96="✓",BF$4&lt;&gt;""),BF$4&amp;"; ","")&amp;IF(AND(BG96="✓",BG$4&lt;&gt;""),BG$4&amp;"; ","")&amp;IF(AND(BH96="✓",BH$4&lt;&gt;""),BH$4&amp;"; ","")&amp;IF(AND(BI96="✓",BI$4&lt;&gt;""),BI$4&amp;"; ","")&amp;IF(AND(BJ96="✓",BJ$4&lt;&gt;""),BJ$4&amp;"; ","")&amp;IF(AND(BK96="✓",BK$4&lt;&gt;""),BK$4&amp;"; ","")&amp;IF(AND(BL96="✓",BL$4&lt;&gt;""),BL$4&amp;"; ","")&amp;IF(AND(BM96="✓",BM$4&lt;&gt;""),BM$4&amp;"; ","")&amp;IF(AND(BN96="✓",BN$4&lt;&gt;""),BN$4&amp;"; ","")&amp;IF(AND(BO96="✓",BO$4&lt;&gt;""),BO$4&amp;"; ","")&amp;IF(AND(BP96="✓",BP$4&lt;&gt;""),BP$4&amp;"; ","")&amp;IF(AND(BQ96="✓",BQ$4&lt;&gt;""),BQ$4&amp;"; ","")&amp;IF(AND(BR96="✓",BR$4&lt;&gt;""),BR$4&amp;"; ","")&amp;IF(AND(BS96="✓",BS$4&lt;&gt;""),BS$4&amp;"; ","")&amp;IF(AND(BT96="✓",BT$4&lt;&gt;""),BT$4&amp;"; ","")&amp;IF(AND(BU96="✓",BU$4&lt;&gt;""),BU$4&amp;"; ","")&amp;IF(AND(BV96="✓",BV$4&lt;&gt;""),BV$4&amp;"; ","")&amp;IF(AND(BW96="✓",BW$4&lt;&gt;""),BW$4&amp;"; ","")&amp;IF(AND(BX96="✓",BX$4&lt;&gt;""),BX$4&amp;"; ","")&amp;IF(AND(BY96="✓",BY$4&lt;&gt;""),BY$4&amp;"; ","")&amp;IF(AND(BZ96="✓",BZ$4&lt;&gt;""),BZ$4&amp;"; ","")&amp;IF(AND(CA96="✓",CA$4&lt;&gt;""),CA$4&amp;"; ","")&amp;IF(AND(CB96="✓",CB$4&lt;&gt;""),CB$4&amp;"; ","")&amp;IF(AND(CC96="✓",CC$4&lt;&gt;""),CC$4&amp;"; ","")&amp;IF(AND(CD96="✓",CD$4&lt;&gt;""),CD$4&amp;"; ","")&amp;IF(AND(CE96="✓",CE$4&lt;&gt;""),CE$4&amp;"; ","")&amp;IF(AND(CF96="✓",CF$4&lt;&gt;""),CF$4&amp;"; ","")&amp;IF(AND(CG96="✓",CG$4&lt;&gt;""),CG$4&amp;"; ","")&amp;IF(AND(CH96="✓",CH$4&lt;&gt;""),CH$4&amp;"; ","")&amp;IF(AND(CI96="✓",CI$4&lt;&gt;""),CI$4&amp;"; ","")&amp;IF(AND(CJ96="✓",CJ$4&lt;&gt;""),CJ$4&amp;"; ","")&amp;IF(AND(CK96="✓",CK$4&lt;&gt;""),CK$4&amp;"; ","")&amp;IF(AND(CL96="✓",CL$4&lt;&gt;""),CL$4&amp;"; ","")&amp;IF(AND(CM96="✓",CM$4&lt;&gt;""),CM$4&amp;"; ","")&amp;IF(AND(CN96="✓",CN$4&lt;&gt;""),CN$4&amp;"; ","")&amp;IF(AND(CO96="✓",CO$4&lt;&gt;""),CO$4&amp;"; ","")</f>
        <v/>
      </c>
      <c r="CQ96" s="104" t="str">
        <f aca="false">IF($CP96="","",LEFT($CP96,LEN($CP96)-2))</f>
        <v/>
      </c>
      <c r="CR96" s="234" t="str">
        <f aca="false">IF($A96="","",COUNTIF($D96:$CO96,"✓"))</f>
        <v/>
      </c>
    </row>
    <row r="97" customFormat="false" ht="21.75" hidden="false" customHeight="true" outlineLevel="0" collapsed="false">
      <c r="A97" s="231" t="str">
        <f aca="false">IF(03_能力總表_Master!$A97="","",03_能力總表_Master!$A97)</f>
        <v/>
      </c>
      <c r="B97" s="166" t="str">
        <f aca="false">IF(03_能力總表_Master!$A97="","",03_能力總表_Master!$B97)</f>
        <v/>
      </c>
      <c r="C97" s="95" t="str">
        <f aca="false">IF(03_能力總表_Master!$A97="","",03_能力總表_Master!$E97)</f>
        <v/>
      </c>
      <c r="D97" s="232"/>
      <c r="E97" s="232"/>
      <c r="F97" s="232"/>
      <c r="G97" s="232"/>
      <c r="H97" s="232"/>
      <c r="I97" s="232"/>
      <c r="J97" s="232"/>
      <c r="K97" s="232"/>
      <c r="L97" s="232"/>
      <c r="M97" s="232"/>
      <c r="N97" s="232"/>
      <c r="O97" s="232"/>
      <c r="P97" s="232"/>
      <c r="Q97" s="232"/>
      <c r="R97" s="232"/>
      <c r="S97" s="232"/>
      <c r="T97" s="232"/>
      <c r="U97" s="232"/>
      <c r="V97" s="232"/>
      <c r="W97" s="232"/>
      <c r="X97" s="232"/>
      <c r="Y97" s="232"/>
      <c r="Z97" s="232"/>
      <c r="AA97" s="232"/>
      <c r="AB97" s="232"/>
      <c r="AC97" s="232"/>
      <c r="AD97" s="232"/>
      <c r="AE97" s="232"/>
      <c r="AF97" s="232"/>
      <c r="AG97" s="232"/>
      <c r="AH97" s="232"/>
      <c r="AI97" s="232"/>
      <c r="AJ97" s="232"/>
      <c r="AK97" s="232"/>
      <c r="AL97" s="232"/>
      <c r="AM97" s="232"/>
      <c r="AN97" s="232"/>
      <c r="AO97" s="232"/>
      <c r="AP97" s="232"/>
      <c r="AQ97" s="232"/>
      <c r="AR97" s="232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232"/>
      <c r="BH97" s="232"/>
      <c r="BI97" s="232"/>
      <c r="BJ97" s="232"/>
      <c r="BK97" s="232"/>
      <c r="BL97" s="232"/>
      <c r="BM97" s="232"/>
      <c r="BN97" s="232"/>
      <c r="BO97" s="232"/>
      <c r="BP97" s="232"/>
      <c r="BQ97" s="232"/>
      <c r="BR97" s="232"/>
      <c r="BS97" s="232"/>
      <c r="BT97" s="232"/>
      <c r="BU97" s="232"/>
      <c r="BV97" s="232"/>
      <c r="BW97" s="232"/>
      <c r="BX97" s="232"/>
      <c r="BY97" s="232"/>
      <c r="BZ97" s="232"/>
      <c r="CA97" s="232"/>
      <c r="CB97" s="232"/>
      <c r="CC97" s="232"/>
      <c r="CD97" s="232"/>
      <c r="CE97" s="232"/>
      <c r="CF97" s="232"/>
      <c r="CG97" s="232"/>
      <c r="CH97" s="232"/>
      <c r="CI97" s="232"/>
      <c r="CJ97" s="232"/>
      <c r="CK97" s="232"/>
      <c r="CL97" s="232"/>
      <c r="CM97" s="232"/>
      <c r="CN97" s="232"/>
      <c r="CO97" s="232"/>
      <c r="CP97" s="233" t="str">
        <f aca="false">IF(AND(D97="✓",D$4&lt;&gt;""),D$4&amp;"; ","")&amp;IF(AND(E97="✓",E$4&lt;&gt;""),E$4&amp;"; ","")&amp;IF(AND(F97="✓",F$4&lt;&gt;""),F$4&amp;"; ","")&amp;IF(AND(G97="✓",G$4&lt;&gt;""),G$4&amp;"; ","")&amp;IF(AND(H97="✓",H$4&lt;&gt;""),H$4&amp;"; ","")&amp;IF(AND(I97="✓",I$4&lt;&gt;""),I$4&amp;"; ","")&amp;IF(AND(J97="✓",J$4&lt;&gt;""),J$4&amp;"; ","")&amp;IF(AND(K97="✓",K$4&lt;&gt;""),K$4&amp;"; ","")&amp;IF(AND(L97="✓",L$4&lt;&gt;""),L$4&amp;"; ","")&amp;IF(AND(M97="✓",M$4&lt;&gt;""),M$4&amp;"; ","")&amp;IF(AND(N97="✓",N$4&lt;&gt;""),N$4&amp;"; ","")&amp;IF(AND(O97="✓",O$4&lt;&gt;""),O$4&amp;"; ","")&amp;IF(AND(P97="✓",P$4&lt;&gt;""),P$4&amp;"; ","")&amp;IF(AND(Q97="✓",Q$4&lt;&gt;""),Q$4&amp;"; ","")&amp;IF(AND(R97="✓",R$4&lt;&gt;""),R$4&amp;"; ","")&amp;IF(AND(S97="✓",S$4&lt;&gt;""),S$4&amp;"; ","")&amp;IF(AND(T97="✓",T$4&lt;&gt;""),T$4&amp;"; ","")&amp;IF(AND(U97="✓",U$4&lt;&gt;""),U$4&amp;"; ","")&amp;IF(AND(V97="✓",V$4&lt;&gt;""),V$4&amp;"; ","")&amp;IF(AND(W97="✓",W$4&lt;&gt;""),W$4&amp;"; ","")&amp;IF(AND(X97="✓",X$4&lt;&gt;""),X$4&amp;"; ","")&amp;IF(AND(Y97="✓",Y$4&lt;&gt;""),Y$4&amp;"; ","")&amp;IF(AND(Z97="✓",Z$4&lt;&gt;""),Z$4&amp;"; ","")&amp;IF(AND(AA97="✓",AA$4&lt;&gt;""),AA$4&amp;"; ","")&amp;IF(AND(AB97="✓",AB$4&lt;&gt;""),AB$4&amp;"; ","")&amp;IF(AND(AC97="✓",AC$4&lt;&gt;""),AC$4&amp;"; ","")&amp;IF(AND(AD97="✓",AD$4&lt;&gt;""),AD$4&amp;"; ","")&amp;IF(AND(AE97="✓",AE$4&lt;&gt;""),AE$4&amp;"; ","")&amp;IF(AND(AF97="✓",AF$4&lt;&gt;""),AF$4&amp;"; ","")&amp;IF(AND(AG97="✓",AG$4&lt;&gt;""),AG$4&amp;"; ","")&amp;IF(AND(AH97="✓",AH$4&lt;&gt;""),AH$4&amp;"; ","")&amp;IF(AND(AI97="✓",AI$4&lt;&gt;""),AI$4&amp;"; ","")&amp;IF(AND(AJ97="✓",AJ$4&lt;&gt;""),AJ$4&amp;"; ","")&amp;IF(AND(AK97="✓",AK$4&lt;&gt;""),AK$4&amp;"; ","")&amp;IF(AND(AL97="✓",AL$4&lt;&gt;""),AL$4&amp;"; ","")&amp;IF(AND(AM97="✓",AM$4&lt;&gt;""),AM$4&amp;"; ","")&amp;IF(AND(AN97="✓",AN$4&lt;&gt;""),AN$4&amp;"; ","")&amp;IF(AND(AO97="✓",AO$4&lt;&gt;""),AO$4&amp;"; ","")&amp;IF(AND(AP97="✓",AP$4&lt;&gt;""),AP$4&amp;"; ","")&amp;IF(AND(AQ97="✓",AQ$4&lt;&gt;""),AQ$4&amp;"; ","")&amp;IF(AND(AR97="✓",AR$4&lt;&gt;""),AR$4&amp;"; ","")&amp;IF(AND(AS97="✓",AS$4&lt;&gt;""),AS$4&amp;"; ","")&amp;IF(AND(AT97="✓",AT$4&lt;&gt;""),AT$4&amp;"; ","")&amp;IF(AND(AU97="✓",AU$4&lt;&gt;""),AU$4&amp;"; ","")&amp;IF(AND(AV97="✓",AV$4&lt;&gt;""),AV$4&amp;"; ","")&amp;IF(AND(AW97="✓",AW$4&lt;&gt;""),AW$4&amp;"; ","")&amp;IF(AND(AX97="✓",AX$4&lt;&gt;""),AX$4&amp;"; ","")&amp;IF(AND(AY97="✓",AY$4&lt;&gt;""),AY$4&amp;"; ","")&amp;IF(AND(AZ97="✓",AZ$4&lt;&gt;""),AZ$4&amp;"; ","")&amp;IF(AND(BA97="✓",BA$4&lt;&gt;""),BA$4&amp;"; ","")&amp;IF(AND(BB97="✓",BB$4&lt;&gt;""),BB$4&amp;"; ","")&amp;IF(AND(BC97="✓",BC$4&lt;&gt;""),BC$4&amp;"; ","")&amp;IF(AND(BD97="✓",BD$4&lt;&gt;""),BD$4&amp;"; ","")&amp;IF(AND(BE97="✓",BE$4&lt;&gt;""),BE$4&amp;"; ","")&amp;IF(AND(BF97="✓",BF$4&lt;&gt;""),BF$4&amp;"; ","")&amp;IF(AND(BG97="✓",BG$4&lt;&gt;""),BG$4&amp;"; ","")&amp;IF(AND(BH97="✓",BH$4&lt;&gt;""),BH$4&amp;"; ","")&amp;IF(AND(BI97="✓",BI$4&lt;&gt;""),BI$4&amp;"; ","")&amp;IF(AND(BJ97="✓",BJ$4&lt;&gt;""),BJ$4&amp;"; ","")&amp;IF(AND(BK97="✓",BK$4&lt;&gt;""),BK$4&amp;"; ","")&amp;IF(AND(BL97="✓",BL$4&lt;&gt;""),BL$4&amp;"; ","")&amp;IF(AND(BM97="✓",BM$4&lt;&gt;""),BM$4&amp;"; ","")&amp;IF(AND(BN97="✓",BN$4&lt;&gt;""),BN$4&amp;"; ","")&amp;IF(AND(BO97="✓",BO$4&lt;&gt;""),BO$4&amp;"; ","")&amp;IF(AND(BP97="✓",BP$4&lt;&gt;""),BP$4&amp;"; ","")&amp;IF(AND(BQ97="✓",BQ$4&lt;&gt;""),BQ$4&amp;"; ","")&amp;IF(AND(BR97="✓",BR$4&lt;&gt;""),BR$4&amp;"; ","")&amp;IF(AND(BS97="✓",BS$4&lt;&gt;""),BS$4&amp;"; ","")&amp;IF(AND(BT97="✓",BT$4&lt;&gt;""),BT$4&amp;"; ","")&amp;IF(AND(BU97="✓",BU$4&lt;&gt;""),BU$4&amp;"; ","")&amp;IF(AND(BV97="✓",BV$4&lt;&gt;""),BV$4&amp;"; ","")&amp;IF(AND(BW97="✓",BW$4&lt;&gt;""),BW$4&amp;"; ","")&amp;IF(AND(BX97="✓",BX$4&lt;&gt;""),BX$4&amp;"; ","")&amp;IF(AND(BY97="✓",BY$4&lt;&gt;""),BY$4&amp;"; ","")&amp;IF(AND(BZ97="✓",BZ$4&lt;&gt;""),BZ$4&amp;"; ","")&amp;IF(AND(CA97="✓",CA$4&lt;&gt;""),CA$4&amp;"; ","")&amp;IF(AND(CB97="✓",CB$4&lt;&gt;""),CB$4&amp;"; ","")&amp;IF(AND(CC97="✓",CC$4&lt;&gt;""),CC$4&amp;"; ","")&amp;IF(AND(CD97="✓",CD$4&lt;&gt;""),CD$4&amp;"; ","")&amp;IF(AND(CE97="✓",CE$4&lt;&gt;""),CE$4&amp;"; ","")&amp;IF(AND(CF97="✓",CF$4&lt;&gt;""),CF$4&amp;"; ","")&amp;IF(AND(CG97="✓",CG$4&lt;&gt;""),CG$4&amp;"; ","")&amp;IF(AND(CH97="✓",CH$4&lt;&gt;""),CH$4&amp;"; ","")&amp;IF(AND(CI97="✓",CI$4&lt;&gt;""),CI$4&amp;"; ","")&amp;IF(AND(CJ97="✓",CJ$4&lt;&gt;""),CJ$4&amp;"; ","")&amp;IF(AND(CK97="✓",CK$4&lt;&gt;""),CK$4&amp;"; ","")&amp;IF(AND(CL97="✓",CL$4&lt;&gt;""),CL$4&amp;"; ","")&amp;IF(AND(CM97="✓",CM$4&lt;&gt;""),CM$4&amp;"; ","")&amp;IF(AND(CN97="✓",CN$4&lt;&gt;""),CN$4&amp;"; ","")&amp;IF(AND(CO97="✓",CO$4&lt;&gt;""),CO$4&amp;"; ","")</f>
        <v/>
      </c>
      <c r="CQ97" s="104" t="str">
        <f aca="false">IF($CP97="","",LEFT($CP97,LEN($CP97)-2))</f>
        <v/>
      </c>
      <c r="CR97" s="234" t="str">
        <f aca="false">IF($A97="","",COUNTIF($D97:$CO97,"✓"))</f>
        <v/>
      </c>
    </row>
    <row r="98" customFormat="false" ht="21.75" hidden="false" customHeight="true" outlineLevel="0" collapsed="false">
      <c r="A98" s="231" t="str">
        <f aca="false">IF(03_能力總表_Master!$A98="","",03_能力總表_Master!$A98)</f>
        <v/>
      </c>
      <c r="B98" s="166" t="str">
        <f aca="false">IF(03_能力總表_Master!$A98="","",03_能力總表_Master!$B98)</f>
        <v/>
      </c>
      <c r="C98" s="95" t="str">
        <f aca="false">IF(03_能力總表_Master!$A98="","",03_能力總表_Master!$E98)</f>
        <v/>
      </c>
      <c r="D98" s="232"/>
      <c r="E98" s="232"/>
      <c r="F98" s="232"/>
      <c r="G98" s="232"/>
      <c r="H98" s="232"/>
      <c r="I98" s="232"/>
      <c r="J98" s="232"/>
      <c r="K98" s="232"/>
      <c r="L98" s="232"/>
      <c r="M98" s="232"/>
      <c r="N98" s="232"/>
      <c r="O98" s="232"/>
      <c r="P98" s="232"/>
      <c r="Q98" s="232"/>
      <c r="R98" s="232"/>
      <c r="S98" s="232"/>
      <c r="T98" s="232"/>
      <c r="U98" s="232"/>
      <c r="V98" s="232"/>
      <c r="W98" s="232"/>
      <c r="X98" s="232"/>
      <c r="Y98" s="232"/>
      <c r="Z98" s="232"/>
      <c r="AA98" s="232"/>
      <c r="AB98" s="232"/>
      <c r="AC98" s="232"/>
      <c r="AD98" s="232"/>
      <c r="AE98" s="232"/>
      <c r="AF98" s="232"/>
      <c r="AG98" s="232"/>
      <c r="AH98" s="232"/>
      <c r="AI98" s="232"/>
      <c r="AJ98" s="232"/>
      <c r="AK98" s="232"/>
      <c r="AL98" s="232"/>
      <c r="AM98" s="232"/>
      <c r="AN98" s="232"/>
      <c r="AO98" s="232"/>
      <c r="AP98" s="232"/>
      <c r="AQ98" s="232"/>
      <c r="AR98" s="232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232"/>
      <c r="BH98" s="232"/>
      <c r="BI98" s="232"/>
      <c r="BJ98" s="232"/>
      <c r="BK98" s="232"/>
      <c r="BL98" s="232"/>
      <c r="BM98" s="232"/>
      <c r="BN98" s="232"/>
      <c r="BO98" s="232"/>
      <c r="BP98" s="232"/>
      <c r="BQ98" s="232"/>
      <c r="BR98" s="232"/>
      <c r="BS98" s="232"/>
      <c r="BT98" s="232"/>
      <c r="BU98" s="232"/>
      <c r="BV98" s="232"/>
      <c r="BW98" s="232"/>
      <c r="BX98" s="232"/>
      <c r="BY98" s="232"/>
      <c r="BZ98" s="232"/>
      <c r="CA98" s="232"/>
      <c r="CB98" s="232"/>
      <c r="CC98" s="232"/>
      <c r="CD98" s="232"/>
      <c r="CE98" s="232"/>
      <c r="CF98" s="232"/>
      <c r="CG98" s="232"/>
      <c r="CH98" s="232"/>
      <c r="CI98" s="232"/>
      <c r="CJ98" s="232"/>
      <c r="CK98" s="232"/>
      <c r="CL98" s="232"/>
      <c r="CM98" s="232"/>
      <c r="CN98" s="232"/>
      <c r="CO98" s="232"/>
      <c r="CP98" s="233" t="str">
        <f aca="false">IF(AND(D98="✓",D$4&lt;&gt;""),D$4&amp;"; ","")&amp;IF(AND(E98="✓",E$4&lt;&gt;""),E$4&amp;"; ","")&amp;IF(AND(F98="✓",F$4&lt;&gt;""),F$4&amp;"; ","")&amp;IF(AND(G98="✓",G$4&lt;&gt;""),G$4&amp;"; ","")&amp;IF(AND(H98="✓",H$4&lt;&gt;""),H$4&amp;"; ","")&amp;IF(AND(I98="✓",I$4&lt;&gt;""),I$4&amp;"; ","")&amp;IF(AND(J98="✓",J$4&lt;&gt;""),J$4&amp;"; ","")&amp;IF(AND(K98="✓",K$4&lt;&gt;""),K$4&amp;"; ","")&amp;IF(AND(L98="✓",L$4&lt;&gt;""),L$4&amp;"; ","")&amp;IF(AND(M98="✓",M$4&lt;&gt;""),M$4&amp;"; ","")&amp;IF(AND(N98="✓",N$4&lt;&gt;""),N$4&amp;"; ","")&amp;IF(AND(O98="✓",O$4&lt;&gt;""),O$4&amp;"; ","")&amp;IF(AND(P98="✓",P$4&lt;&gt;""),P$4&amp;"; ","")&amp;IF(AND(Q98="✓",Q$4&lt;&gt;""),Q$4&amp;"; ","")&amp;IF(AND(R98="✓",R$4&lt;&gt;""),R$4&amp;"; ","")&amp;IF(AND(S98="✓",S$4&lt;&gt;""),S$4&amp;"; ","")&amp;IF(AND(T98="✓",T$4&lt;&gt;""),T$4&amp;"; ","")&amp;IF(AND(U98="✓",U$4&lt;&gt;""),U$4&amp;"; ","")&amp;IF(AND(V98="✓",V$4&lt;&gt;""),V$4&amp;"; ","")&amp;IF(AND(W98="✓",W$4&lt;&gt;""),W$4&amp;"; ","")&amp;IF(AND(X98="✓",X$4&lt;&gt;""),X$4&amp;"; ","")&amp;IF(AND(Y98="✓",Y$4&lt;&gt;""),Y$4&amp;"; ","")&amp;IF(AND(Z98="✓",Z$4&lt;&gt;""),Z$4&amp;"; ","")&amp;IF(AND(AA98="✓",AA$4&lt;&gt;""),AA$4&amp;"; ","")&amp;IF(AND(AB98="✓",AB$4&lt;&gt;""),AB$4&amp;"; ","")&amp;IF(AND(AC98="✓",AC$4&lt;&gt;""),AC$4&amp;"; ","")&amp;IF(AND(AD98="✓",AD$4&lt;&gt;""),AD$4&amp;"; ","")&amp;IF(AND(AE98="✓",AE$4&lt;&gt;""),AE$4&amp;"; ","")&amp;IF(AND(AF98="✓",AF$4&lt;&gt;""),AF$4&amp;"; ","")&amp;IF(AND(AG98="✓",AG$4&lt;&gt;""),AG$4&amp;"; ","")&amp;IF(AND(AH98="✓",AH$4&lt;&gt;""),AH$4&amp;"; ","")&amp;IF(AND(AI98="✓",AI$4&lt;&gt;""),AI$4&amp;"; ","")&amp;IF(AND(AJ98="✓",AJ$4&lt;&gt;""),AJ$4&amp;"; ","")&amp;IF(AND(AK98="✓",AK$4&lt;&gt;""),AK$4&amp;"; ","")&amp;IF(AND(AL98="✓",AL$4&lt;&gt;""),AL$4&amp;"; ","")&amp;IF(AND(AM98="✓",AM$4&lt;&gt;""),AM$4&amp;"; ","")&amp;IF(AND(AN98="✓",AN$4&lt;&gt;""),AN$4&amp;"; ","")&amp;IF(AND(AO98="✓",AO$4&lt;&gt;""),AO$4&amp;"; ","")&amp;IF(AND(AP98="✓",AP$4&lt;&gt;""),AP$4&amp;"; ","")&amp;IF(AND(AQ98="✓",AQ$4&lt;&gt;""),AQ$4&amp;"; ","")&amp;IF(AND(AR98="✓",AR$4&lt;&gt;""),AR$4&amp;"; ","")&amp;IF(AND(AS98="✓",AS$4&lt;&gt;""),AS$4&amp;"; ","")&amp;IF(AND(AT98="✓",AT$4&lt;&gt;""),AT$4&amp;"; ","")&amp;IF(AND(AU98="✓",AU$4&lt;&gt;""),AU$4&amp;"; ","")&amp;IF(AND(AV98="✓",AV$4&lt;&gt;""),AV$4&amp;"; ","")&amp;IF(AND(AW98="✓",AW$4&lt;&gt;""),AW$4&amp;"; ","")&amp;IF(AND(AX98="✓",AX$4&lt;&gt;""),AX$4&amp;"; ","")&amp;IF(AND(AY98="✓",AY$4&lt;&gt;""),AY$4&amp;"; ","")&amp;IF(AND(AZ98="✓",AZ$4&lt;&gt;""),AZ$4&amp;"; ","")&amp;IF(AND(BA98="✓",BA$4&lt;&gt;""),BA$4&amp;"; ","")&amp;IF(AND(BB98="✓",BB$4&lt;&gt;""),BB$4&amp;"; ","")&amp;IF(AND(BC98="✓",BC$4&lt;&gt;""),BC$4&amp;"; ","")&amp;IF(AND(BD98="✓",BD$4&lt;&gt;""),BD$4&amp;"; ","")&amp;IF(AND(BE98="✓",BE$4&lt;&gt;""),BE$4&amp;"; ","")&amp;IF(AND(BF98="✓",BF$4&lt;&gt;""),BF$4&amp;"; ","")&amp;IF(AND(BG98="✓",BG$4&lt;&gt;""),BG$4&amp;"; ","")&amp;IF(AND(BH98="✓",BH$4&lt;&gt;""),BH$4&amp;"; ","")&amp;IF(AND(BI98="✓",BI$4&lt;&gt;""),BI$4&amp;"; ","")&amp;IF(AND(BJ98="✓",BJ$4&lt;&gt;""),BJ$4&amp;"; ","")&amp;IF(AND(BK98="✓",BK$4&lt;&gt;""),BK$4&amp;"; ","")&amp;IF(AND(BL98="✓",BL$4&lt;&gt;""),BL$4&amp;"; ","")&amp;IF(AND(BM98="✓",BM$4&lt;&gt;""),BM$4&amp;"; ","")&amp;IF(AND(BN98="✓",BN$4&lt;&gt;""),BN$4&amp;"; ","")&amp;IF(AND(BO98="✓",BO$4&lt;&gt;""),BO$4&amp;"; ","")&amp;IF(AND(BP98="✓",BP$4&lt;&gt;""),BP$4&amp;"; ","")&amp;IF(AND(BQ98="✓",BQ$4&lt;&gt;""),BQ$4&amp;"; ","")&amp;IF(AND(BR98="✓",BR$4&lt;&gt;""),BR$4&amp;"; ","")&amp;IF(AND(BS98="✓",BS$4&lt;&gt;""),BS$4&amp;"; ","")&amp;IF(AND(BT98="✓",BT$4&lt;&gt;""),BT$4&amp;"; ","")&amp;IF(AND(BU98="✓",BU$4&lt;&gt;""),BU$4&amp;"; ","")&amp;IF(AND(BV98="✓",BV$4&lt;&gt;""),BV$4&amp;"; ","")&amp;IF(AND(BW98="✓",BW$4&lt;&gt;""),BW$4&amp;"; ","")&amp;IF(AND(BX98="✓",BX$4&lt;&gt;""),BX$4&amp;"; ","")&amp;IF(AND(BY98="✓",BY$4&lt;&gt;""),BY$4&amp;"; ","")&amp;IF(AND(BZ98="✓",BZ$4&lt;&gt;""),BZ$4&amp;"; ","")&amp;IF(AND(CA98="✓",CA$4&lt;&gt;""),CA$4&amp;"; ","")&amp;IF(AND(CB98="✓",CB$4&lt;&gt;""),CB$4&amp;"; ","")&amp;IF(AND(CC98="✓",CC$4&lt;&gt;""),CC$4&amp;"; ","")&amp;IF(AND(CD98="✓",CD$4&lt;&gt;""),CD$4&amp;"; ","")&amp;IF(AND(CE98="✓",CE$4&lt;&gt;""),CE$4&amp;"; ","")&amp;IF(AND(CF98="✓",CF$4&lt;&gt;""),CF$4&amp;"; ","")&amp;IF(AND(CG98="✓",CG$4&lt;&gt;""),CG$4&amp;"; ","")&amp;IF(AND(CH98="✓",CH$4&lt;&gt;""),CH$4&amp;"; ","")&amp;IF(AND(CI98="✓",CI$4&lt;&gt;""),CI$4&amp;"; ","")&amp;IF(AND(CJ98="✓",CJ$4&lt;&gt;""),CJ$4&amp;"; ","")&amp;IF(AND(CK98="✓",CK$4&lt;&gt;""),CK$4&amp;"; ","")&amp;IF(AND(CL98="✓",CL$4&lt;&gt;""),CL$4&amp;"; ","")&amp;IF(AND(CM98="✓",CM$4&lt;&gt;""),CM$4&amp;"; ","")&amp;IF(AND(CN98="✓",CN$4&lt;&gt;""),CN$4&amp;"; ","")&amp;IF(AND(CO98="✓",CO$4&lt;&gt;""),CO$4&amp;"; ","")</f>
        <v/>
      </c>
      <c r="CQ98" s="104" t="str">
        <f aca="false">IF($CP98="","",LEFT($CP98,LEN($CP98)-2))</f>
        <v/>
      </c>
      <c r="CR98" s="234" t="str">
        <f aca="false">IF($A98="","",COUNTIF($D98:$CO98,"✓"))</f>
        <v/>
      </c>
    </row>
    <row r="99" customFormat="false" ht="21.75" hidden="false" customHeight="true" outlineLevel="0" collapsed="false">
      <c r="A99" s="231" t="str">
        <f aca="false">IF(03_能力總表_Master!$A99="","",03_能力總表_Master!$A99)</f>
        <v/>
      </c>
      <c r="B99" s="166" t="str">
        <f aca="false">IF(03_能力總表_Master!$A99="","",03_能力總表_Master!$B99)</f>
        <v/>
      </c>
      <c r="C99" s="95" t="str">
        <f aca="false">IF(03_能力總表_Master!$A99="","",03_能力總表_Master!$E99)</f>
        <v/>
      </c>
      <c r="D99" s="232"/>
      <c r="E99" s="232"/>
      <c r="F99" s="232"/>
      <c r="G99" s="232"/>
      <c r="H99" s="232"/>
      <c r="I99" s="232"/>
      <c r="J99" s="232"/>
      <c r="K99" s="232"/>
      <c r="L99" s="232"/>
      <c r="M99" s="232"/>
      <c r="N99" s="232"/>
      <c r="O99" s="232"/>
      <c r="P99" s="232"/>
      <c r="Q99" s="232"/>
      <c r="R99" s="232"/>
      <c r="S99" s="232"/>
      <c r="T99" s="232"/>
      <c r="U99" s="232"/>
      <c r="V99" s="232"/>
      <c r="W99" s="232"/>
      <c r="X99" s="232"/>
      <c r="Y99" s="232"/>
      <c r="Z99" s="232"/>
      <c r="AA99" s="232"/>
      <c r="AB99" s="232"/>
      <c r="AC99" s="232"/>
      <c r="AD99" s="232"/>
      <c r="AE99" s="232"/>
      <c r="AF99" s="232"/>
      <c r="AG99" s="232"/>
      <c r="AH99" s="232"/>
      <c r="AI99" s="232"/>
      <c r="AJ99" s="232"/>
      <c r="AK99" s="232"/>
      <c r="AL99" s="232"/>
      <c r="AM99" s="232"/>
      <c r="AN99" s="232"/>
      <c r="AO99" s="232"/>
      <c r="AP99" s="232"/>
      <c r="AQ99" s="232"/>
      <c r="AR99" s="232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232"/>
      <c r="BH99" s="232"/>
      <c r="BI99" s="232"/>
      <c r="BJ99" s="232"/>
      <c r="BK99" s="232"/>
      <c r="BL99" s="232"/>
      <c r="BM99" s="232"/>
      <c r="BN99" s="232"/>
      <c r="BO99" s="232"/>
      <c r="BP99" s="232"/>
      <c r="BQ99" s="232"/>
      <c r="BR99" s="232"/>
      <c r="BS99" s="232"/>
      <c r="BT99" s="232"/>
      <c r="BU99" s="232"/>
      <c r="BV99" s="232"/>
      <c r="BW99" s="232"/>
      <c r="BX99" s="232"/>
      <c r="BY99" s="232"/>
      <c r="BZ99" s="232"/>
      <c r="CA99" s="232"/>
      <c r="CB99" s="232"/>
      <c r="CC99" s="232"/>
      <c r="CD99" s="232"/>
      <c r="CE99" s="232"/>
      <c r="CF99" s="232"/>
      <c r="CG99" s="232"/>
      <c r="CH99" s="232"/>
      <c r="CI99" s="232"/>
      <c r="CJ99" s="232"/>
      <c r="CK99" s="232"/>
      <c r="CL99" s="232"/>
      <c r="CM99" s="232"/>
      <c r="CN99" s="232"/>
      <c r="CO99" s="232"/>
      <c r="CP99" s="233" t="str">
        <f aca="false">IF(AND(D99="✓",D$4&lt;&gt;""),D$4&amp;"; ","")&amp;IF(AND(E99="✓",E$4&lt;&gt;""),E$4&amp;"; ","")&amp;IF(AND(F99="✓",F$4&lt;&gt;""),F$4&amp;"; ","")&amp;IF(AND(G99="✓",G$4&lt;&gt;""),G$4&amp;"; ","")&amp;IF(AND(H99="✓",H$4&lt;&gt;""),H$4&amp;"; ","")&amp;IF(AND(I99="✓",I$4&lt;&gt;""),I$4&amp;"; ","")&amp;IF(AND(J99="✓",J$4&lt;&gt;""),J$4&amp;"; ","")&amp;IF(AND(K99="✓",K$4&lt;&gt;""),K$4&amp;"; ","")&amp;IF(AND(L99="✓",L$4&lt;&gt;""),L$4&amp;"; ","")&amp;IF(AND(M99="✓",M$4&lt;&gt;""),M$4&amp;"; ","")&amp;IF(AND(N99="✓",N$4&lt;&gt;""),N$4&amp;"; ","")&amp;IF(AND(O99="✓",O$4&lt;&gt;""),O$4&amp;"; ","")&amp;IF(AND(P99="✓",P$4&lt;&gt;""),P$4&amp;"; ","")&amp;IF(AND(Q99="✓",Q$4&lt;&gt;""),Q$4&amp;"; ","")&amp;IF(AND(R99="✓",R$4&lt;&gt;""),R$4&amp;"; ","")&amp;IF(AND(S99="✓",S$4&lt;&gt;""),S$4&amp;"; ","")&amp;IF(AND(T99="✓",T$4&lt;&gt;""),T$4&amp;"; ","")&amp;IF(AND(U99="✓",U$4&lt;&gt;""),U$4&amp;"; ","")&amp;IF(AND(V99="✓",V$4&lt;&gt;""),V$4&amp;"; ","")&amp;IF(AND(W99="✓",W$4&lt;&gt;""),W$4&amp;"; ","")&amp;IF(AND(X99="✓",X$4&lt;&gt;""),X$4&amp;"; ","")&amp;IF(AND(Y99="✓",Y$4&lt;&gt;""),Y$4&amp;"; ","")&amp;IF(AND(Z99="✓",Z$4&lt;&gt;""),Z$4&amp;"; ","")&amp;IF(AND(AA99="✓",AA$4&lt;&gt;""),AA$4&amp;"; ","")&amp;IF(AND(AB99="✓",AB$4&lt;&gt;""),AB$4&amp;"; ","")&amp;IF(AND(AC99="✓",AC$4&lt;&gt;""),AC$4&amp;"; ","")&amp;IF(AND(AD99="✓",AD$4&lt;&gt;""),AD$4&amp;"; ","")&amp;IF(AND(AE99="✓",AE$4&lt;&gt;""),AE$4&amp;"; ","")&amp;IF(AND(AF99="✓",AF$4&lt;&gt;""),AF$4&amp;"; ","")&amp;IF(AND(AG99="✓",AG$4&lt;&gt;""),AG$4&amp;"; ","")&amp;IF(AND(AH99="✓",AH$4&lt;&gt;""),AH$4&amp;"; ","")&amp;IF(AND(AI99="✓",AI$4&lt;&gt;""),AI$4&amp;"; ","")&amp;IF(AND(AJ99="✓",AJ$4&lt;&gt;""),AJ$4&amp;"; ","")&amp;IF(AND(AK99="✓",AK$4&lt;&gt;""),AK$4&amp;"; ","")&amp;IF(AND(AL99="✓",AL$4&lt;&gt;""),AL$4&amp;"; ","")&amp;IF(AND(AM99="✓",AM$4&lt;&gt;""),AM$4&amp;"; ","")&amp;IF(AND(AN99="✓",AN$4&lt;&gt;""),AN$4&amp;"; ","")&amp;IF(AND(AO99="✓",AO$4&lt;&gt;""),AO$4&amp;"; ","")&amp;IF(AND(AP99="✓",AP$4&lt;&gt;""),AP$4&amp;"; ","")&amp;IF(AND(AQ99="✓",AQ$4&lt;&gt;""),AQ$4&amp;"; ","")&amp;IF(AND(AR99="✓",AR$4&lt;&gt;""),AR$4&amp;"; ","")&amp;IF(AND(AS99="✓",AS$4&lt;&gt;""),AS$4&amp;"; ","")&amp;IF(AND(AT99="✓",AT$4&lt;&gt;""),AT$4&amp;"; ","")&amp;IF(AND(AU99="✓",AU$4&lt;&gt;""),AU$4&amp;"; ","")&amp;IF(AND(AV99="✓",AV$4&lt;&gt;""),AV$4&amp;"; ","")&amp;IF(AND(AW99="✓",AW$4&lt;&gt;""),AW$4&amp;"; ","")&amp;IF(AND(AX99="✓",AX$4&lt;&gt;""),AX$4&amp;"; ","")&amp;IF(AND(AY99="✓",AY$4&lt;&gt;""),AY$4&amp;"; ","")&amp;IF(AND(AZ99="✓",AZ$4&lt;&gt;""),AZ$4&amp;"; ","")&amp;IF(AND(BA99="✓",BA$4&lt;&gt;""),BA$4&amp;"; ","")&amp;IF(AND(BB99="✓",BB$4&lt;&gt;""),BB$4&amp;"; ","")&amp;IF(AND(BC99="✓",BC$4&lt;&gt;""),BC$4&amp;"; ","")&amp;IF(AND(BD99="✓",BD$4&lt;&gt;""),BD$4&amp;"; ","")&amp;IF(AND(BE99="✓",BE$4&lt;&gt;""),BE$4&amp;"; ","")&amp;IF(AND(BF99="✓",BF$4&lt;&gt;""),BF$4&amp;"; ","")&amp;IF(AND(BG99="✓",BG$4&lt;&gt;""),BG$4&amp;"; ","")&amp;IF(AND(BH99="✓",BH$4&lt;&gt;""),BH$4&amp;"; ","")&amp;IF(AND(BI99="✓",BI$4&lt;&gt;""),BI$4&amp;"; ","")&amp;IF(AND(BJ99="✓",BJ$4&lt;&gt;""),BJ$4&amp;"; ","")&amp;IF(AND(BK99="✓",BK$4&lt;&gt;""),BK$4&amp;"; ","")&amp;IF(AND(BL99="✓",BL$4&lt;&gt;""),BL$4&amp;"; ","")&amp;IF(AND(BM99="✓",BM$4&lt;&gt;""),BM$4&amp;"; ","")&amp;IF(AND(BN99="✓",BN$4&lt;&gt;""),BN$4&amp;"; ","")&amp;IF(AND(BO99="✓",BO$4&lt;&gt;""),BO$4&amp;"; ","")&amp;IF(AND(BP99="✓",BP$4&lt;&gt;""),BP$4&amp;"; ","")&amp;IF(AND(BQ99="✓",BQ$4&lt;&gt;""),BQ$4&amp;"; ","")&amp;IF(AND(BR99="✓",BR$4&lt;&gt;""),BR$4&amp;"; ","")&amp;IF(AND(BS99="✓",BS$4&lt;&gt;""),BS$4&amp;"; ","")&amp;IF(AND(BT99="✓",BT$4&lt;&gt;""),BT$4&amp;"; ","")&amp;IF(AND(BU99="✓",BU$4&lt;&gt;""),BU$4&amp;"; ","")&amp;IF(AND(BV99="✓",BV$4&lt;&gt;""),BV$4&amp;"; ","")&amp;IF(AND(BW99="✓",BW$4&lt;&gt;""),BW$4&amp;"; ","")&amp;IF(AND(BX99="✓",BX$4&lt;&gt;""),BX$4&amp;"; ","")&amp;IF(AND(BY99="✓",BY$4&lt;&gt;""),BY$4&amp;"; ","")&amp;IF(AND(BZ99="✓",BZ$4&lt;&gt;""),BZ$4&amp;"; ","")&amp;IF(AND(CA99="✓",CA$4&lt;&gt;""),CA$4&amp;"; ","")&amp;IF(AND(CB99="✓",CB$4&lt;&gt;""),CB$4&amp;"; ","")&amp;IF(AND(CC99="✓",CC$4&lt;&gt;""),CC$4&amp;"; ","")&amp;IF(AND(CD99="✓",CD$4&lt;&gt;""),CD$4&amp;"; ","")&amp;IF(AND(CE99="✓",CE$4&lt;&gt;""),CE$4&amp;"; ","")&amp;IF(AND(CF99="✓",CF$4&lt;&gt;""),CF$4&amp;"; ","")&amp;IF(AND(CG99="✓",CG$4&lt;&gt;""),CG$4&amp;"; ","")&amp;IF(AND(CH99="✓",CH$4&lt;&gt;""),CH$4&amp;"; ","")&amp;IF(AND(CI99="✓",CI$4&lt;&gt;""),CI$4&amp;"; ","")&amp;IF(AND(CJ99="✓",CJ$4&lt;&gt;""),CJ$4&amp;"; ","")&amp;IF(AND(CK99="✓",CK$4&lt;&gt;""),CK$4&amp;"; ","")&amp;IF(AND(CL99="✓",CL$4&lt;&gt;""),CL$4&amp;"; ","")&amp;IF(AND(CM99="✓",CM$4&lt;&gt;""),CM$4&amp;"; ","")&amp;IF(AND(CN99="✓",CN$4&lt;&gt;""),CN$4&amp;"; ","")&amp;IF(AND(CO99="✓",CO$4&lt;&gt;""),CO$4&amp;"; ","")</f>
        <v/>
      </c>
      <c r="CQ99" s="104" t="str">
        <f aca="false">IF($CP99="","",LEFT($CP99,LEN($CP99)-2))</f>
        <v/>
      </c>
      <c r="CR99" s="234" t="str">
        <f aca="false">IF($A99="","",COUNTIF($D99:$CO99,"✓"))</f>
        <v/>
      </c>
    </row>
    <row r="100" customFormat="false" ht="21.75" hidden="false" customHeight="true" outlineLevel="0" collapsed="false">
      <c r="A100" s="231" t="str">
        <f aca="false">IF(03_能力總表_Master!$A100="","",03_能力總表_Master!$A100)</f>
        <v/>
      </c>
      <c r="B100" s="166" t="str">
        <f aca="false">IF(03_能力總表_Master!$A100="","",03_能力總表_Master!$B100)</f>
        <v/>
      </c>
      <c r="C100" s="95" t="str">
        <f aca="false">IF(03_能力總表_Master!$A100="","",03_能力總表_Master!$E100)</f>
        <v/>
      </c>
      <c r="D100" s="232"/>
      <c r="E100" s="232"/>
      <c r="F100" s="232"/>
      <c r="G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  <c r="AA100" s="232"/>
      <c r="AB100" s="232"/>
      <c r="AC100" s="232"/>
      <c r="AD100" s="232"/>
      <c r="AE100" s="232"/>
      <c r="AF100" s="232"/>
      <c r="AG100" s="232"/>
      <c r="AH100" s="232"/>
      <c r="AI100" s="232"/>
      <c r="AJ100" s="232"/>
      <c r="AK100" s="232"/>
      <c r="AL100" s="232"/>
      <c r="AM100" s="232"/>
      <c r="AN100" s="232"/>
      <c r="AO100" s="232"/>
      <c r="AP100" s="232"/>
      <c r="AQ100" s="232"/>
      <c r="AR100" s="232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232"/>
      <c r="BH100" s="232"/>
      <c r="BI100" s="232"/>
      <c r="BJ100" s="232"/>
      <c r="BK100" s="232"/>
      <c r="BL100" s="232"/>
      <c r="BM100" s="232"/>
      <c r="BN100" s="232"/>
      <c r="BO100" s="232"/>
      <c r="BP100" s="232"/>
      <c r="BQ100" s="232"/>
      <c r="BR100" s="232"/>
      <c r="BS100" s="232"/>
      <c r="BT100" s="232"/>
      <c r="BU100" s="232"/>
      <c r="BV100" s="232"/>
      <c r="BW100" s="232"/>
      <c r="BX100" s="232"/>
      <c r="BY100" s="232"/>
      <c r="BZ100" s="232"/>
      <c r="CA100" s="232"/>
      <c r="CB100" s="232"/>
      <c r="CC100" s="232"/>
      <c r="CD100" s="232"/>
      <c r="CE100" s="232"/>
      <c r="CF100" s="232"/>
      <c r="CG100" s="232"/>
      <c r="CH100" s="232"/>
      <c r="CI100" s="232"/>
      <c r="CJ100" s="232"/>
      <c r="CK100" s="232"/>
      <c r="CL100" s="232"/>
      <c r="CM100" s="232"/>
      <c r="CN100" s="232"/>
      <c r="CO100" s="232"/>
      <c r="CP100" s="233" t="str">
        <f aca="false">IF(AND(D100="✓",D$4&lt;&gt;""),D$4&amp;"; ","")&amp;IF(AND(E100="✓",E$4&lt;&gt;""),E$4&amp;"; ","")&amp;IF(AND(F100="✓",F$4&lt;&gt;""),F$4&amp;"; ","")&amp;IF(AND(G100="✓",G$4&lt;&gt;""),G$4&amp;"; ","")&amp;IF(AND(H100="✓",H$4&lt;&gt;""),H$4&amp;"; ","")&amp;IF(AND(I100="✓",I$4&lt;&gt;""),I$4&amp;"; ","")&amp;IF(AND(J100="✓",J$4&lt;&gt;""),J$4&amp;"; ","")&amp;IF(AND(K100="✓",K$4&lt;&gt;""),K$4&amp;"; ","")&amp;IF(AND(L100="✓",L$4&lt;&gt;""),L$4&amp;"; ","")&amp;IF(AND(M100="✓",M$4&lt;&gt;""),M$4&amp;"; ","")&amp;IF(AND(N100="✓",N$4&lt;&gt;""),N$4&amp;"; ","")&amp;IF(AND(O100="✓",O$4&lt;&gt;""),O$4&amp;"; ","")&amp;IF(AND(P100="✓",P$4&lt;&gt;""),P$4&amp;"; ","")&amp;IF(AND(Q100="✓",Q$4&lt;&gt;""),Q$4&amp;"; ","")&amp;IF(AND(R100="✓",R$4&lt;&gt;""),R$4&amp;"; ","")&amp;IF(AND(S100="✓",S$4&lt;&gt;""),S$4&amp;"; ","")&amp;IF(AND(T100="✓",T$4&lt;&gt;""),T$4&amp;"; ","")&amp;IF(AND(U100="✓",U$4&lt;&gt;""),U$4&amp;"; ","")&amp;IF(AND(V100="✓",V$4&lt;&gt;""),V$4&amp;"; ","")&amp;IF(AND(W100="✓",W$4&lt;&gt;""),W$4&amp;"; ","")&amp;IF(AND(X100="✓",X$4&lt;&gt;""),X$4&amp;"; ","")&amp;IF(AND(Y100="✓",Y$4&lt;&gt;""),Y$4&amp;"; ","")&amp;IF(AND(Z100="✓",Z$4&lt;&gt;""),Z$4&amp;"; ","")&amp;IF(AND(AA100="✓",AA$4&lt;&gt;""),AA$4&amp;"; ","")&amp;IF(AND(AB100="✓",AB$4&lt;&gt;""),AB$4&amp;"; ","")&amp;IF(AND(AC100="✓",AC$4&lt;&gt;""),AC$4&amp;"; ","")&amp;IF(AND(AD100="✓",AD$4&lt;&gt;""),AD$4&amp;"; ","")&amp;IF(AND(AE100="✓",AE$4&lt;&gt;""),AE$4&amp;"; ","")&amp;IF(AND(AF100="✓",AF$4&lt;&gt;""),AF$4&amp;"; ","")&amp;IF(AND(AG100="✓",AG$4&lt;&gt;""),AG$4&amp;"; ","")&amp;IF(AND(AH100="✓",AH$4&lt;&gt;""),AH$4&amp;"; ","")&amp;IF(AND(AI100="✓",AI$4&lt;&gt;""),AI$4&amp;"; ","")&amp;IF(AND(AJ100="✓",AJ$4&lt;&gt;""),AJ$4&amp;"; ","")&amp;IF(AND(AK100="✓",AK$4&lt;&gt;""),AK$4&amp;"; ","")&amp;IF(AND(AL100="✓",AL$4&lt;&gt;""),AL$4&amp;"; ","")&amp;IF(AND(AM100="✓",AM$4&lt;&gt;""),AM$4&amp;"; ","")&amp;IF(AND(AN100="✓",AN$4&lt;&gt;""),AN$4&amp;"; ","")&amp;IF(AND(AO100="✓",AO$4&lt;&gt;""),AO$4&amp;"; ","")&amp;IF(AND(AP100="✓",AP$4&lt;&gt;""),AP$4&amp;"; ","")&amp;IF(AND(AQ100="✓",AQ$4&lt;&gt;""),AQ$4&amp;"; ","")&amp;IF(AND(AR100="✓",AR$4&lt;&gt;""),AR$4&amp;"; ","")&amp;IF(AND(AS100="✓",AS$4&lt;&gt;""),AS$4&amp;"; ","")&amp;IF(AND(AT100="✓",AT$4&lt;&gt;""),AT$4&amp;"; ","")&amp;IF(AND(AU100="✓",AU$4&lt;&gt;""),AU$4&amp;"; ","")&amp;IF(AND(AV100="✓",AV$4&lt;&gt;""),AV$4&amp;"; ","")&amp;IF(AND(AW100="✓",AW$4&lt;&gt;""),AW$4&amp;"; ","")&amp;IF(AND(AX100="✓",AX$4&lt;&gt;""),AX$4&amp;"; ","")&amp;IF(AND(AY100="✓",AY$4&lt;&gt;""),AY$4&amp;"; ","")&amp;IF(AND(AZ100="✓",AZ$4&lt;&gt;""),AZ$4&amp;"; ","")&amp;IF(AND(BA100="✓",BA$4&lt;&gt;""),BA$4&amp;"; ","")&amp;IF(AND(BB100="✓",BB$4&lt;&gt;""),BB$4&amp;"; ","")&amp;IF(AND(BC100="✓",BC$4&lt;&gt;""),BC$4&amp;"; ","")&amp;IF(AND(BD100="✓",BD$4&lt;&gt;""),BD$4&amp;"; ","")&amp;IF(AND(BE100="✓",BE$4&lt;&gt;""),BE$4&amp;"; ","")&amp;IF(AND(BF100="✓",BF$4&lt;&gt;""),BF$4&amp;"; ","")&amp;IF(AND(BG100="✓",BG$4&lt;&gt;""),BG$4&amp;"; ","")&amp;IF(AND(BH100="✓",BH$4&lt;&gt;""),BH$4&amp;"; ","")&amp;IF(AND(BI100="✓",BI$4&lt;&gt;""),BI$4&amp;"; ","")&amp;IF(AND(BJ100="✓",BJ$4&lt;&gt;""),BJ$4&amp;"; ","")&amp;IF(AND(BK100="✓",BK$4&lt;&gt;""),BK$4&amp;"; ","")&amp;IF(AND(BL100="✓",BL$4&lt;&gt;""),BL$4&amp;"; ","")&amp;IF(AND(BM100="✓",BM$4&lt;&gt;""),BM$4&amp;"; ","")&amp;IF(AND(BN100="✓",BN$4&lt;&gt;""),BN$4&amp;"; ","")&amp;IF(AND(BO100="✓",BO$4&lt;&gt;""),BO$4&amp;"; ","")&amp;IF(AND(BP100="✓",BP$4&lt;&gt;""),BP$4&amp;"; ","")&amp;IF(AND(BQ100="✓",BQ$4&lt;&gt;""),BQ$4&amp;"; ","")&amp;IF(AND(BR100="✓",BR$4&lt;&gt;""),BR$4&amp;"; ","")&amp;IF(AND(BS100="✓",BS$4&lt;&gt;""),BS$4&amp;"; ","")&amp;IF(AND(BT100="✓",BT$4&lt;&gt;""),BT$4&amp;"; ","")&amp;IF(AND(BU100="✓",BU$4&lt;&gt;""),BU$4&amp;"; ","")&amp;IF(AND(BV100="✓",BV$4&lt;&gt;""),BV$4&amp;"; ","")&amp;IF(AND(BW100="✓",BW$4&lt;&gt;""),BW$4&amp;"; ","")&amp;IF(AND(BX100="✓",BX$4&lt;&gt;""),BX$4&amp;"; ","")&amp;IF(AND(BY100="✓",BY$4&lt;&gt;""),BY$4&amp;"; ","")&amp;IF(AND(BZ100="✓",BZ$4&lt;&gt;""),BZ$4&amp;"; ","")&amp;IF(AND(CA100="✓",CA$4&lt;&gt;""),CA$4&amp;"; ","")&amp;IF(AND(CB100="✓",CB$4&lt;&gt;""),CB$4&amp;"; ","")&amp;IF(AND(CC100="✓",CC$4&lt;&gt;""),CC$4&amp;"; ","")&amp;IF(AND(CD100="✓",CD$4&lt;&gt;""),CD$4&amp;"; ","")&amp;IF(AND(CE100="✓",CE$4&lt;&gt;""),CE$4&amp;"; ","")&amp;IF(AND(CF100="✓",CF$4&lt;&gt;""),CF$4&amp;"; ","")&amp;IF(AND(CG100="✓",CG$4&lt;&gt;""),CG$4&amp;"; ","")&amp;IF(AND(CH100="✓",CH$4&lt;&gt;""),CH$4&amp;"; ","")&amp;IF(AND(CI100="✓",CI$4&lt;&gt;""),CI$4&amp;"; ","")&amp;IF(AND(CJ100="✓",CJ$4&lt;&gt;""),CJ$4&amp;"; ","")&amp;IF(AND(CK100="✓",CK$4&lt;&gt;""),CK$4&amp;"; ","")&amp;IF(AND(CL100="✓",CL$4&lt;&gt;""),CL$4&amp;"; ","")&amp;IF(AND(CM100="✓",CM$4&lt;&gt;""),CM$4&amp;"; ","")&amp;IF(AND(CN100="✓",CN$4&lt;&gt;""),CN$4&amp;"; ","")&amp;IF(AND(CO100="✓",CO$4&lt;&gt;""),CO$4&amp;"; ","")</f>
        <v/>
      </c>
      <c r="CQ100" s="104" t="str">
        <f aca="false">IF($CP100="","",LEFT($CP100,LEN($CP100)-2))</f>
        <v/>
      </c>
      <c r="CR100" s="234" t="str">
        <f aca="false">IF($A100="","",COUNTIF($D100:$CO100,"✓"))</f>
        <v/>
      </c>
    </row>
    <row r="101" customFormat="false" ht="21.75" hidden="false" customHeight="true" outlineLevel="0" collapsed="false">
      <c r="A101" s="231" t="str">
        <f aca="false">IF(03_能力總表_Master!$A101="","",03_能力總表_Master!$A101)</f>
        <v/>
      </c>
      <c r="B101" s="166" t="str">
        <f aca="false">IF(03_能力總表_Master!$A101="","",03_能力總表_Master!$B101)</f>
        <v/>
      </c>
      <c r="C101" s="95" t="str">
        <f aca="false">IF(03_能力總表_Master!$A101="","",03_能力總表_Master!$E101)</f>
        <v/>
      </c>
      <c r="D101" s="232"/>
      <c r="E101" s="232"/>
      <c r="F101" s="232"/>
      <c r="G101" s="232"/>
      <c r="H101" s="232"/>
      <c r="I101" s="232"/>
      <c r="J101" s="232"/>
      <c r="K101" s="232"/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32"/>
      <c r="AR101" s="232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232"/>
      <c r="BH101" s="232"/>
      <c r="BI101" s="232"/>
      <c r="BJ101" s="232"/>
      <c r="BK101" s="232"/>
      <c r="BL101" s="232"/>
      <c r="BM101" s="232"/>
      <c r="BN101" s="232"/>
      <c r="BO101" s="232"/>
      <c r="BP101" s="232"/>
      <c r="BQ101" s="232"/>
      <c r="BR101" s="232"/>
      <c r="BS101" s="232"/>
      <c r="BT101" s="232"/>
      <c r="BU101" s="232"/>
      <c r="BV101" s="232"/>
      <c r="BW101" s="232"/>
      <c r="BX101" s="232"/>
      <c r="BY101" s="232"/>
      <c r="BZ101" s="232"/>
      <c r="CA101" s="232"/>
      <c r="CB101" s="232"/>
      <c r="CC101" s="232"/>
      <c r="CD101" s="232"/>
      <c r="CE101" s="232"/>
      <c r="CF101" s="232"/>
      <c r="CG101" s="232"/>
      <c r="CH101" s="232"/>
      <c r="CI101" s="232"/>
      <c r="CJ101" s="232"/>
      <c r="CK101" s="232"/>
      <c r="CL101" s="232"/>
      <c r="CM101" s="232"/>
      <c r="CN101" s="232"/>
      <c r="CO101" s="232"/>
      <c r="CP101" s="233" t="str">
        <f aca="false">IF(AND(D101="✓",D$4&lt;&gt;""),D$4&amp;"; ","")&amp;IF(AND(E101="✓",E$4&lt;&gt;""),E$4&amp;"; ","")&amp;IF(AND(F101="✓",F$4&lt;&gt;""),F$4&amp;"; ","")&amp;IF(AND(G101="✓",G$4&lt;&gt;""),G$4&amp;"; ","")&amp;IF(AND(H101="✓",H$4&lt;&gt;""),H$4&amp;"; ","")&amp;IF(AND(I101="✓",I$4&lt;&gt;""),I$4&amp;"; ","")&amp;IF(AND(J101="✓",J$4&lt;&gt;""),J$4&amp;"; ","")&amp;IF(AND(K101="✓",K$4&lt;&gt;""),K$4&amp;"; ","")&amp;IF(AND(L101="✓",L$4&lt;&gt;""),L$4&amp;"; ","")&amp;IF(AND(M101="✓",M$4&lt;&gt;""),M$4&amp;"; ","")&amp;IF(AND(N101="✓",N$4&lt;&gt;""),N$4&amp;"; ","")&amp;IF(AND(O101="✓",O$4&lt;&gt;""),O$4&amp;"; ","")&amp;IF(AND(P101="✓",P$4&lt;&gt;""),P$4&amp;"; ","")&amp;IF(AND(Q101="✓",Q$4&lt;&gt;""),Q$4&amp;"; ","")&amp;IF(AND(R101="✓",R$4&lt;&gt;""),R$4&amp;"; ","")&amp;IF(AND(S101="✓",S$4&lt;&gt;""),S$4&amp;"; ","")&amp;IF(AND(T101="✓",T$4&lt;&gt;""),T$4&amp;"; ","")&amp;IF(AND(U101="✓",U$4&lt;&gt;""),U$4&amp;"; ","")&amp;IF(AND(V101="✓",V$4&lt;&gt;""),V$4&amp;"; ","")&amp;IF(AND(W101="✓",W$4&lt;&gt;""),W$4&amp;"; ","")&amp;IF(AND(X101="✓",X$4&lt;&gt;""),X$4&amp;"; ","")&amp;IF(AND(Y101="✓",Y$4&lt;&gt;""),Y$4&amp;"; ","")&amp;IF(AND(Z101="✓",Z$4&lt;&gt;""),Z$4&amp;"; ","")&amp;IF(AND(AA101="✓",AA$4&lt;&gt;""),AA$4&amp;"; ","")&amp;IF(AND(AB101="✓",AB$4&lt;&gt;""),AB$4&amp;"; ","")&amp;IF(AND(AC101="✓",AC$4&lt;&gt;""),AC$4&amp;"; ","")&amp;IF(AND(AD101="✓",AD$4&lt;&gt;""),AD$4&amp;"; ","")&amp;IF(AND(AE101="✓",AE$4&lt;&gt;""),AE$4&amp;"; ","")&amp;IF(AND(AF101="✓",AF$4&lt;&gt;""),AF$4&amp;"; ","")&amp;IF(AND(AG101="✓",AG$4&lt;&gt;""),AG$4&amp;"; ","")&amp;IF(AND(AH101="✓",AH$4&lt;&gt;""),AH$4&amp;"; ","")&amp;IF(AND(AI101="✓",AI$4&lt;&gt;""),AI$4&amp;"; ","")&amp;IF(AND(AJ101="✓",AJ$4&lt;&gt;""),AJ$4&amp;"; ","")&amp;IF(AND(AK101="✓",AK$4&lt;&gt;""),AK$4&amp;"; ","")&amp;IF(AND(AL101="✓",AL$4&lt;&gt;""),AL$4&amp;"; ","")&amp;IF(AND(AM101="✓",AM$4&lt;&gt;""),AM$4&amp;"; ","")&amp;IF(AND(AN101="✓",AN$4&lt;&gt;""),AN$4&amp;"; ","")&amp;IF(AND(AO101="✓",AO$4&lt;&gt;""),AO$4&amp;"; ","")&amp;IF(AND(AP101="✓",AP$4&lt;&gt;""),AP$4&amp;"; ","")&amp;IF(AND(AQ101="✓",AQ$4&lt;&gt;""),AQ$4&amp;"; ","")&amp;IF(AND(AR101="✓",AR$4&lt;&gt;""),AR$4&amp;"; ","")&amp;IF(AND(AS101="✓",AS$4&lt;&gt;""),AS$4&amp;"; ","")&amp;IF(AND(AT101="✓",AT$4&lt;&gt;""),AT$4&amp;"; ","")&amp;IF(AND(AU101="✓",AU$4&lt;&gt;""),AU$4&amp;"; ","")&amp;IF(AND(AV101="✓",AV$4&lt;&gt;""),AV$4&amp;"; ","")&amp;IF(AND(AW101="✓",AW$4&lt;&gt;""),AW$4&amp;"; ","")&amp;IF(AND(AX101="✓",AX$4&lt;&gt;""),AX$4&amp;"; ","")&amp;IF(AND(AY101="✓",AY$4&lt;&gt;""),AY$4&amp;"; ","")&amp;IF(AND(AZ101="✓",AZ$4&lt;&gt;""),AZ$4&amp;"; ","")&amp;IF(AND(BA101="✓",BA$4&lt;&gt;""),BA$4&amp;"; ","")&amp;IF(AND(BB101="✓",BB$4&lt;&gt;""),BB$4&amp;"; ","")&amp;IF(AND(BC101="✓",BC$4&lt;&gt;""),BC$4&amp;"; ","")&amp;IF(AND(BD101="✓",BD$4&lt;&gt;""),BD$4&amp;"; ","")&amp;IF(AND(BE101="✓",BE$4&lt;&gt;""),BE$4&amp;"; ","")&amp;IF(AND(BF101="✓",BF$4&lt;&gt;""),BF$4&amp;"; ","")&amp;IF(AND(BG101="✓",BG$4&lt;&gt;""),BG$4&amp;"; ","")&amp;IF(AND(BH101="✓",BH$4&lt;&gt;""),BH$4&amp;"; ","")&amp;IF(AND(BI101="✓",BI$4&lt;&gt;""),BI$4&amp;"; ","")&amp;IF(AND(BJ101="✓",BJ$4&lt;&gt;""),BJ$4&amp;"; ","")&amp;IF(AND(BK101="✓",BK$4&lt;&gt;""),BK$4&amp;"; ","")&amp;IF(AND(BL101="✓",BL$4&lt;&gt;""),BL$4&amp;"; ","")&amp;IF(AND(BM101="✓",BM$4&lt;&gt;""),BM$4&amp;"; ","")&amp;IF(AND(BN101="✓",BN$4&lt;&gt;""),BN$4&amp;"; ","")&amp;IF(AND(BO101="✓",BO$4&lt;&gt;""),BO$4&amp;"; ","")&amp;IF(AND(BP101="✓",BP$4&lt;&gt;""),BP$4&amp;"; ","")&amp;IF(AND(BQ101="✓",BQ$4&lt;&gt;""),BQ$4&amp;"; ","")&amp;IF(AND(BR101="✓",BR$4&lt;&gt;""),BR$4&amp;"; ","")&amp;IF(AND(BS101="✓",BS$4&lt;&gt;""),BS$4&amp;"; ","")&amp;IF(AND(BT101="✓",BT$4&lt;&gt;""),BT$4&amp;"; ","")&amp;IF(AND(BU101="✓",BU$4&lt;&gt;""),BU$4&amp;"; ","")&amp;IF(AND(BV101="✓",BV$4&lt;&gt;""),BV$4&amp;"; ","")&amp;IF(AND(BW101="✓",BW$4&lt;&gt;""),BW$4&amp;"; ","")&amp;IF(AND(BX101="✓",BX$4&lt;&gt;""),BX$4&amp;"; ","")&amp;IF(AND(BY101="✓",BY$4&lt;&gt;""),BY$4&amp;"; ","")&amp;IF(AND(BZ101="✓",BZ$4&lt;&gt;""),BZ$4&amp;"; ","")&amp;IF(AND(CA101="✓",CA$4&lt;&gt;""),CA$4&amp;"; ","")&amp;IF(AND(CB101="✓",CB$4&lt;&gt;""),CB$4&amp;"; ","")&amp;IF(AND(CC101="✓",CC$4&lt;&gt;""),CC$4&amp;"; ","")&amp;IF(AND(CD101="✓",CD$4&lt;&gt;""),CD$4&amp;"; ","")&amp;IF(AND(CE101="✓",CE$4&lt;&gt;""),CE$4&amp;"; ","")&amp;IF(AND(CF101="✓",CF$4&lt;&gt;""),CF$4&amp;"; ","")&amp;IF(AND(CG101="✓",CG$4&lt;&gt;""),CG$4&amp;"; ","")&amp;IF(AND(CH101="✓",CH$4&lt;&gt;""),CH$4&amp;"; ","")&amp;IF(AND(CI101="✓",CI$4&lt;&gt;""),CI$4&amp;"; ","")&amp;IF(AND(CJ101="✓",CJ$4&lt;&gt;""),CJ$4&amp;"; ","")&amp;IF(AND(CK101="✓",CK$4&lt;&gt;""),CK$4&amp;"; ","")&amp;IF(AND(CL101="✓",CL$4&lt;&gt;""),CL$4&amp;"; ","")&amp;IF(AND(CM101="✓",CM$4&lt;&gt;""),CM$4&amp;"; ","")&amp;IF(AND(CN101="✓",CN$4&lt;&gt;""),CN$4&amp;"; ","")&amp;IF(AND(CO101="✓",CO$4&lt;&gt;""),CO$4&amp;"; ","")</f>
        <v/>
      </c>
      <c r="CQ101" s="104" t="str">
        <f aca="false">IF($CP101="","",LEFT($CP101,LEN($CP101)-2))</f>
        <v/>
      </c>
      <c r="CR101" s="234" t="str">
        <f aca="false">IF($A101="","",COUNTIF($D101:$CO101,"✓"))</f>
        <v/>
      </c>
    </row>
    <row r="102" customFormat="false" ht="21.75" hidden="false" customHeight="true" outlineLevel="0" collapsed="false">
      <c r="A102" s="231" t="str">
        <f aca="false">IF(03_能力總表_Master!$A102="","",03_能力總表_Master!$A102)</f>
        <v/>
      </c>
      <c r="B102" s="166" t="str">
        <f aca="false">IF(03_能力總表_Master!$A102="","",03_能力總表_Master!$B102)</f>
        <v/>
      </c>
      <c r="C102" s="95" t="str">
        <f aca="false">IF(03_能力總表_Master!$A102="","",03_能力總表_Master!$E102)</f>
        <v/>
      </c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32"/>
      <c r="AR102" s="232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232"/>
      <c r="BH102" s="232"/>
      <c r="BI102" s="232"/>
      <c r="BJ102" s="232"/>
      <c r="BK102" s="232"/>
      <c r="BL102" s="232"/>
      <c r="BM102" s="232"/>
      <c r="BN102" s="232"/>
      <c r="BO102" s="232"/>
      <c r="BP102" s="232"/>
      <c r="BQ102" s="232"/>
      <c r="BR102" s="232"/>
      <c r="BS102" s="232"/>
      <c r="BT102" s="232"/>
      <c r="BU102" s="232"/>
      <c r="BV102" s="232"/>
      <c r="BW102" s="232"/>
      <c r="BX102" s="232"/>
      <c r="BY102" s="232"/>
      <c r="BZ102" s="232"/>
      <c r="CA102" s="232"/>
      <c r="CB102" s="232"/>
      <c r="CC102" s="232"/>
      <c r="CD102" s="232"/>
      <c r="CE102" s="232"/>
      <c r="CF102" s="232"/>
      <c r="CG102" s="232"/>
      <c r="CH102" s="232"/>
      <c r="CI102" s="232"/>
      <c r="CJ102" s="232"/>
      <c r="CK102" s="232"/>
      <c r="CL102" s="232"/>
      <c r="CM102" s="232"/>
      <c r="CN102" s="232"/>
      <c r="CO102" s="232"/>
      <c r="CP102" s="233" t="str">
        <f aca="false">IF(AND(D102="✓",D$4&lt;&gt;""),D$4&amp;"; ","")&amp;IF(AND(E102="✓",E$4&lt;&gt;""),E$4&amp;"; ","")&amp;IF(AND(F102="✓",F$4&lt;&gt;""),F$4&amp;"; ","")&amp;IF(AND(G102="✓",G$4&lt;&gt;""),G$4&amp;"; ","")&amp;IF(AND(H102="✓",H$4&lt;&gt;""),H$4&amp;"; ","")&amp;IF(AND(I102="✓",I$4&lt;&gt;""),I$4&amp;"; ","")&amp;IF(AND(J102="✓",J$4&lt;&gt;""),J$4&amp;"; ","")&amp;IF(AND(K102="✓",K$4&lt;&gt;""),K$4&amp;"; ","")&amp;IF(AND(L102="✓",L$4&lt;&gt;""),L$4&amp;"; ","")&amp;IF(AND(M102="✓",M$4&lt;&gt;""),M$4&amp;"; ","")&amp;IF(AND(N102="✓",N$4&lt;&gt;""),N$4&amp;"; ","")&amp;IF(AND(O102="✓",O$4&lt;&gt;""),O$4&amp;"; ","")&amp;IF(AND(P102="✓",P$4&lt;&gt;""),P$4&amp;"; ","")&amp;IF(AND(Q102="✓",Q$4&lt;&gt;""),Q$4&amp;"; ","")&amp;IF(AND(R102="✓",R$4&lt;&gt;""),R$4&amp;"; ","")&amp;IF(AND(S102="✓",S$4&lt;&gt;""),S$4&amp;"; ","")&amp;IF(AND(T102="✓",T$4&lt;&gt;""),T$4&amp;"; ","")&amp;IF(AND(U102="✓",U$4&lt;&gt;""),U$4&amp;"; ","")&amp;IF(AND(V102="✓",V$4&lt;&gt;""),V$4&amp;"; ","")&amp;IF(AND(W102="✓",W$4&lt;&gt;""),W$4&amp;"; ","")&amp;IF(AND(X102="✓",X$4&lt;&gt;""),X$4&amp;"; ","")&amp;IF(AND(Y102="✓",Y$4&lt;&gt;""),Y$4&amp;"; ","")&amp;IF(AND(Z102="✓",Z$4&lt;&gt;""),Z$4&amp;"; ","")&amp;IF(AND(AA102="✓",AA$4&lt;&gt;""),AA$4&amp;"; ","")&amp;IF(AND(AB102="✓",AB$4&lt;&gt;""),AB$4&amp;"; ","")&amp;IF(AND(AC102="✓",AC$4&lt;&gt;""),AC$4&amp;"; ","")&amp;IF(AND(AD102="✓",AD$4&lt;&gt;""),AD$4&amp;"; ","")&amp;IF(AND(AE102="✓",AE$4&lt;&gt;""),AE$4&amp;"; ","")&amp;IF(AND(AF102="✓",AF$4&lt;&gt;""),AF$4&amp;"; ","")&amp;IF(AND(AG102="✓",AG$4&lt;&gt;""),AG$4&amp;"; ","")&amp;IF(AND(AH102="✓",AH$4&lt;&gt;""),AH$4&amp;"; ","")&amp;IF(AND(AI102="✓",AI$4&lt;&gt;""),AI$4&amp;"; ","")&amp;IF(AND(AJ102="✓",AJ$4&lt;&gt;""),AJ$4&amp;"; ","")&amp;IF(AND(AK102="✓",AK$4&lt;&gt;""),AK$4&amp;"; ","")&amp;IF(AND(AL102="✓",AL$4&lt;&gt;""),AL$4&amp;"; ","")&amp;IF(AND(AM102="✓",AM$4&lt;&gt;""),AM$4&amp;"; ","")&amp;IF(AND(AN102="✓",AN$4&lt;&gt;""),AN$4&amp;"; ","")&amp;IF(AND(AO102="✓",AO$4&lt;&gt;""),AO$4&amp;"; ","")&amp;IF(AND(AP102="✓",AP$4&lt;&gt;""),AP$4&amp;"; ","")&amp;IF(AND(AQ102="✓",AQ$4&lt;&gt;""),AQ$4&amp;"; ","")&amp;IF(AND(AR102="✓",AR$4&lt;&gt;""),AR$4&amp;"; ","")&amp;IF(AND(AS102="✓",AS$4&lt;&gt;""),AS$4&amp;"; ","")&amp;IF(AND(AT102="✓",AT$4&lt;&gt;""),AT$4&amp;"; ","")&amp;IF(AND(AU102="✓",AU$4&lt;&gt;""),AU$4&amp;"; ","")&amp;IF(AND(AV102="✓",AV$4&lt;&gt;""),AV$4&amp;"; ","")&amp;IF(AND(AW102="✓",AW$4&lt;&gt;""),AW$4&amp;"; ","")&amp;IF(AND(AX102="✓",AX$4&lt;&gt;""),AX$4&amp;"; ","")&amp;IF(AND(AY102="✓",AY$4&lt;&gt;""),AY$4&amp;"; ","")&amp;IF(AND(AZ102="✓",AZ$4&lt;&gt;""),AZ$4&amp;"; ","")&amp;IF(AND(BA102="✓",BA$4&lt;&gt;""),BA$4&amp;"; ","")&amp;IF(AND(BB102="✓",BB$4&lt;&gt;""),BB$4&amp;"; ","")&amp;IF(AND(BC102="✓",BC$4&lt;&gt;""),BC$4&amp;"; ","")&amp;IF(AND(BD102="✓",BD$4&lt;&gt;""),BD$4&amp;"; ","")&amp;IF(AND(BE102="✓",BE$4&lt;&gt;""),BE$4&amp;"; ","")&amp;IF(AND(BF102="✓",BF$4&lt;&gt;""),BF$4&amp;"; ","")&amp;IF(AND(BG102="✓",BG$4&lt;&gt;""),BG$4&amp;"; ","")&amp;IF(AND(BH102="✓",BH$4&lt;&gt;""),BH$4&amp;"; ","")&amp;IF(AND(BI102="✓",BI$4&lt;&gt;""),BI$4&amp;"; ","")&amp;IF(AND(BJ102="✓",BJ$4&lt;&gt;""),BJ$4&amp;"; ","")&amp;IF(AND(BK102="✓",BK$4&lt;&gt;""),BK$4&amp;"; ","")&amp;IF(AND(BL102="✓",BL$4&lt;&gt;""),BL$4&amp;"; ","")&amp;IF(AND(BM102="✓",BM$4&lt;&gt;""),BM$4&amp;"; ","")&amp;IF(AND(BN102="✓",BN$4&lt;&gt;""),BN$4&amp;"; ","")&amp;IF(AND(BO102="✓",BO$4&lt;&gt;""),BO$4&amp;"; ","")&amp;IF(AND(BP102="✓",BP$4&lt;&gt;""),BP$4&amp;"; ","")&amp;IF(AND(BQ102="✓",BQ$4&lt;&gt;""),BQ$4&amp;"; ","")&amp;IF(AND(BR102="✓",BR$4&lt;&gt;""),BR$4&amp;"; ","")&amp;IF(AND(BS102="✓",BS$4&lt;&gt;""),BS$4&amp;"; ","")&amp;IF(AND(BT102="✓",BT$4&lt;&gt;""),BT$4&amp;"; ","")&amp;IF(AND(BU102="✓",BU$4&lt;&gt;""),BU$4&amp;"; ","")&amp;IF(AND(BV102="✓",BV$4&lt;&gt;""),BV$4&amp;"; ","")&amp;IF(AND(BW102="✓",BW$4&lt;&gt;""),BW$4&amp;"; ","")&amp;IF(AND(BX102="✓",BX$4&lt;&gt;""),BX$4&amp;"; ","")&amp;IF(AND(BY102="✓",BY$4&lt;&gt;""),BY$4&amp;"; ","")&amp;IF(AND(BZ102="✓",BZ$4&lt;&gt;""),BZ$4&amp;"; ","")&amp;IF(AND(CA102="✓",CA$4&lt;&gt;""),CA$4&amp;"; ","")&amp;IF(AND(CB102="✓",CB$4&lt;&gt;""),CB$4&amp;"; ","")&amp;IF(AND(CC102="✓",CC$4&lt;&gt;""),CC$4&amp;"; ","")&amp;IF(AND(CD102="✓",CD$4&lt;&gt;""),CD$4&amp;"; ","")&amp;IF(AND(CE102="✓",CE$4&lt;&gt;""),CE$4&amp;"; ","")&amp;IF(AND(CF102="✓",CF$4&lt;&gt;""),CF$4&amp;"; ","")&amp;IF(AND(CG102="✓",CG$4&lt;&gt;""),CG$4&amp;"; ","")&amp;IF(AND(CH102="✓",CH$4&lt;&gt;""),CH$4&amp;"; ","")&amp;IF(AND(CI102="✓",CI$4&lt;&gt;""),CI$4&amp;"; ","")&amp;IF(AND(CJ102="✓",CJ$4&lt;&gt;""),CJ$4&amp;"; ","")&amp;IF(AND(CK102="✓",CK$4&lt;&gt;""),CK$4&amp;"; ","")&amp;IF(AND(CL102="✓",CL$4&lt;&gt;""),CL$4&amp;"; ","")&amp;IF(AND(CM102="✓",CM$4&lt;&gt;""),CM$4&amp;"; ","")&amp;IF(AND(CN102="✓",CN$4&lt;&gt;""),CN$4&amp;"; ","")&amp;IF(AND(CO102="✓",CO$4&lt;&gt;""),CO$4&amp;"; ","")</f>
        <v/>
      </c>
      <c r="CQ102" s="104" t="str">
        <f aca="false">IF($CP102="","",LEFT($CP102,LEN($CP102)-2))</f>
        <v/>
      </c>
      <c r="CR102" s="234" t="str">
        <f aca="false">IF($A102="","",COUNTIF($D102:$CO102,"✓"))</f>
        <v/>
      </c>
    </row>
    <row r="103" customFormat="false" ht="21.75" hidden="false" customHeight="true" outlineLevel="0" collapsed="false">
      <c r="A103" s="231" t="str">
        <f aca="false">IF(03_能力總表_Master!$A103="","",03_能力總表_Master!$A103)</f>
        <v/>
      </c>
      <c r="B103" s="166" t="str">
        <f aca="false">IF(03_能力總表_Master!$A103="","",03_能力總表_Master!$B103)</f>
        <v/>
      </c>
      <c r="C103" s="95" t="str">
        <f aca="false">IF(03_能力總表_Master!$A103="","",03_能力總表_Master!$E103)</f>
        <v/>
      </c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32"/>
      <c r="AQ103" s="232"/>
      <c r="AR103" s="232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232"/>
      <c r="BH103" s="232"/>
      <c r="BI103" s="232"/>
      <c r="BJ103" s="232"/>
      <c r="BK103" s="232"/>
      <c r="BL103" s="232"/>
      <c r="BM103" s="232"/>
      <c r="BN103" s="232"/>
      <c r="BO103" s="232"/>
      <c r="BP103" s="232"/>
      <c r="BQ103" s="232"/>
      <c r="BR103" s="232"/>
      <c r="BS103" s="232"/>
      <c r="BT103" s="232"/>
      <c r="BU103" s="232"/>
      <c r="BV103" s="232"/>
      <c r="BW103" s="232"/>
      <c r="BX103" s="232"/>
      <c r="BY103" s="232"/>
      <c r="BZ103" s="232"/>
      <c r="CA103" s="232"/>
      <c r="CB103" s="232"/>
      <c r="CC103" s="232"/>
      <c r="CD103" s="232"/>
      <c r="CE103" s="232"/>
      <c r="CF103" s="232"/>
      <c r="CG103" s="232"/>
      <c r="CH103" s="232"/>
      <c r="CI103" s="232"/>
      <c r="CJ103" s="232"/>
      <c r="CK103" s="232"/>
      <c r="CL103" s="232"/>
      <c r="CM103" s="232"/>
      <c r="CN103" s="232"/>
      <c r="CO103" s="232"/>
      <c r="CP103" s="233" t="str">
        <f aca="false">IF(AND(D103="✓",D$4&lt;&gt;""),D$4&amp;"; ","")&amp;IF(AND(E103="✓",E$4&lt;&gt;""),E$4&amp;"; ","")&amp;IF(AND(F103="✓",F$4&lt;&gt;""),F$4&amp;"; ","")&amp;IF(AND(G103="✓",G$4&lt;&gt;""),G$4&amp;"; ","")&amp;IF(AND(H103="✓",H$4&lt;&gt;""),H$4&amp;"; ","")&amp;IF(AND(I103="✓",I$4&lt;&gt;""),I$4&amp;"; ","")&amp;IF(AND(J103="✓",J$4&lt;&gt;""),J$4&amp;"; ","")&amp;IF(AND(K103="✓",K$4&lt;&gt;""),K$4&amp;"; ","")&amp;IF(AND(L103="✓",L$4&lt;&gt;""),L$4&amp;"; ","")&amp;IF(AND(M103="✓",M$4&lt;&gt;""),M$4&amp;"; ","")&amp;IF(AND(N103="✓",N$4&lt;&gt;""),N$4&amp;"; ","")&amp;IF(AND(O103="✓",O$4&lt;&gt;""),O$4&amp;"; ","")&amp;IF(AND(P103="✓",P$4&lt;&gt;""),P$4&amp;"; ","")&amp;IF(AND(Q103="✓",Q$4&lt;&gt;""),Q$4&amp;"; ","")&amp;IF(AND(R103="✓",R$4&lt;&gt;""),R$4&amp;"; ","")&amp;IF(AND(S103="✓",S$4&lt;&gt;""),S$4&amp;"; ","")&amp;IF(AND(T103="✓",T$4&lt;&gt;""),T$4&amp;"; ","")&amp;IF(AND(U103="✓",U$4&lt;&gt;""),U$4&amp;"; ","")&amp;IF(AND(V103="✓",V$4&lt;&gt;""),V$4&amp;"; ","")&amp;IF(AND(W103="✓",W$4&lt;&gt;""),W$4&amp;"; ","")&amp;IF(AND(X103="✓",X$4&lt;&gt;""),X$4&amp;"; ","")&amp;IF(AND(Y103="✓",Y$4&lt;&gt;""),Y$4&amp;"; ","")&amp;IF(AND(Z103="✓",Z$4&lt;&gt;""),Z$4&amp;"; ","")&amp;IF(AND(AA103="✓",AA$4&lt;&gt;""),AA$4&amp;"; ","")&amp;IF(AND(AB103="✓",AB$4&lt;&gt;""),AB$4&amp;"; ","")&amp;IF(AND(AC103="✓",AC$4&lt;&gt;""),AC$4&amp;"; ","")&amp;IF(AND(AD103="✓",AD$4&lt;&gt;""),AD$4&amp;"; ","")&amp;IF(AND(AE103="✓",AE$4&lt;&gt;""),AE$4&amp;"; ","")&amp;IF(AND(AF103="✓",AF$4&lt;&gt;""),AF$4&amp;"; ","")&amp;IF(AND(AG103="✓",AG$4&lt;&gt;""),AG$4&amp;"; ","")&amp;IF(AND(AH103="✓",AH$4&lt;&gt;""),AH$4&amp;"; ","")&amp;IF(AND(AI103="✓",AI$4&lt;&gt;""),AI$4&amp;"; ","")&amp;IF(AND(AJ103="✓",AJ$4&lt;&gt;""),AJ$4&amp;"; ","")&amp;IF(AND(AK103="✓",AK$4&lt;&gt;""),AK$4&amp;"; ","")&amp;IF(AND(AL103="✓",AL$4&lt;&gt;""),AL$4&amp;"; ","")&amp;IF(AND(AM103="✓",AM$4&lt;&gt;""),AM$4&amp;"; ","")&amp;IF(AND(AN103="✓",AN$4&lt;&gt;""),AN$4&amp;"; ","")&amp;IF(AND(AO103="✓",AO$4&lt;&gt;""),AO$4&amp;"; ","")&amp;IF(AND(AP103="✓",AP$4&lt;&gt;""),AP$4&amp;"; ","")&amp;IF(AND(AQ103="✓",AQ$4&lt;&gt;""),AQ$4&amp;"; ","")&amp;IF(AND(AR103="✓",AR$4&lt;&gt;""),AR$4&amp;"; ","")&amp;IF(AND(AS103="✓",AS$4&lt;&gt;""),AS$4&amp;"; ","")&amp;IF(AND(AT103="✓",AT$4&lt;&gt;""),AT$4&amp;"; ","")&amp;IF(AND(AU103="✓",AU$4&lt;&gt;""),AU$4&amp;"; ","")&amp;IF(AND(AV103="✓",AV$4&lt;&gt;""),AV$4&amp;"; ","")&amp;IF(AND(AW103="✓",AW$4&lt;&gt;""),AW$4&amp;"; ","")&amp;IF(AND(AX103="✓",AX$4&lt;&gt;""),AX$4&amp;"; ","")&amp;IF(AND(AY103="✓",AY$4&lt;&gt;""),AY$4&amp;"; ","")&amp;IF(AND(AZ103="✓",AZ$4&lt;&gt;""),AZ$4&amp;"; ","")&amp;IF(AND(BA103="✓",BA$4&lt;&gt;""),BA$4&amp;"; ","")&amp;IF(AND(BB103="✓",BB$4&lt;&gt;""),BB$4&amp;"; ","")&amp;IF(AND(BC103="✓",BC$4&lt;&gt;""),BC$4&amp;"; ","")&amp;IF(AND(BD103="✓",BD$4&lt;&gt;""),BD$4&amp;"; ","")&amp;IF(AND(BE103="✓",BE$4&lt;&gt;""),BE$4&amp;"; ","")&amp;IF(AND(BF103="✓",BF$4&lt;&gt;""),BF$4&amp;"; ","")&amp;IF(AND(BG103="✓",BG$4&lt;&gt;""),BG$4&amp;"; ","")&amp;IF(AND(BH103="✓",BH$4&lt;&gt;""),BH$4&amp;"; ","")&amp;IF(AND(BI103="✓",BI$4&lt;&gt;""),BI$4&amp;"; ","")&amp;IF(AND(BJ103="✓",BJ$4&lt;&gt;""),BJ$4&amp;"; ","")&amp;IF(AND(BK103="✓",BK$4&lt;&gt;""),BK$4&amp;"; ","")&amp;IF(AND(BL103="✓",BL$4&lt;&gt;""),BL$4&amp;"; ","")&amp;IF(AND(BM103="✓",BM$4&lt;&gt;""),BM$4&amp;"; ","")&amp;IF(AND(BN103="✓",BN$4&lt;&gt;""),BN$4&amp;"; ","")&amp;IF(AND(BO103="✓",BO$4&lt;&gt;""),BO$4&amp;"; ","")&amp;IF(AND(BP103="✓",BP$4&lt;&gt;""),BP$4&amp;"; ","")&amp;IF(AND(BQ103="✓",BQ$4&lt;&gt;""),BQ$4&amp;"; ","")&amp;IF(AND(BR103="✓",BR$4&lt;&gt;""),BR$4&amp;"; ","")&amp;IF(AND(BS103="✓",BS$4&lt;&gt;""),BS$4&amp;"; ","")&amp;IF(AND(BT103="✓",BT$4&lt;&gt;""),BT$4&amp;"; ","")&amp;IF(AND(BU103="✓",BU$4&lt;&gt;""),BU$4&amp;"; ","")&amp;IF(AND(BV103="✓",BV$4&lt;&gt;""),BV$4&amp;"; ","")&amp;IF(AND(BW103="✓",BW$4&lt;&gt;""),BW$4&amp;"; ","")&amp;IF(AND(BX103="✓",BX$4&lt;&gt;""),BX$4&amp;"; ","")&amp;IF(AND(BY103="✓",BY$4&lt;&gt;""),BY$4&amp;"; ","")&amp;IF(AND(BZ103="✓",BZ$4&lt;&gt;""),BZ$4&amp;"; ","")&amp;IF(AND(CA103="✓",CA$4&lt;&gt;""),CA$4&amp;"; ","")&amp;IF(AND(CB103="✓",CB$4&lt;&gt;""),CB$4&amp;"; ","")&amp;IF(AND(CC103="✓",CC$4&lt;&gt;""),CC$4&amp;"; ","")&amp;IF(AND(CD103="✓",CD$4&lt;&gt;""),CD$4&amp;"; ","")&amp;IF(AND(CE103="✓",CE$4&lt;&gt;""),CE$4&amp;"; ","")&amp;IF(AND(CF103="✓",CF$4&lt;&gt;""),CF$4&amp;"; ","")&amp;IF(AND(CG103="✓",CG$4&lt;&gt;""),CG$4&amp;"; ","")&amp;IF(AND(CH103="✓",CH$4&lt;&gt;""),CH$4&amp;"; ","")&amp;IF(AND(CI103="✓",CI$4&lt;&gt;""),CI$4&amp;"; ","")&amp;IF(AND(CJ103="✓",CJ$4&lt;&gt;""),CJ$4&amp;"; ","")&amp;IF(AND(CK103="✓",CK$4&lt;&gt;""),CK$4&amp;"; ","")&amp;IF(AND(CL103="✓",CL$4&lt;&gt;""),CL$4&amp;"; ","")&amp;IF(AND(CM103="✓",CM$4&lt;&gt;""),CM$4&amp;"; ","")&amp;IF(AND(CN103="✓",CN$4&lt;&gt;""),CN$4&amp;"; ","")&amp;IF(AND(CO103="✓",CO$4&lt;&gt;""),CO$4&amp;"; ","")</f>
        <v/>
      </c>
      <c r="CQ103" s="104" t="str">
        <f aca="false">IF($CP103="","",LEFT($CP103,LEN($CP103)-2))</f>
        <v/>
      </c>
      <c r="CR103" s="234" t="str">
        <f aca="false">IF($A103="","",COUNTIF($D103:$CO103,"✓"))</f>
        <v/>
      </c>
    </row>
    <row r="104" customFormat="false" ht="21.75" hidden="false" customHeight="true" outlineLevel="0" collapsed="false">
      <c r="A104" s="231" t="str">
        <f aca="false">IF(03_能力總表_Master!$A104="","",03_能力總表_Master!$A104)</f>
        <v/>
      </c>
      <c r="B104" s="166" t="str">
        <f aca="false">IF(03_能力總表_Master!$A104="","",03_能力總表_Master!$B104)</f>
        <v/>
      </c>
      <c r="C104" s="95" t="str">
        <f aca="false">IF(03_能力總表_Master!$A104="","",03_能力總表_Master!$E104)</f>
        <v/>
      </c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32"/>
      <c r="AQ104" s="232"/>
      <c r="AR104" s="232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232"/>
      <c r="BH104" s="232"/>
      <c r="BI104" s="232"/>
      <c r="BJ104" s="232"/>
      <c r="BK104" s="232"/>
      <c r="BL104" s="232"/>
      <c r="BM104" s="232"/>
      <c r="BN104" s="232"/>
      <c r="BO104" s="232"/>
      <c r="BP104" s="232"/>
      <c r="BQ104" s="232"/>
      <c r="BR104" s="232"/>
      <c r="BS104" s="232"/>
      <c r="BT104" s="232"/>
      <c r="BU104" s="232"/>
      <c r="BV104" s="232"/>
      <c r="BW104" s="232"/>
      <c r="BX104" s="232"/>
      <c r="BY104" s="232"/>
      <c r="BZ104" s="232"/>
      <c r="CA104" s="232"/>
      <c r="CB104" s="232"/>
      <c r="CC104" s="232"/>
      <c r="CD104" s="232"/>
      <c r="CE104" s="232"/>
      <c r="CF104" s="232"/>
      <c r="CG104" s="232"/>
      <c r="CH104" s="232"/>
      <c r="CI104" s="232"/>
      <c r="CJ104" s="232"/>
      <c r="CK104" s="232"/>
      <c r="CL104" s="232"/>
      <c r="CM104" s="232"/>
      <c r="CN104" s="232"/>
      <c r="CO104" s="232"/>
      <c r="CP104" s="233" t="str">
        <f aca="false">IF(AND(D104="✓",D$4&lt;&gt;""),D$4&amp;"; ","")&amp;IF(AND(E104="✓",E$4&lt;&gt;""),E$4&amp;"; ","")&amp;IF(AND(F104="✓",F$4&lt;&gt;""),F$4&amp;"; ","")&amp;IF(AND(G104="✓",G$4&lt;&gt;""),G$4&amp;"; ","")&amp;IF(AND(H104="✓",H$4&lt;&gt;""),H$4&amp;"; ","")&amp;IF(AND(I104="✓",I$4&lt;&gt;""),I$4&amp;"; ","")&amp;IF(AND(J104="✓",J$4&lt;&gt;""),J$4&amp;"; ","")&amp;IF(AND(K104="✓",K$4&lt;&gt;""),K$4&amp;"; ","")&amp;IF(AND(L104="✓",L$4&lt;&gt;""),L$4&amp;"; ","")&amp;IF(AND(M104="✓",M$4&lt;&gt;""),M$4&amp;"; ","")&amp;IF(AND(N104="✓",N$4&lt;&gt;""),N$4&amp;"; ","")&amp;IF(AND(O104="✓",O$4&lt;&gt;""),O$4&amp;"; ","")&amp;IF(AND(P104="✓",P$4&lt;&gt;""),P$4&amp;"; ","")&amp;IF(AND(Q104="✓",Q$4&lt;&gt;""),Q$4&amp;"; ","")&amp;IF(AND(R104="✓",R$4&lt;&gt;""),R$4&amp;"; ","")&amp;IF(AND(S104="✓",S$4&lt;&gt;""),S$4&amp;"; ","")&amp;IF(AND(T104="✓",T$4&lt;&gt;""),T$4&amp;"; ","")&amp;IF(AND(U104="✓",U$4&lt;&gt;""),U$4&amp;"; ","")&amp;IF(AND(V104="✓",V$4&lt;&gt;""),V$4&amp;"; ","")&amp;IF(AND(W104="✓",W$4&lt;&gt;""),W$4&amp;"; ","")&amp;IF(AND(X104="✓",X$4&lt;&gt;""),X$4&amp;"; ","")&amp;IF(AND(Y104="✓",Y$4&lt;&gt;""),Y$4&amp;"; ","")&amp;IF(AND(Z104="✓",Z$4&lt;&gt;""),Z$4&amp;"; ","")&amp;IF(AND(AA104="✓",AA$4&lt;&gt;""),AA$4&amp;"; ","")&amp;IF(AND(AB104="✓",AB$4&lt;&gt;""),AB$4&amp;"; ","")&amp;IF(AND(AC104="✓",AC$4&lt;&gt;""),AC$4&amp;"; ","")&amp;IF(AND(AD104="✓",AD$4&lt;&gt;""),AD$4&amp;"; ","")&amp;IF(AND(AE104="✓",AE$4&lt;&gt;""),AE$4&amp;"; ","")&amp;IF(AND(AF104="✓",AF$4&lt;&gt;""),AF$4&amp;"; ","")&amp;IF(AND(AG104="✓",AG$4&lt;&gt;""),AG$4&amp;"; ","")&amp;IF(AND(AH104="✓",AH$4&lt;&gt;""),AH$4&amp;"; ","")&amp;IF(AND(AI104="✓",AI$4&lt;&gt;""),AI$4&amp;"; ","")&amp;IF(AND(AJ104="✓",AJ$4&lt;&gt;""),AJ$4&amp;"; ","")&amp;IF(AND(AK104="✓",AK$4&lt;&gt;""),AK$4&amp;"; ","")&amp;IF(AND(AL104="✓",AL$4&lt;&gt;""),AL$4&amp;"; ","")&amp;IF(AND(AM104="✓",AM$4&lt;&gt;""),AM$4&amp;"; ","")&amp;IF(AND(AN104="✓",AN$4&lt;&gt;""),AN$4&amp;"; ","")&amp;IF(AND(AO104="✓",AO$4&lt;&gt;""),AO$4&amp;"; ","")&amp;IF(AND(AP104="✓",AP$4&lt;&gt;""),AP$4&amp;"; ","")&amp;IF(AND(AQ104="✓",AQ$4&lt;&gt;""),AQ$4&amp;"; ","")&amp;IF(AND(AR104="✓",AR$4&lt;&gt;""),AR$4&amp;"; ","")&amp;IF(AND(AS104="✓",AS$4&lt;&gt;""),AS$4&amp;"; ","")&amp;IF(AND(AT104="✓",AT$4&lt;&gt;""),AT$4&amp;"; ","")&amp;IF(AND(AU104="✓",AU$4&lt;&gt;""),AU$4&amp;"; ","")&amp;IF(AND(AV104="✓",AV$4&lt;&gt;""),AV$4&amp;"; ","")&amp;IF(AND(AW104="✓",AW$4&lt;&gt;""),AW$4&amp;"; ","")&amp;IF(AND(AX104="✓",AX$4&lt;&gt;""),AX$4&amp;"; ","")&amp;IF(AND(AY104="✓",AY$4&lt;&gt;""),AY$4&amp;"; ","")&amp;IF(AND(AZ104="✓",AZ$4&lt;&gt;""),AZ$4&amp;"; ","")&amp;IF(AND(BA104="✓",BA$4&lt;&gt;""),BA$4&amp;"; ","")&amp;IF(AND(BB104="✓",BB$4&lt;&gt;""),BB$4&amp;"; ","")&amp;IF(AND(BC104="✓",BC$4&lt;&gt;""),BC$4&amp;"; ","")&amp;IF(AND(BD104="✓",BD$4&lt;&gt;""),BD$4&amp;"; ","")&amp;IF(AND(BE104="✓",BE$4&lt;&gt;""),BE$4&amp;"; ","")&amp;IF(AND(BF104="✓",BF$4&lt;&gt;""),BF$4&amp;"; ","")&amp;IF(AND(BG104="✓",BG$4&lt;&gt;""),BG$4&amp;"; ","")&amp;IF(AND(BH104="✓",BH$4&lt;&gt;""),BH$4&amp;"; ","")&amp;IF(AND(BI104="✓",BI$4&lt;&gt;""),BI$4&amp;"; ","")&amp;IF(AND(BJ104="✓",BJ$4&lt;&gt;""),BJ$4&amp;"; ","")&amp;IF(AND(BK104="✓",BK$4&lt;&gt;""),BK$4&amp;"; ","")&amp;IF(AND(BL104="✓",BL$4&lt;&gt;""),BL$4&amp;"; ","")&amp;IF(AND(BM104="✓",BM$4&lt;&gt;""),BM$4&amp;"; ","")&amp;IF(AND(BN104="✓",BN$4&lt;&gt;""),BN$4&amp;"; ","")&amp;IF(AND(BO104="✓",BO$4&lt;&gt;""),BO$4&amp;"; ","")&amp;IF(AND(BP104="✓",BP$4&lt;&gt;""),BP$4&amp;"; ","")&amp;IF(AND(BQ104="✓",BQ$4&lt;&gt;""),BQ$4&amp;"; ","")&amp;IF(AND(BR104="✓",BR$4&lt;&gt;""),BR$4&amp;"; ","")&amp;IF(AND(BS104="✓",BS$4&lt;&gt;""),BS$4&amp;"; ","")&amp;IF(AND(BT104="✓",BT$4&lt;&gt;""),BT$4&amp;"; ","")&amp;IF(AND(BU104="✓",BU$4&lt;&gt;""),BU$4&amp;"; ","")&amp;IF(AND(BV104="✓",BV$4&lt;&gt;""),BV$4&amp;"; ","")&amp;IF(AND(BW104="✓",BW$4&lt;&gt;""),BW$4&amp;"; ","")&amp;IF(AND(BX104="✓",BX$4&lt;&gt;""),BX$4&amp;"; ","")&amp;IF(AND(BY104="✓",BY$4&lt;&gt;""),BY$4&amp;"; ","")&amp;IF(AND(BZ104="✓",BZ$4&lt;&gt;""),BZ$4&amp;"; ","")&amp;IF(AND(CA104="✓",CA$4&lt;&gt;""),CA$4&amp;"; ","")&amp;IF(AND(CB104="✓",CB$4&lt;&gt;""),CB$4&amp;"; ","")&amp;IF(AND(CC104="✓",CC$4&lt;&gt;""),CC$4&amp;"; ","")&amp;IF(AND(CD104="✓",CD$4&lt;&gt;""),CD$4&amp;"; ","")&amp;IF(AND(CE104="✓",CE$4&lt;&gt;""),CE$4&amp;"; ","")&amp;IF(AND(CF104="✓",CF$4&lt;&gt;""),CF$4&amp;"; ","")&amp;IF(AND(CG104="✓",CG$4&lt;&gt;""),CG$4&amp;"; ","")&amp;IF(AND(CH104="✓",CH$4&lt;&gt;""),CH$4&amp;"; ","")&amp;IF(AND(CI104="✓",CI$4&lt;&gt;""),CI$4&amp;"; ","")&amp;IF(AND(CJ104="✓",CJ$4&lt;&gt;""),CJ$4&amp;"; ","")&amp;IF(AND(CK104="✓",CK$4&lt;&gt;""),CK$4&amp;"; ","")&amp;IF(AND(CL104="✓",CL$4&lt;&gt;""),CL$4&amp;"; ","")&amp;IF(AND(CM104="✓",CM$4&lt;&gt;""),CM$4&amp;"; ","")&amp;IF(AND(CN104="✓",CN$4&lt;&gt;""),CN$4&amp;"; ","")&amp;IF(AND(CO104="✓",CO$4&lt;&gt;""),CO$4&amp;"; ","")</f>
        <v/>
      </c>
      <c r="CQ104" s="104" t="str">
        <f aca="false">IF($CP104="","",LEFT($CP104,LEN($CP104)-2))</f>
        <v/>
      </c>
      <c r="CR104" s="234" t="str">
        <f aca="false">IF($A104="","",COUNTIF($D104:$CO104,"✓"))</f>
        <v/>
      </c>
    </row>
    <row r="105" customFormat="false" ht="21.75" hidden="false" customHeight="true" outlineLevel="0" collapsed="false">
      <c r="A105" s="231" t="str">
        <f aca="false">IF(03_能力總表_Master!$A105="","",03_能力總表_Master!$A105)</f>
        <v/>
      </c>
      <c r="B105" s="166" t="str">
        <f aca="false">IF(03_能力總表_Master!$A105="","",03_能力總表_Master!$B105)</f>
        <v/>
      </c>
      <c r="C105" s="95" t="str">
        <f aca="false">IF(03_能力總表_Master!$A105="","",03_能力總表_Master!$E105)</f>
        <v/>
      </c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32"/>
      <c r="AQ105" s="232"/>
      <c r="AR105" s="232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232"/>
      <c r="BH105" s="232"/>
      <c r="BI105" s="232"/>
      <c r="BJ105" s="232"/>
      <c r="BK105" s="232"/>
      <c r="BL105" s="232"/>
      <c r="BM105" s="232"/>
      <c r="BN105" s="232"/>
      <c r="BO105" s="232"/>
      <c r="BP105" s="232"/>
      <c r="BQ105" s="232"/>
      <c r="BR105" s="232"/>
      <c r="BS105" s="232"/>
      <c r="BT105" s="232"/>
      <c r="BU105" s="232"/>
      <c r="BV105" s="232"/>
      <c r="BW105" s="232"/>
      <c r="BX105" s="232"/>
      <c r="BY105" s="232"/>
      <c r="BZ105" s="232"/>
      <c r="CA105" s="232"/>
      <c r="CB105" s="232"/>
      <c r="CC105" s="232"/>
      <c r="CD105" s="232"/>
      <c r="CE105" s="232"/>
      <c r="CF105" s="232"/>
      <c r="CG105" s="232"/>
      <c r="CH105" s="232"/>
      <c r="CI105" s="232"/>
      <c r="CJ105" s="232"/>
      <c r="CK105" s="232"/>
      <c r="CL105" s="232"/>
      <c r="CM105" s="232"/>
      <c r="CN105" s="232"/>
      <c r="CO105" s="232"/>
      <c r="CP105" s="233" t="str">
        <f aca="false">IF(AND(D105="✓",D$4&lt;&gt;""),D$4&amp;"; ","")&amp;IF(AND(E105="✓",E$4&lt;&gt;""),E$4&amp;"; ","")&amp;IF(AND(F105="✓",F$4&lt;&gt;""),F$4&amp;"; ","")&amp;IF(AND(G105="✓",G$4&lt;&gt;""),G$4&amp;"; ","")&amp;IF(AND(H105="✓",H$4&lt;&gt;""),H$4&amp;"; ","")&amp;IF(AND(I105="✓",I$4&lt;&gt;""),I$4&amp;"; ","")&amp;IF(AND(J105="✓",J$4&lt;&gt;""),J$4&amp;"; ","")&amp;IF(AND(K105="✓",K$4&lt;&gt;""),K$4&amp;"; ","")&amp;IF(AND(L105="✓",L$4&lt;&gt;""),L$4&amp;"; ","")&amp;IF(AND(M105="✓",M$4&lt;&gt;""),M$4&amp;"; ","")&amp;IF(AND(N105="✓",N$4&lt;&gt;""),N$4&amp;"; ","")&amp;IF(AND(O105="✓",O$4&lt;&gt;""),O$4&amp;"; ","")&amp;IF(AND(P105="✓",P$4&lt;&gt;""),P$4&amp;"; ","")&amp;IF(AND(Q105="✓",Q$4&lt;&gt;""),Q$4&amp;"; ","")&amp;IF(AND(R105="✓",R$4&lt;&gt;""),R$4&amp;"; ","")&amp;IF(AND(S105="✓",S$4&lt;&gt;""),S$4&amp;"; ","")&amp;IF(AND(T105="✓",T$4&lt;&gt;""),T$4&amp;"; ","")&amp;IF(AND(U105="✓",U$4&lt;&gt;""),U$4&amp;"; ","")&amp;IF(AND(V105="✓",V$4&lt;&gt;""),V$4&amp;"; ","")&amp;IF(AND(W105="✓",W$4&lt;&gt;""),W$4&amp;"; ","")&amp;IF(AND(X105="✓",X$4&lt;&gt;""),X$4&amp;"; ","")&amp;IF(AND(Y105="✓",Y$4&lt;&gt;""),Y$4&amp;"; ","")&amp;IF(AND(Z105="✓",Z$4&lt;&gt;""),Z$4&amp;"; ","")&amp;IF(AND(AA105="✓",AA$4&lt;&gt;""),AA$4&amp;"; ","")&amp;IF(AND(AB105="✓",AB$4&lt;&gt;""),AB$4&amp;"; ","")&amp;IF(AND(AC105="✓",AC$4&lt;&gt;""),AC$4&amp;"; ","")&amp;IF(AND(AD105="✓",AD$4&lt;&gt;""),AD$4&amp;"; ","")&amp;IF(AND(AE105="✓",AE$4&lt;&gt;""),AE$4&amp;"; ","")&amp;IF(AND(AF105="✓",AF$4&lt;&gt;""),AF$4&amp;"; ","")&amp;IF(AND(AG105="✓",AG$4&lt;&gt;""),AG$4&amp;"; ","")&amp;IF(AND(AH105="✓",AH$4&lt;&gt;""),AH$4&amp;"; ","")&amp;IF(AND(AI105="✓",AI$4&lt;&gt;""),AI$4&amp;"; ","")&amp;IF(AND(AJ105="✓",AJ$4&lt;&gt;""),AJ$4&amp;"; ","")&amp;IF(AND(AK105="✓",AK$4&lt;&gt;""),AK$4&amp;"; ","")&amp;IF(AND(AL105="✓",AL$4&lt;&gt;""),AL$4&amp;"; ","")&amp;IF(AND(AM105="✓",AM$4&lt;&gt;""),AM$4&amp;"; ","")&amp;IF(AND(AN105="✓",AN$4&lt;&gt;""),AN$4&amp;"; ","")&amp;IF(AND(AO105="✓",AO$4&lt;&gt;""),AO$4&amp;"; ","")&amp;IF(AND(AP105="✓",AP$4&lt;&gt;""),AP$4&amp;"; ","")&amp;IF(AND(AQ105="✓",AQ$4&lt;&gt;""),AQ$4&amp;"; ","")&amp;IF(AND(AR105="✓",AR$4&lt;&gt;""),AR$4&amp;"; ","")&amp;IF(AND(AS105="✓",AS$4&lt;&gt;""),AS$4&amp;"; ","")&amp;IF(AND(AT105="✓",AT$4&lt;&gt;""),AT$4&amp;"; ","")&amp;IF(AND(AU105="✓",AU$4&lt;&gt;""),AU$4&amp;"; ","")&amp;IF(AND(AV105="✓",AV$4&lt;&gt;""),AV$4&amp;"; ","")&amp;IF(AND(AW105="✓",AW$4&lt;&gt;""),AW$4&amp;"; ","")&amp;IF(AND(AX105="✓",AX$4&lt;&gt;""),AX$4&amp;"; ","")&amp;IF(AND(AY105="✓",AY$4&lt;&gt;""),AY$4&amp;"; ","")&amp;IF(AND(AZ105="✓",AZ$4&lt;&gt;""),AZ$4&amp;"; ","")&amp;IF(AND(BA105="✓",BA$4&lt;&gt;""),BA$4&amp;"; ","")&amp;IF(AND(BB105="✓",BB$4&lt;&gt;""),BB$4&amp;"; ","")&amp;IF(AND(BC105="✓",BC$4&lt;&gt;""),BC$4&amp;"; ","")&amp;IF(AND(BD105="✓",BD$4&lt;&gt;""),BD$4&amp;"; ","")&amp;IF(AND(BE105="✓",BE$4&lt;&gt;""),BE$4&amp;"; ","")&amp;IF(AND(BF105="✓",BF$4&lt;&gt;""),BF$4&amp;"; ","")&amp;IF(AND(BG105="✓",BG$4&lt;&gt;""),BG$4&amp;"; ","")&amp;IF(AND(BH105="✓",BH$4&lt;&gt;""),BH$4&amp;"; ","")&amp;IF(AND(BI105="✓",BI$4&lt;&gt;""),BI$4&amp;"; ","")&amp;IF(AND(BJ105="✓",BJ$4&lt;&gt;""),BJ$4&amp;"; ","")&amp;IF(AND(BK105="✓",BK$4&lt;&gt;""),BK$4&amp;"; ","")&amp;IF(AND(BL105="✓",BL$4&lt;&gt;""),BL$4&amp;"; ","")&amp;IF(AND(BM105="✓",BM$4&lt;&gt;""),BM$4&amp;"; ","")&amp;IF(AND(BN105="✓",BN$4&lt;&gt;""),BN$4&amp;"; ","")&amp;IF(AND(BO105="✓",BO$4&lt;&gt;""),BO$4&amp;"; ","")&amp;IF(AND(BP105="✓",BP$4&lt;&gt;""),BP$4&amp;"; ","")&amp;IF(AND(BQ105="✓",BQ$4&lt;&gt;""),BQ$4&amp;"; ","")&amp;IF(AND(BR105="✓",BR$4&lt;&gt;""),BR$4&amp;"; ","")&amp;IF(AND(BS105="✓",BS$4&lt;&gt;""),BS$4&amp;"; ","")&amp;IF(AND(BT105="✓",BT$4&lt;&gt;""),BT$4&amp;"; ","")&amp;IF(AND(BU105="✓",BU$4&lt;&gt;""),BU$4&amp;"; ","")&amp;IF(AND(BV105="✓",BV$4&lt;&gt;""),BV$4&amp;"; ","")&amp;IF(AND(BW105="✓",BW$4&lt;&gt;""),BW$4&amp;"; ","")&amp;IF(AND(BX105="✓",BX$4&lt;&gt;""),BX$4&amp;"; ","")&amp;IF(AND(BY105="✓",BY$4&lt;&gt;""),BY$4&amp;"; ","")&amp;IF(AND(BZ105="✓",BZ$4&lt;&gt;""),BZ$4&amp;"; ","")&amp;IF(AND(CA105="✓",CA$4&lt;&gt;""),CA$4&amp;"; ","")&amp;IF(AND(CB105="✓",CB$4&lt;&gt;""),CB$4&amp;"; ","")&amp;IF(AND(CC105="✓",CC$4&lt;&gt;""),CC$4&amp;"; ","")&amp;IF(AND(CD105="✓",CD$4&lt;&gt;""),CD$4&amp;"; ","")&amp;IF(AND(CE105="✓",CE$4&lt;&gt;""),CE$4&amp;"; ","")&amp;IF(AND(CF105="✓",CF$4&lt;&gt;""),CF$4&amp;"; ","")&amp;IF(AND(CG105="✓",CG$4&lt;&gt;""),CG$4&amp;"; ","")&amp;IF(AND(CH105="✓",CH$4&lt;&gt;""),CH$4&amp;"; ","")&amp;IF(AND(CI105="✓",CI$4&lt;&gt;""),CI$4&amp;"; ","")&amp;IF(AND(CJ105="✓",CJ$4&lt;&gt;""),CJ$4&amp;"; ","")&amp;IF(AND(CK105="✓",CK$4&lt;&gt;""),CK$4&amp;"; ","")&amp;IF(AND(CL105="✓",CL$4&lt;&gt;""),CL$4&amp;"; ","")&amp;IF(AND(CM105="✓",CM$4&lt;&gt;""),CM$4&amp;"; ","")&amp;IF(AND(CN105="✓",CN$4&lt;&gt;""),CN$4&amp;"; ","")&amp;IF(AND(CO105="✓",CO$4&lt;&gt;""),CO$4&amp;"; ","")</f>
        <v/>
      </c>
      <c r="CQ105" s="104" t="str">
        <f aca="false">IF($CP105="","",LEFT($CP105,LEN($CP105)-2))</f>
        <v/>
      </c>
      <c r="CR105" s="234" t="str">
        <f aca="false">IF($A105="","",COUNTIF($D105:$CO105,"✓"))</f>
        <v/>
      </c>
    </row>
    <row r="106" customFormat="false" ht="21.75" hidden="false" customHeight="true" outlineLevel="0" collapsed="false">
      <c r="A106" s="231" t="str">
        <f aca="false">IF(03_能力總表_Master!$A106="","",03_能力總表_Master!$A106)</f>
        <v/>
      </c>
      <c r="B106" s="166" t="str">
        <f aca="false">IF(03_能力總表_Master!$A106="","",03_能力總表_Master!$B106)</f>
        <v/>
      </c>
      <c r="C106" s="95" t="str">
        <f aca="false">IF(03_能力總表_Master!$A106="","",03_能力總表_Master!$E106)</f>
        <v/>
      </c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32"/>
      <c r="AQ106" s="232"/>
      <c r="AR106" s="232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232"/>
      <c r="BH106" s="232"/>
      <c r="BI106" s="232"/>
      <c r="BJ106" s="232"/>
      <c r="BK106" s="232"/>
      <c r="BL106" s="232"/>
      <c r="BM106" s="232"/>
      <c r="BN106" s="232"/>
      <c r="BO106" s="232"/>
      <c r="BP106" s="232"/>
      <c r="BQ106" s="232"/>
      <c r="BR106" s="232"/>
      <c r="BS106" s="232"/>
      <c r="BT106" s="232"/>
      <c r="BU106" s="232"/>
      <c r="BV106" s="232"/>
      <c r="BW106" s="232"/>
      <c r="BX106" s="232"/>
      <c r="BY106" s="232"/>
      <c r="BZ106" s="232"/>
      <c r="CA106" s="232"/>
      <c r="CB106" s="232"/>
      <c r="CC106" s="232"/>
      <c r="CD106" s="232"/>
      <c r="CE106" s="232"/>
      <c r="CF106" s="232"/>
      <c r="CG106" s="232"/>
      <c r="CH106" s="232"/>
      <c r="CI106" s="232"/>
      <c r="CJ106" s="232"/>
      <c r="CK106" s="232"/>
      <c r="CL106" s="232"/>
      <c r="CM106" s="232"/>
      <c r="CN106" s="232"/>
      <c r="CO106" s="232"/>
      <c r="CP106" s="233" t="str">
        <f aca="false">IF(AND(D106="✓",D$4&lt;&gt;""),D$4&amp;"; ","")&amp;IF(AND(E106="✓",E$4&lt;&gt;""),E$4&amp;"; ","")&amp;IF(AND(F106="✓",F$4&lt;&gt;""),F$4&amp;"; ","")&amp;IF(AND(G106="✓",G$4&lt;&gt;""),G$4&amp;"; ","")&amp;IF(AND(H106="✓",H$4&lt;&gt;""),H$4&amp;"; ","")&amp;IF(AND(I106="✓",I$4&lt;&gt;""),I$4&amp;"; ","")&amp;IF(AND(J106="✓",J$4&lt;&gt;""),J$4&amp;"; ","")&amp;IF(AND(K106="✓",K$4&lt;&gt;""),K$4&amp;"; ","")&amp;IF(AND(L106="✓",L$4&lt;&gt;""),L$4&amp;"; ","")&amp;IF(AND(M106="✓",M$4&lt;&gt;""),M$4&amp;"; ","")&amp;IF(AND(N106="✓",N$4&lt;&gt;""),N$4&amp;"; ","")&amp;IF(AND(O106="✓",O$4&lt;&gt;""),O$4&amp;"; ","")&amp;IF(AND(P106="✓",P$4&lt;&gt;""),P$4&amp;"; ","")&amp;IF(AND(Q106="✓",Q$4&lt;&gt;""),Q$4&amp;"; ","")&amp;IF(AND(R106="✓",R$4&lt;&gt;""),R$4&amp;"; ","")&amp;IF(AND(S106="✓",S$4&lt;&gt;""),S$4&amp;"; ","")&amp;IF(AND(T106="✓",T$4&lt;&gt;""),T$4&amp;"; ","")&amp;IF(AND(U106="✓",U$4&lt;&gt;""),U$4&amp;"; ","")&amp;IF(AND(V106="✓",V$4&lt;&gt;""),V$4&amp;"; ","")&amp;IF(AND(W106="✓",W$4&lt;&gt;""),W$4&amp;"; ","")&amp;IF(AND(X106="✓",X$4&lt;&gt;""),X$4&amp;"; ","")&amp;IF(AND(Y106="✓",Y$4&lt;&gt;""),Y$4&amp;"; ","")&amp;IF(AND(Z106="✓",Z$4&lt;&gt;""),Z$4&amp;"; ","")&amp;IF(AND(AA106="✓",AA$4&lt;&gt;""),AA$4&amp;"; ","")&amp;IF(AND(AB106="✓",AB$4&lt;&gt;""),AB$4&amp;"; ","")&amp;IF(AND(AC106="✓",AC$4&lt;&gt;""),AC$4&amp;"; ","")&amp;IF(AND(AD106="✓",AD$4&lt;&gt;""),AD$4&amp;"; ","")&amp;IF(AND(AE106="✓",AE$4&lt;&gt;""),AE$4&amp;"; ","")&amp;IF(AND(AF106="✓",AF$4&lt;&gt;""),AF$4&amp;"; ","")&amp;IF(AND(AG106="✓",AG$4&lt;&gt;""),AG$4&amp;"; ","")&amp;IF(AND(AH106="✓",AH$4&lt;&gt;""),AH$4&amp;"; ","")&amp;IF(AND(AI106="✓",AI$4&lt;&gt;""),AI$4&amp;"; ","")&amp;IF(AND(AJ106="✓",AJ$4&lt;&gt;""),AJ$4&amp;"; ","")&amp;IF(AND(AK106="✓",AK$4&lt;&gt;""),AK$4&amp;"; ","")&amp;IF(AND(AL106="✓",AL$4&lt;&gt;""),AL$4&amp;"; ","")&amp;IF(AND(AM106="✓",AM$4&lt;&gt;""),AM$4&amp;"; ","")&amp;IF(AND(AN106="✓",AN$4&lt;&gt;""),AN$4&amp;"; ","")&amp;IF(AND(AO106="✓",AO$4&lt;&gt;""),AO$4&amp;"; ","")&amp;IF(AND(AP106="✓",AP$4&lt;&gt;""),AP$4&amp;"; ","")&amp;IF(AND(AQ106="✓",AQ$4&lt;&gt;""),AQ$4&amp;"; ","")&amp;IF(AND(AR106="✓",AR$4&lt;&gt;""),AR$4&amp;"; ","")&amp;IF(AND(AS106="✓",AS$4&lt;&gt;""),AS$4&amp;"; ","")&amp;IF(AND(AT106="✓",AT$4&lt;&gt;""),AT$4&amp;"; ","")&amp;IF(AND(AU106="✓",AU$4&lt;&gt;""),AU$4&amp;"; ","")&amp;IF(AND(AV106="✓",AV$4&lt;&gt;""),AV$4&amp;"; ","")&amp;IF(AND(AW106="✓",AW$4&lt;&gt;""),AW$4&amp;"; ","")&amp;IF(AND(AX106="✓",AX$4&lt;&gt;""),AX$4&amp;"; ","")&amp;IF(AND(AY106="✓",AY$4&lt;&gt;""),AY$4&amp;"; ","")&amp;IF(AND(AZ106="✓",AZ$4&lt;&gt;""),AZ$4&amp;"; ","")&amp;IF(AND(BA106="✓",BA$4&lt;&gt;""),BA$4&amp;"; ","")&amp;IF(AND(BB106="✓",BB$4&lt;&gt;""),BB$4&amp;"; ","")&amp;IF(AND(BC106="✓",BC$4&lt;&gt;""),BC$4&amp;"; ","")&amp;IF(AND(BD106="✓",BD$4&lt;&gt;""),BD$4&amp;"; ","")&amp;IF(AND(BE106="✓",BE$4&lt;&gt;""),BE$4&amp;"; ","")&amp;IF(AND(BF106="✓",BF$4&lt;&gt;""),BF$4&amp;"; ","")&amp;IF(AND(BG106="✓",BG$4&lt;&gt;""),BG$4&amp;"; ","")&amp;IF(AND(BH106="✓",BH$4&lt;&gt;""),BH$4&amp;"; ","")&amp;IF(AND(BI106="✓",BI$4&lt;&gt;""),BI$4&amp;"; ","")&amp;IF(AND(BJ106="✓",BJ$4&lt;&gt;""),BJ$4&amp;"; ","")&amp;IF(AND(BK106="✓",BK$4&lt;&gt;""),BK$4&amp;"; ","")&amp;IF(AND(BL106="✓",BL$4&lt;&gt;""),BL$4&amp;"; ","")&amp;IF(AND(BM106="✓",BM$4&lt;&gt;""),BM$4&amp;"; ","")&amp;IF(AND(BN106="✓",BN$4&lt;&gt;""),BN$4&amp;"; ","")&amp;IF(AND(BO106="✓",BO$4&lt;&gt;""),BO$4&amp;"; ","")&amp;IF(AND(BP106="✓",BP$4&lt;&gt;""),BP$4&amp;"; ","")&amp;IF(AND(BQ106="✓",BQ$4&lt;&gt;""),BQ$4&amp;"; ","")&amp;IF(AND(BR106="✓",BR$4&lt;&gt;""),BR$4&amp;"; ","")&amp;IF(AND(BS106="✓",BS$4&lt;&gt;""),BS$4&amp;"; ","")&amp;IF(AND(BT106="✓",BT$4&lt;&gt;""),BT$4&amp;"; ","")&amp;IF(AND(BU106="✓",BU$4&lt;&gt;""),BU$4&amp;"; ","")&amp;IF(AND(BV106="✓",BV$4&lt;&gt;""),BV$4&amp;"; ","")&amp;IF(AND(BW106="✓",BW$4&lt;&gt;""),BW$4&amp;"; ","")&amp;IF(AND(BX106="✓",BX$4&lt;&gt;""),BX$4&amp;"; ","")&amp;IF(AND(BY106="✓",BY$4&lt;&gt;""),BY$4&amp;"; ","")&amp;IF(AND(BZ106="✓",BZ$4&lt;&gt;""),BZ$4&amp;"; ","")&amp;IF(AND(CA106="✓",CA$4&lt;&gt;""),CA$4&amp;"; ","")&amp;IF(AND(CB106="✓",CB$4&lt;&gt;""),CB$4&amp;"; ","")&amp;IF(AND(CC106="✓",CC$4&lt;&gt;""),CC$4&amp;"; ","")&amp;IF(AND(CD106="✓",CD$4&lt;&gt;""),CD$4&amp;"; ","")&amp;IF(AND(CE106="✓",CE$4&lt;&gt;""),CE$4&amp;"; ","")&amp;IF(AND(CF106="✓",CF$4&lt;&gt;""),CF$4&amp;"; ","")&amp;IF(AND(CG106="✓",CG$4&lt;&gt;""),CG$4&amp;"; ","")&amp;IF(AND(CH106="✓",CH$4&lt;&gt;""),CH$4&amp;"; ","")&amp;IF(AND(CI106="✓",CI$4&lt;&gt;""),CI$4&amp;"; ","")&amp;IF(AND(CJ106="✓",CJ$4&lt;&gt;""),CJ$4&amp;"; ","")&amp;IF(AND(CK106="✓",CK$4&lt;&gt;""),CK$4&amp;"; ","")&amp;IF(AND(CL106="✓",CL$4&lt;&gt;""),CL$4&amp;"; ","")&amp;IF(AND(CM106="✓",CM$4&lt;&gt;""),CM$4&amp;"; ","")&amp;IF(AND(CN106="✓",CN$4&lt;&gt;""),CN$4&amp;"; ","")&amp;IF(AND(CO106="✓",CO$4&lt;&gt;""),CO$4&amp;"; ","")</f>
        <v/>
      </c>
      <c r="CQ106" s="104" t="str">
        <f aca="false">IF($CP106="","",LEFT($CP106,LEN($CP106)-2))</f>
        <v/>
      </c>
      <c r="CR106" s="234" t="str">
        <f aca="false">IF($A106="","",COUNTIF($D106:$CO106,"✓"))</f>
        <v/>
      </c>
    </row>
    <row r="107" customFormat="false" ht="21.75" hidden="false" customHeight="true" outlineLevel="0" collapsed="false">
      <c r="A107" s="231" t="str">
        <f aca="false">IF(03_能力總表_Master!$A107="","",03_能力總表_Master!$A107)</f>
        <v/>
      </c>
      <c r="B107" s="166" t="str">
        <f aca="false">IF(03_能力總表_Master!$A107="","",03_能力總表_Master!$B107)</f>
        <v/>
      </c>
      <c r="C107" s="95" t="str">
        <f aca="false">IF(03_能力總表_Master!$A107="","",03_能力總表_Master!$E107)</f>
        <v/>
      </c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32"/>
      <c r="AQ107" s="232"/>
      <c r="AR107" s="232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232"/>
      <c r="BH107" s="232"/>
      <c r="BI107" s="232"/>
      <c r="BJ107" s="232"/>
      <c r="BK107" s="232"/>
      <c r="BL107" s="232"/>
      <c r="BM107" s="232"/>
      <c r="BN107" s="232"/>
      <c r="BO107" s="232"/>
      <c r="BP107" s="232"/>
      <c r="BQ107" s="232"/>
      <c r="BR107" s="232"/>
      <c r="BS107" s="232"/>
      <c r="BT107" s="232"/>
      <c r="BU107" s="232"/>
      <c r="BV107" s="232"/>
      <c r="BW107" s="232"/>
      <c r="BX107" s="232"/>
      <c r="BY107" s="232"/>
      <c r="BZ107" s="232"/>
      <c r="CA107" s="232"/>
      <c r="CB107" s="232"/>
      <c r="CC107" s="232"/>
      <c r="CD107" s="232"/>
      <c r="CE107" s="232"/>
      <c r="CF107" s="232"/>
      <c r="CG107" s="232"/>
      <c r="CH107" s="232"/>
      <c r="CI107" s="232"/>
      <c r="CJ107" s="232"/>
      <c r="CK107" s="232"/>
      <c r="CL107" s="232"/>
      <c r="CM107" s="232"/>
      <c r="CN107" s="232"/>
      <c r="CO107" s="232"/>
      <c r="CP107" s="233" t="str">
        <f aca="false">IF(AND(D107="✓",D$4&lt;&gt;""),D$4&amp;"; ","")&amp;IF(AND(E107="✓",E$4&lt;&gt;""),E$4&amp;"; ","")&amp;IF(AND(F107="✓",F$4&lt;&gt;""),F$4&amp;"; ","")&amp;IF(AND(G107="✓",G$4&lt;&gt;""),G$4&amp;"; ","")&amp;IF(AND(H107="✓",H$4&lt;&gt;""),H$4&amp;"; ","")&amp;IF(AND(I107="✓",I$4&lt;&gt;""),I$4&amp;"; ","")&amp;IF(AND(J107="✓",J$4&lt;&gt;""),J$4&amp;"; ","")&amp;IF(AND(K107="✓",K$4&lt;&gt;""),K$4&amp;"; ","")&amp;IF(AND(L107="✓",L$4&lt;&gt;""),L$4&amp;"; ","")&amp;IF(AND(M107="✓",M$4&lt;&gt;""),M$4&amp;"; ","")&amp;IF(AND(N107="✓",N$4&lt;&gt;""),N$4&amp;"; ","")&amp;IF(AND(O107="✓",O$4&lt;&gt;""),O$4&amp;"; ","")&amp;IF(AND(P107="✓",P$4&lt;&gt;""),P$4&amp;"; ","")&amp;IF(AND(Q107="✓",Q$4&lt;&gt;""),Q$4&amp;"; ","")&amp;IF(AND(R107="✓",R$4&lt;&gt;""),R$4&amp;"; ","")&amp;IF(AND(S107="✓",S$4&lt;&gt;""),S$4&amp;"; ","")&amp;IF(AND(T107="✓",T$4&lt;&gt;""),T$4&amp;"; ","")&amp;IF(AND(U107="✓",U$4&lt;&gt;""),U$4&amp;"; ","")&amp;IF(AND(V107="✓",V$4&lt;&gt;""),V$4&amp;"; ","")&amp;IF(AND(W107="✓",W$4&lt;&gt;""),W$4&amp;"; ","")&amp;IF(AND(X107="✓",X$4&lt;&gt;""),X$4&amp;"; ","")&amp;IF(AND(Y107="✓",Y$4&lt;&gt;""),Y$4&amp;"; ","")&amp;IF(AND(Z107="✓",Z$4&lt;&gt;""),Z$4&amp;"; ","")&amp;IF(AND(AA107="✓",AA$4&lt;&gt;""),AA$4&amp;"; ","")&amp;IF(AND(AB107="✓",AB$4&lt;&gt;""),AB$4&amp;"; ","")&amp;IF(AND(AC107="✓",AC$4&lt;&gt;""),AC$4&amp;"; ","")&amp;IF(AND(AD107="✓",AD$4&lt;&gt;""),AD$4&amp;"; ","")&amp;IF(AND(AE107="✓",AE$4&lt;&gt;""),AE$4&amp;"; ","")&amp;IF(AND(AF107="✓",AF$4&lt;&gt;""),AF$4&amp;"; ","")&amp;IF(AND(AG107="✓",AG$4&lt;&gt;""),AG$4&amp;"; ","")&amp;IF(AND(AH107="✓",AH$4&lt;&gt;""),AH$4&amp;"; ","")&amp;IF(AND(AI107="✓",AI$4&lt;&gt;""),AI$4&amp;"; ","")&amp;IF(AND(AJ107="✓",AJ$4&lt;&gt;""),AJ$4&amp;"; ","")&amp;IF(AND(AK107="✓",AK$4&lt;&gt;""),AK$4&amp;"; ","")&amp;IF(AND(AL107="✓",AL$4&lt;&gt;""),AL$4&amp;"; ","")&amp;IF(AND(AM107="✓",AM$4&lt;&gt;""),AM$4&amp;"; ","")&amp;IF(AND(AN107="✓",AN$4&lt;&gt;""),AN$4&amp;"; ","")&amp;IF(AND(AO107="✓",AO$4&lt;&gt;""),AO$4&amp;"; ","")&amp;IF(AND(AP107="✓",AP$4&lt;&gt;""),AP$4&amp;"; ","")&amp;IF(AND(AQ107="✓",AQ$4&lt;&gt;""),AQ$4&amp;"; ","")&amp;IF(AND(AR107="✓",AR$4&lt;&gt;""),AR$4&amp;"; ","")&amp;IF(AND(AS107="✓",AS$4&lt;&gt;""),AS$4&amp;"; ","")&amp;IF(AND(AT107="✓",AT$4&lt;&gt;""),AT$4&amp;"; ","")&amp;IF(AND(AU107="✓",AU$4&lt;&gt;""),AU$4&amp;"; ","")&amp;IF(AND(AV107="✓",AV$4&lt;&gt;""),AV$4&amp;"; ","")&amp;IF(AND(AW107="✓",AW$4&lt;&gt;""),AW$4&amp;"; ","")&amp;IF(AND(AX107="✓",AX$4&lt;&gt;""),AX$4&amp;"; ","")&amp;IF(AND(AY107="✓",AY$4&lt;&gt;""),AY$4&amp;"; ","")&amp;IF(AND(AZ107="✓",AZ$4&lt;&gt;""),AZ$4&amp;"; ","")&amp;IF(AND(BA107="✓",BA$4&lt;&gt;""),BA$4&amp;"; ","")&amp;IF(AND(BB107="✓",BB$4&lt;&gt;""),BB$4&amp;"; ","")&amp;IF(AND(BC107="✓",BC$4&lt;&gt;""),BC$4&amp;"; ","")&amp;IF(AND(BD107="✓",BD$4&lt;&gt;""),BD$4&amp;"; ","")&amp;IF(AND(BE107="✓",BE$4&lt;&gt;""),BE$4&amp;"; ","")&amp;IF(AND(BF107="✓",BF$4&lt;&gt;""),BF$4&amp;"; ","")&amp;IF(AND(BG107="✓",BG$4&lt;&gt;""),BG$4&amp;"; ","")&amp;IF(AND(BH107="✓",BH$4&lt;&gt;""),BH$4&amp;"; ","")&amp;IF(AND(BI107="✓",BI$4&lt;&gt;""),BI$4&amp;"; ","")&amp;IF(AND(BJ107="✓",BJ$4&lt;&gt;""),BJ$4&amp;"; ","")&amp;IF(AND(BK107="✓",BK$4&lt;&gt;""),BK$4&amp;"; ","")&amp;IF(AND(BL107="✓",BL$4&lt;&gt;""),BL$4&amp;"; ","")&amp;IF(AND(BM107="✓",BM$4&lt;&gt;""),BM$4&amp;"; ","")&amp;IF(AND(BN107="✓",BN$4&lt;&gt;""),BN$4&amp;"; ","")&amp;IF(AND(BO107="✓",BO$4&lt;&gt;""),BO$4&amp;"; ","")&amp;IF(AND(BP107="✓",BP$4&lt;&gt;""),BP$4&amp;"; ","")&amp;IF(AND(BQ107="✓",BQ$4&lt;&gt;""),BQ$4&amp;"; ","")&amp;IF(AND(BR107="✓",BR$4&lt;&gt;""),BR$4&amp;"; ","")&amp;IF(AND(BS107="✓",BS$4&lt;&gt;""),BS$4&amp;"; ","")&amp;IF(AND(BT107="✓",BT$4&lt;&gt;""),BT$4&amp;"; ","")&amp;IF(AND(BU107="✓",BU$4&lt;&gt;""),BU$4&amp;"; ","")&amp;IF(AND(BV107="✓",BV$4&lt;&gt;""),BV$4&amp;"; ","")&amp;IF(AND(BW107="✓",BW$4&lt;&gt;""),BW$4&amp;"; ","")&amp;IF(AND(BX107="✓",BX$4&lt;&gt;""),BX$4&amp;"; ","")&amp;IF(AND(BY107="✓",BY$4&lt;&gt;""),BY$4&amp;"; ","")&amp;IF(AND(BZ107="✓",BZ$4&lt;&gt;""),BZ$4&amp;"; ","")&amp;IF(AND(CA107="✓",CA$4&lt;&gt;""),CA$4&amp;"; ","")&amp;IF(AND(CB107="✓",CB$4&lt;&gt;""),CB$4&amp;"; ","")&amp;IF(AND(CC107="✓",CC$4&lt;&gt;""),CC$4&amp;"; ","")&amp;IF(AND(CD107="✓",CD$4&lt;&gt;""),CD$4&amp;"; ","")&amp;IF(AND(CE107="✓",CE$4&lt;&gt;""),CE$4&amp;"; ","")&amp;IF(AND(CF107="✓",CF$4&lt;&gt;""),CF$4&amp;"; ","")&amp;IF(AND(CG107="✓",CG$4&lt;&gt;""),CG$4&amp;"; ","")&amp;IF(AND(CH107="✓",CH$4&lt;&gt;""),CH$4&amp;"; ","")&amp;IF(AND(CI107="✓",CI$4&lt;&gt;""),CI$4&amp;"; ","")&amp;IF(AND(CJ107="✓",CJ$4&lt;&gt;""),CJ$4&amp;"; ","")&amp;IF(AND(CK107="✓",CK$4&lt;&gt;""),CK$4&amp;"; ","")&amp;IF(AND(CL107="✓",CL$4&lt;&gt;""),CL$4&amp;"; ","")&amp;IF(AND(CM107="✓",CM$4&lt;&gt;""),CM$4&amp;"; ","")&amp;IF(AND(CN107="✓",CN$4&lt;&gt;""),CN$4&amp;"; ","")&amp;IF(AND(CO107="✓",CO$4&lt;&gt;""),CO$4&amp;"; ","")</f>
        <v/>
      </c>
      <c r="CQ107" s="104" t="str">
        <f aca="false">IF($CP107="","",LEFT($CP107,LEN($CP107)-2))</f>
        <v/>
      </c>
      <c r="CR107" s="234" t="str">
        <f aca="false">IF($A107="","",COUNTIF($D107:$CO107,"✓"))</f>
        <v/>
      </c>
    </row>
    <row r="108" customFormat="false" ht="21.75" hidden="false" customHeight="true" outlineLevel="0" collapsed="false">
      <c r="A108" s="231" t="str">
        <f aca="false">IF(03_能力總表_Master!$A108="","",03_能力總表_Master!$A108)</f>
        <v/>
      </c>
      <c r="B108" s="166" t="str">
        <f aca="false">IF(03_能力總表_Master!$A108="","",03_能力總表_Master!$B108)</f>
        <v/>
      </c>
      <c r="C108" s="95" t="str">
        <f aca="false">IF(03_能力總表_Master!$A108="","",03_能力總表_Master!$E108)</f>
        <v/>
      </c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32"/>
      <c r="AQ108" s="232"/>
      <c r="AR108" s="232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232"/>
      <c r="BH108" s="232"/>
      <c r="BI108" s="232"/>
      <c r="BJ108" s="232"/>
      <c r="BK108" s="232"/>
      <c r="BL108" s="232"/>
      <c r="BM108" s="232"/>
      <c r="BN108" s="232"/>
      <c r="BO108" s="232"/>
      <c r="BP108" s="232"/>
      <c r="BQ108" s="232"/>
      <c r="BR108" s="232"/>
      <c r="BS108" s="232"/>
      <c r="BT108" s="232"/>
      <c r="BU108" s="232"/>
      <c r="BV108" s="232"/>
      <c r="BW108" s="232"/>
      <c r="BX108" s="232"/>
      <c r="BY108" s="232"/>
      <c r="BZ108" s="232"/>
      <c r="CA108" s="232"/>
      <c r="CB108" s="232"/>
      <c r="CC108" s="232"/>
      <c r="CD108" s="232"/>
      <c r="CE108" s="232"/>
      <c r="CF108" s="232"/>
      <c r="CG108" s="232"/>
      <c r="CH108" s="232"/>
      <c r="CI108" s="232"/>
      <c r="CJ108" s="232"/>
      <c r="CK108" s="232"/>
      <c r="CL108" s="232"/>
      <c r="CM108" s="232"/>
      <c r="CN108" s="232"/>
      <c r="CO108" s="232"/>
      <c r="CP108" s="233" t="str">
        <f aca="false">IF(AND(D108="✓",D$4&lt;&gt;""),D$4&amp;"; ","")&amp;IF(AND(E108="✓",E$4&lt;&gt;""),E$4&amp;"; ","")&amp;IF(AND(F108="✓",F$4&lt;&gt;""),F$4&amp;"; ","")&amp;IF(AND(G108="✓",G$4&lt;&gt;""),G$4&amp;"; ","")&amp;IF(AND(H108="✓",H$4&lt;&gt;""),H$4&amp;"; ","")&amp;IF(AND(I108="✓",I$4&lt;&gt;""),I$4&amp;"; ","")&amp;IF(AND(J108="✓",J$4&lt;&gt;""),J$4&amp;"; ","")&amp;IF(AND(K108="✓",K$4&lt;&gt;""),K$4&amp;"; ","")&amp;IF(AND(L108="✓",L$4&lt;&gt;""),L$4&amp;"; ","")&amp;IF(AND(M108="✓",M$4&lt;&gt;""),M$4&amp;"; ","")&amp;IF(AND(N108="✓",N$4&lt;&gt;""),N$4&amp;"; ","")&amp;IF(AND(O108="✓",O$4&lt;&gt;""),O$4&amp;"; ","")&amp;IF(AND(P108="✓",P$4&lt;&gt;""),P$4&amp;"; ","")&amp;IF(AND(Q108="✓",Q$4&lt;&gt;""),Q$4&amp;"; ","")&amp;IF(AND(R108="✓",R$4&lt;&gt;""),R$4&amp;"; ","")&amp;IF(AND(S108="✓",S$4&lt;&gt;""),S$4&amp;"; ","")&amp;IF(AND(T108="✓",T$4&lt;&gt;""),T$4&amp;"; ","")&amp;IF(AND(U108="✓",U$4&lt;&gt;""),U$4&amp;"; ","")&amp;IF(AND(V108="✓",V$4&lt;&gt;""),V$4&amp;"; ","")&amp;IF(AND(W108="✓",W$4&lt;&gt;""),W$4&amp;"; ","")&amp;IF(AND(X108="✓",X$4&lt;&gt;""),X$4&amp;"; ","")&amp;IF(AND(Y108="✓",Y$4&lt;&gt;""),Y$4&amp;"; ","")&amp;IF(AND(Z108="✓",Z$4&lt;&gt;""),Z$4&amp;"; ","")&amp;IF(AND(AA108="✓",AA$4&lt;&gt;""),AA$4&amp;"; ","")&amp;IF(AND(AB108="✓",AB$4&lt;&gt;""),AB$4&amp;"; ","")&amp;IF(AND(AC108="✓",AC$4&lt;&gt;""),AC$4&amp;"; ","")&amp;IF(AND(AD108="✓",AD$4&lt;&gt;""),AD$4&amp;"; ","")&amp;IF(AND(AE108="✓",AE$4&lt;&gt;""),AE$4&amp;"; ","")&amp;IF(AND(AF108="✓",AF$4&lt;&gt;""),AF$4&amp;"; ","")&amp;IF(AND(AG108="✓",AG$4&lt;&gt;""),AG$4&amp;"; ","")&amp;IF(AND(AH108="✓",AH$4&lt;&gt;""),AH$4&amp;"; ","")&amp;IF(AND(AI108="✓",AI$4&lt;&gt;""),AI$4&amp;"; ","")&amp;IF(AND(AJ108="✓",AJ$4&lt;&gt;""),AJ$4&amp;"; ","")&amp;IF(AND(AK108="✓",AK$4&lt;&gt;""),AK$4&amp;"; ","")&amp;IF(AND(AL108="✓",AL$4&lt;&gt;""),AL$4&amp;"; ","")&amp;IF(AND(AM108="✓",AM$4&lt;&gt;""),AM$4&amp;"; ","")&amp;IF(AND(AN108="✓",AN$4&lt;&gt;""),AN$4&amp;"; ","")&amp;IF(AND(AO108="✓",AO$4&lt;&gt;""),AO$4&amp;"; ","")&amp;IF(AND(AP108="✓",AP$4&lt;&gt;""),AP$4&amp;"; ","")&amp;IF(AND(AQ108="✓",AQ$4&lt;&gt;""),AQ$4&amp;"; ","")&amp;IF(AND(AR108="✓",AR$4&lt;&gt;""),AR$4&amp;"; ","")&amp;IF(AND(AS108="✓",AS$4&lt;&gt;""),AS$4&amp;"; ","")&amp;IF(AND(AT108="✓",AT$4&lt;&gt;""),AT$4&amp;"; ","")&amp;IF(AND(AU108="✓",AU$4&lt;&gt;""),AU$4&amp;"; ","")&amp;IF(AND(AV108="✓",AV$4&lt;&gt;""),AV$4&amp;"; ","")&amp;IF(AND(AW108="✓",AW$4&lt;&gt;""),AW$4&amp;"; ","")&amp;IF(AND(AX108="✓",AX$4&lt;&gt;""),AX$4&amp;"; ","")&amp;IF(AND(AY108="✓",AY$4&lt;&gt;""),AY$4&amp;"; ","")&amp;IF(AND(AZ108="✓",AZ$4&lt;&gt;""),AZ$4&amp;"; ","")&amp;IF(AND(BA108="✓",BA$4&lt;&gt;""),BA$4&amp;"; ","")&amp;IF(AND(BB108="✓",BB$4&lt;&gt;""),BB$4&amp;"; ","")&amp;IF(AND(BC108="✓",BC$4&lt;&gt;""),BC$4&amp;"; ","")&amp;IF(AND(BD108="✓",BD$4&lt;&gt;""),BD$4&amp;"; ","")&amp;IF(AND(BE108="✓",BE$4&lt;&gt;""),BE$4&amp;"; ","")&amp;IF(AND(BF108="✓",BF$4&lt;&gt;""),BF$4&amp;"; ","")&amp;IF(AND(BG108="✓",BG$4&lt;&gt;""),BG$4&amp;"; ","")&amp;IF(AND(BH108="✓",BH$4&lt;&gt;""),BH$4&amp;"; ","")&amp;IF(AND(BI108="✓",BI$4&lt;&gt;""),BI$4&amp;"; ","")&amp;IF(AND(BJ108="✓",BJ$4&lt;&gt;""),BJ$4&amp;"; ","")&amp;IF(AND(BK108="✓",BK$4&lt;&gt;""),BK$4&amp;"; ","")&amp;IF(AND(BL108="✓",BL$4&lt;&gt;""),BL$4&amp;"; ","")&amp;IF(AND(BM108="✓",BM$4&lt;&gt;""),BM$4&amp;"; ","")&amp;IF(AND(BN108="✓",BN$4&lt;&gt;""),BN$4&amp;"; ","")&amp;IF(AND(BO108="✓",BO$4&lt;&gt;""),BO$4&amp;"; ","")&amp;IF(AND(BP108="✓",BP$4&lt;&gt;""),BP$4&amp;"; ","")&amp;IF(AND(BQ108="✓",BQ$4&lt;&gt;""),BQ$4&amp;"; ","")&amp;IF(AND(BR108="✓",BR$4&lt;&gt;""),BR$4&amp;"; ","")&amp;IF(AND(BS108="✓",BS$4&lt;&gt;""),BS$4&amp;"; ","")&amp;IF(AND(BT108="✓",BT$4&lt;&gt;""),BT$4&amp;"; ","")&amp;IF(AND(BU108="✓",BU$4&lt;&gt;""),BU$4&amp;"; ","")&amp;IF(AND(BV108="✓",BV$4&lt;&gt;""),BV$4&amp;"; ","")&amp;IF(AND(BW108="✓",BW$4&lt;&gt;""),BW$4&amp;"; ","")&amp;IF(AND(BX108="✓",BX$4&lt;&gt;""),BX$4&amp;"; ","")&amp;IF(AND(BY108="✓",BY$4&lt;&gt;""),BY$4&amp;"; ","")&amp;IF(AND(BZ108="✓",BZ$4&lt;&gt;""),BZ$4&amp;"; ","")&amp;IF(AND(CA108="✓",CA$4&lt;&gt;""),CA$4&amp;"; ","")&amp;IF(AND(CB108="✓",CB$4&lt;&gt;""),CB$4&amp;"; ","")&amp;IF(AND(CC108="✓",CC$4&lt;&gt;""),CC$4&amp;"; ","")&amp;IF(AND(CD108="✓",CD$4&lt;&gt;""),CD$4&amp;"; ","")&amp;IF(AND(CE108="✓",CE$4&lt;&gt;""),CE$4&amp;"; ","")&amp;IF(AND(CF108="✓",CF$4&lt;&gt;""),CF$4&amp;"; ","")&amp;IF(AND(CG108="✓",CG$4&lt;&gt;""),CG$4&amp;"; ","")&amp;IF(AND(CH108="✓",CH$4&lt;&gt;""),CH$4&amp;"; ","")&amp;IF(AND(CI108="✓",CI$4&lt;&gt;""),CI$4&amp;"; ","")&amp;IF(AND(CJ108="✓",CJ$4&lt;&gt;""),CJ$4&amp;"; ","")&amp;IF(AND(CK108="✓",CK$4&lt;&gt;""),CK$4&amp;"; ","")&amp;IF(AND(CL108="✓",CL$4&lt;&gt;""),CL$4&amp;"; ","")&amp;IF(AND(CM108="✓",CM$4&lt;&gt;""),CM$4&amp;"; ","")&amp;IF(AND(CN108="✓",CN$4&lt;&gt;""),CN$4&amp;"; ","")&amp;IF(AND(CO108="✓",CO$4&lt;&gt;""),CO$4&amp;"; ","")</f>
        <v/>
      </c>
      <c r="CQ108" s="104" t="str">
        <f aca="false">IF($CP108="","",LEFT($CP108,LEN($CP108)-2))</f>
        <v/>
      </c>
      <c r="CR108" s="234" t="str">
        <f aca="false">IF($A108="","",COUNTIF($D108:$CO108,"✓"))</f>
        <v/>
      </c>
    </row>
    <row r="109" customFormat="false" ht="21.75" hidden="false" customHeight="true" outlineLevel="0" collapsed="false">
      <c r="A109" s="231" t="str">
        <f aca="false">IF(03_能力總表_Master!$A109="","",03_能力總表_Master!$A109)</f>
        <v/>
      </c>
      <c r="B109" s="166" t="str">
        <f aca="false">IF(03_能力總表_Master!$A109="","",03_能力總表_Master!$B109)</f>
        <v/>
      </c>
      <c r="C109" s="95" t="str">
        <f aca="false">IF(03_能力總表_Master!$A109="","",03_能力總表_Master!$E109)</f>
        <v/>
      </c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32"/>
      <c r="AQ109" s="232"/>
      <c r="AR109" s="232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232"/>
      <c r="BH109" s="232"/>
      <c r="BI109" s="232"/>
      <c r="BJ109" s="232"/>
      <c r="BK109" s="232"/>
      <c r="BL109" s="232"/>
      <c r="BM109" s="232"/>
      <c r="BN109" s="232"/>
      <c r="BO109" s="232"/>
      <c r="BP109" s="232"/>
      <c r="BQ109" s="232"/>
      <c r="BR109" s="232"/>
      <c r="BS109" s="232"/>
      <c r="BT109" s="232"/>
      <c r="BU109" s="232"/>
      <c r="BV109" s="232"/>
      <c r="BW109" s="232"/>
      <c r="BX109" s="232"/>
      <c r="BY109" s="232"/>
      <c r="BZ109" s="232"/>
      <c r="CA109" s="232"/>
      <c r="CB109" s="232"/>
      <c r="CC109" s="232"/>
      <c r="CD109" s="232"/>
      <c r="CE109" s="232"/>
      <c r="CF109" s="232"/>
      <c r="CG109" s="232"/>
      <c r="CH109" s="232"/>
      <c r="CI109" s="232"/>
      <c r="CJ109" s="232"/>
      <c r="CK109" s="232"/>
      <c r="CL109" s="232"/>
      <c r="CM109" s="232"/>
      <c r="CN109" s="232"/>
      <c r="CO109" s="232"/>
      <c r="CP109" s="233" t="str">
        <f aca="false">IF(AND(D109="✓",D$4&lt;&gt;""),D$4&amp;"; ","")&amp;IF(AND(E109="✓",E$4&lt;&gt;""),E$4&amp;"; ","")&amp;IF(AND(F109="✓",F$4&lt;&gt;""),F$4&amp;"; ","")&amp;IF(AND(G109="✓",G$4&lt;&gt;""),G$4&amp;"; ","")&amp;IF(AND(H109="✓",H$4&lt;&gt;""),H$4&amp;"; ","")&amp;IF(AND(I109="✓",I$4&lt;&gt;""),I$4&amp;"; ","")&amp;IF(AND(J109="✓",J$4&lt;&gt;""),J$4&amp;"; ","")&amp;IF(AND(K109="✓",K$4&lt;&gt;""),K$4&amp;"; ","")&amp;IF(AND(L109="✓",L$4&lt;&gt;""),L$4&amp;"; ","")&amp;IF(AND(M109="✓",M$4&lt;&gt;""),M$4&amp;"; ","")&amp;IF(AND(N109="✓",N$4&lt;&gt;""),N$4&amp;"; ","")&amp;IF(AND(O109="✓",O$4&lt;&gt;""),O$4&amp;"; ","")&amp;IF(AND(P109="✓",P$4&lt;&gt;""),P$4&amp;"; ","")&amp;IF(AND(Q109="✓",Q$4&lt;&gt;""),Q$4&amp;"; ","")&amp;IF(AND(R109="✓",R$4&lt;&gt;""),R$4&amp;"; ","")&amp;IF(AND(S109="✓",S$4&lt;&gt;""),S$4&amp;"; ","")&amp;IF(AND(T109="✓",T$4&lt;&gt;""),T$4&amp;"; ","")&amp;IF(AND(U109="✓",U$4&lt;&gt;""),U$4&amp;"; ","")&amp;IF(AND(V109="✓",V$4&lt;&gt;""),V$4&amp;"; ","")&amp;IF(AND(W109="✓",W$4&lt;&gt;""),W$4&amp;"; ","")&amp;IF(AND(X109="✓",X$4&lt;&gt;""),X$4&amp;"; ","")&amp;IF(AND(Y109="✓",Y$4&lt;&gt;""),Y$4&amp;"; ","")&amp;IF(AND(Z109="✓",Z$4&lt;&gt;""),Z$4&amp;"; ","")&amp;IF(AND(AA109="✓",AA$4&lt;&gt;""),AA$4&amp;"; ","")&amp;IF(AND(AB109="✓",AB$4&lt;&gt;""),AB$4&amp;"; ","")&amp;IF(AND(AC109="✓",AC$4&lt;&gt;""),AC$4&amp;"; ","")&amp;IF(AND(AD109="✓",AD$4&lt;&gt;""),AD$4&amp;"; ","")&amp;IF(AND(AE109="✓",AE$4&lt;&gt;""),AE$4&amp;"; ","")&amp;IF(AND(AF109="✓",AF$4&lt;&gt;""),AF$4&amp;"; ","")&amp;IF(AND(AG109="✓",AG$4&lt;&gt;""),AG$4&amp;"; ","")&amp;IF(AND(AH109="✓",AH$4&lt;&gt;""),AH$4&amp;"; ","")&amp;IF(AND(AI109="✓",AI$4&lt;&gt;""),AI$4&amp;"; ","")&amp;IF(AND(AJ109="✓",AJ$4&lt;&gt;""),AJ$4&amp;"; ","")&amp;IF(AND(AK109="✓",AK$4&lt;&gt;""),AK$4&amp;"; ","")&amp;IF(AND(AL109="✓",AL$4&lt;&gt;""),AL$4&amp;"; ","")&amp;IF(AND(AM109="✓",AM$4&lt;&gt;""),AM$4&amp;"; ","")&amp;IF(AND(AN109="✓",AN$4&lt;&gt;""),AN$4&amp;"; ","")&amp;IF(AND(AO109="✓",AO$4&lt;&gt;""),AO$4&amp;"; ","")&amp;IF(AND(AP109="✓",AP$4&lt;&gt;""),AP$4&amp;"; ","")&amp;IF(AND(AQ109="✓",AQ$4&lt;&gt;""),AQ$4&amp;"; ","")&amp;IF(AND(AR109="✓",AR$4&lt;&gt;""),AR$4&amp;"; ","")&amp;IF(AND(AS109="✓",AS$4&lt;&gt;""),AS$4&amp;"; ","")&amp;IF(AND(AT109="✓",AT$4&lt;&gt;""),AT$4&amp;"; ","")&amp;IF(AND(AU109="✓",AU$4&lt;&gt;""),AU$4&amp;"; ","")&amp;IF(AND(AV109="✓",AV$4&lt;&gt;""),AV$4&amp;"; ","")&amp;IF(AND(AW109="✓",AW$4&lt;&gt;""),AW$4&amp;"; ","")&amp;IF(AND(AX109="✓",AX$4&lt;&gt;""),AX$4&amp;"; ","")&amp;IF(AND(AY109="✓",AY$4&lt;&gt;""),AY$4&amp;"; ","")&amp;IF(AND(AZ109="✓",AZ$4&lt;&gt;""),AZ$4&amp;"; ","")&amp;IF(AND(BA109="✓",BA$4&lt;&gt;""),BA$4&amp;"; ","")&amp;IF(AND(BB109="✓",BB$4&lt;&gt;""),BB$4&amp;"; ","")&amp;IF(AND(BC109="✓",BC$4&lt;&gt;""),BC$4&amp;"; ","")&amp;IF(AND(BD109="✓",BD$4&lt;&gt;""),BD$4&amp;"; ","")&amp;IF(AND(BE109="✓",BE$4&lt;&gt;""),BE$4&amp;"; ","")&amp;IF(AND(BF109="✓",BF$4&lt;&gt;""),BF$4&amp;"; ","")&amp;IF(AND(BG109="✓",BG$4&lt;&gt;""),BG$4&amp;"; ","")&amp;IF(AND(BH109="✓",BH$4&lt;&gt;""),BH$4&amp;"; ","")&amp;IF(AND(BI109="✓",BI$4&lt;&gt;""),BI$4&amp;"; ","")&amp;IF(AND(BJ109="✓",BJ$4&lt;&gt;""),BJ$4&amp;"; ","")&amp;IF(AND(BK109="✓",BK$4&lt;&gt;""),BK$4&amp;"; ","")&amp;IF(AND(BL109="✓",BL$4&lt;&gt;""),BL$4&amp;"; ","")&amp;IF(AND(BM109="✓",BM$4&lt;&gt;""),BM$4&amp;"; ","")&amp;IF(AND(BN109="✓",BN$4&lt;&gt;""),BN$4&amp;"; ","")&amp;IF(AND(BO109="✓",BO$4&lt;&gt;""),BO$4&amp;"; ","")&amp;IF(AND(BP109="✓",BP$4&lt;&gt;""),BP$4&amp;"; ","")&amp;IF(AND(BQ109="✓",BQ$4&lt;&gt;""),BQ$4&amp;"; ","")&amp;IF(AND(BR109="✓",BR$4&lt;&gt;""),BR$4&amp;"; ","")&amp;IF(AND(BS109="✓",BS$4&lt;&gt;""),BS$4&amp;"; ","")&amp;IF(AND(BT109="✓",BT$4&lt;&gt;""),BT$4&amp;"; ","")&amp;IF(AND(BU109="✓",BU$4&lt;&gt;""),BU$4&amp;"; ","")&amp;IF(AND(BV109="✓",BV$4&lt;&gt;""),BV$4&amp;"; ","")&amp;IF(AND(BW109="✓",BW$4&lt;&gt;""),BW$4&amp;"; ","")&amp;IF(AND(BX109="✓",BX$4&lt;&gt;""),BX$4&amp;"; ","")&amp;IF(AND(BY109="✓",BY$4&lt;&gt;""),BY$4&amp;"; ","")&amp;IF(AND(BZ109="✓",BZ$4&lt;&gt;""),BZ$4&amp;"; ","")&amp;IF(AND(CA109="✓",CA$4&lt;&gt;""),CA$4&amp;"; ","")&amp;IF(AND(CB109="✓",CB$4&lt;&gt;""),CB$4&amp;"; ","")&amp;IF(AND(CC109="✓",CC$4&lt;&gt;""),CC$4&amp;"; ","")&amp;IF(AND(CD109="✓",CD$4&lt;&gt;""),CD$4&amp;"; ","")&amp;IF(AND(CE109="✓",CE$4&lt;&gt;""),CE$4&amp;"; ","")&amp;IF(AND(CF109="✓",CF$4&lt;&gt;""),CF$4&amp;"; ","")&amp;IF(AND(CG109="✓",CG$4&lt;&gt;""),CG$4&amp;"; ","")&amp;IF(AND(CH109="✓",CH$4&lt;&gt;""),CH$4&amp;"; ","")&amp;IF(AND(CI109="✓",CI$4&lt;&gt;""),CI$4&amp;"; ","")&amp;IF(AND(CJ109="✓",CJ$4&lt;&gt;""),CJ$4&amp;"; ","")&amp;IF(AND(CK109="✓",CK$4&lt;&gt;""),CK$4&amp;"; ","")&amp;IF(AND(CL109="✓",CL$4&lt;&gt;""),CL$4&amp;"; ","")&amp;IF(AND(CM109="✓",CM$4&lt;&gt;""),CM$4&amp;"; ","")&amp;IF(AND(CN109="✓",CN$4&lt;&gt;""),CN$4&amp;"; ","")&amp;IF(AND(CO109="✓",CO$4&lt;&gt;""),CO$4&amp;"; ","")</f>
        <v/>
      </c>
      <c r="CQ109" s="104" t="str">
        <f aca="false">IF($CP109="","",LEFT($CP109,LEN($CP109)-2))</f>
        <v/>
      </c>
      <c r="CR109" s="234" t="str">
        <f aca="false">IF($A109="","",COUNTIF($D109:$CO109,"✓"))</f>
        <v/>
      </c>
    </row>
    <row r="110" customFormat="false" ht="21.75" hidden="false" customHeight="true" outlineLevel="0" collapsed="false">
      <c r="A110" s="231" t="str">
        <f aca="false">IF(03_能力總表_Master!$A110="","",03_能力總表_Master!$A110)</f>
        <v/>
      </c>
      <c r="B110" s="166" t="str">
        <f aca="false">IF(03_能力總表_Master!$A110="","",03_能力總表_Master!$B110)</f>
        <v/>
      </c>
      <c r="C110" s="95" t="str">
        <f aca="false">IF(03_能力總表_Master!$A110="","",03_能力總表_Master!$E110)</f>
        <v/>
      </c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32"/>
      <c r="AQ110" s="232"/>
      <c r="AR110" s="232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232"/>
      <c r="BH110" s="232"/>
      <c r="BI110" s="232"/>
      <c r="BJ110" s="232"/>
      <c r="BK110" s="232"/>
      <c r="BL110" s="232"/>
      <c r="BM110" s="232"/>
      <c r="BN110" s="232"/>
      <c r="BO110" s="232"/>
      <c r="BP110" s="232"/>
      <c r="BQ110" s="232"/>
      <c r="BR110" s="232"/>
      <c r="BS110" s="232"/>
      <c r="BT110" s="232"/>
      <c r="BU110" s="232"/>
      <c r="BV110" s="232"/>
      <c r="BW110" s="232"/>
      <c r="BX110" s="232"/>
      <c r="BY110" s="232"/>
      <c r="BZ110" s="232"/>
      <c r="CA110" s="232"/>
      <c r="CB110" s="232"/>
      <c r="CC110" s="232"/>
      <c r="CD110" s="232"/>
      <c r="CE110" s="232"/>
      <c r="CF110" s="232"/>
      <c r="CG110" s="232"/>
      <c r="CH110" s="232"/>
      <c r="CI110" s="232"/>
      <c r="CJ110" s="232"/>
      <c r="CK110" s="232"/>
      <c r="CL110" s="232"/>
      <c r="CM110" s="232"/>
      <c r="CN110" s="232"/>
      <c r="CO110" s="232"/>
      <c r="CP110" s="233" t="str">
        <f aca="false">IF(AND(D110="✓",D$4&lt;&gt;""),D$4&amp;"; ","")&amp;IF(AND(E110="✓",E$4&lt;&gt;""),E$4&amp;"; ","")&amp;IF(AND(F110="✓",F$4&lt;&gt;""),F$4&amp;"; ","")&amp;IF(AND(G110="✓",G$4&lt;&gt;""),G$4&amp;"; ","")&amp;IF(AND(H110="✓",H$4&lt;&gt;""),H$4&amp;"; ","")&amp;IF(AND(I110="✓",I$4&lt;&gt;""),I$4&amp;"; ","")&amp;IF(AND(J110="✓",J$4&lt;&gt;""),J$4&amp;"; ","")&amp;IF(AND(K110="✓",K$4&lt;&gt;""),K$4&amp;"; ","")&amp;IF(AND(L110="✓",L$4&lt;&gt;""),L$4&amp;"; ","")&amp;IF(AND(M110="✓",M$4&lt;&gt;""),M$4&amp;"; ","")&amp;IF(AND(N110="✓",N$4&lt;&gt;""),N$4&amp;"; ","")&amp;IF(AND(O110="✓",O$4&lt;&gt;""),O$4&amp;"; ","")&amp;IF(AND(P110="✓",P$4&lt;&gt;""),P$4&amp;"; ","")&amp;IF(AND(Q110="✓",Q$4&lt;&gt;""),Q$4&amp;"; ","")&amp;IF(AND(R110="✓",R$4&lt;&gt;""),R$4&amp;"; ","")&amp;IF(AND(S110="✓",S$4&lt;&gt;""),S$4&amp;"; ","")&amp;IF(AND(T110="✓",T$4&lt;&gt;""),T$4&amp;"; ","")&amp;IF(AND(U110="✓",U$4&lt;&gt;""),U$4&amp;"; ","")&amp;IF(AND(V110="✓",V$4&lt;&gt;""),V$4&amp;"; ","")&amp;IF(AND(W110="✓",W$4&lt;&gt;""),W$4&amp;"; ","")&amp;IF(AND(X110="✓",X$4&lt;&gt;""),X$4&amp;"; ","")&amp;IF(AND(Y110="✓",Y$4&lt;&gt;""),Y$4&amp;"; ","")&amp;IF(AND(Z110="✓",Z$4&lt;&gt;""),Z$4&amp;"; ","")&amp;IF(AND(AA110="✓",AA$4&lt;&gt;""),AA$4&amp;"; ","")&amp;IF(AND(AB110="✓",AB$4&lt;&gt;""),AB$4&amp;"; ","")&amp;IF(AND(AC110="✓",AC$4&lt;&gt;""),AC$4&amp;"; ","")&amp;IF(AND(AD110="✓",AD$4&lt;&gt;""),AD$4&amp;"; ","")&amp;IF(AND(AE110="✓",AE$4&lt;&gt;""),AE$4&amp;"; ","")&amp;IF(AND(AF110="✓",AF$4&lt;&gt;""),AF$4&amp;"; ","")&amp;IF(AND(AG110="✓",AG$4&lt;&gt;""),AG$4&amp;"; ","")&amp;IF(AND(AH110="✓",AH$4&lt;&gt;""),AH$4&amp;"; ","")&amp;IF(AND(AI110="✓",AI$4&lt;&gt;""),AI$4&amp;"; ","")&amp;IF(AND(AJ110="✓",AJ$4&lt;&gt;""),AJ$4&amp;"; ","")&amp;IF(AND(AK110="✓",AK$4&lt;&gt;""),AK$4&amp;"; ","")&amp;IF(AND(AL110="✓",AL$4&lt;&gt;""),AL$4&amp;"; ","")&amp;IF(AND(AM110="✓",AM$4&lt;&gt;""),AM$4&amp;"; ","")&amp;IF(AND(AN110="✓",AN$4&lt;&gt;""),AN$4&amp;"; ","")&amp;IF(AND(AO110="✓",AO$4&lt;&gt;""),AO$4&amp;"; ","")&amp;IF(AND(AP110="✓",AP$4&lt;&gt;""),AP$4&amp;"; ","")&amp;IF(AND(AQ110="✓",AQ$4&lt;&gt;""),AQ$4&amp;"; ","")&amp;IF(AND(AR110="✓",AR$4&lt;&gt;""),AR$4&amp;"; ","")&amp;IF(AND(AS110="✓",AS$4&lt;&gt;""),AS$4&amp;"; ","")&amp;IF(AND(AT110="✓",AT$4&lt;&gt;""),AT$4&amp;"; ","")&amp;IF(AND(AU110="✓",AU$4&lt;&gt;""),AU$4&amp;"; ","")&amp;IF(AND(AV110="✓",AV$4&lt;&gt;""),AV$4&amp;"; ","")&amp;IF(AND(AW110="✓",AW$4&lt;&gt;""),AW$4&amp;"; ","")&amp;IF(AND(AX110="✓",AX$4&lt;&gt;""),AX$4&amp;"; ","")&amp;IF(AND(AY110="✓",AY$4&lt;&gt;""),AY$4&amp;"; ","")&amp;IF(AND(AZ110="✓",AZ$4&lt;&gt;""),AZ$4&amp;"; ","")&amp;IF(AND(BA110="✓",BA$4&lt;&gt;""),BA$4&amp;"; ","")&amp;IF(AND(BB110="✓",BB$4&lt;&gt;""),BB$4&amp;"; ","")&amp;IF(AND(BC110="✓",BC$4&lt;&gt;""),BC$4&amp;"; ","")&amp;IF(AND(BD110="✓",BD$4&lt;&gt;""),BD$4&amp;"; ","")&amp;IF(AND(BE110="✓",BE$4&lt;&gt;""),BE$4&amp;"; ","")&amp;IF(AND(BF110="✓",BF$4&lt;&gt;""),BF$4&amp;"; ","")&amp;IF(AND(BG110="✓",BG$4&lt;&gt;""),BG$4&amp;"; ","")&amp;IF(AND(BH110="✓",BH$4&lt;&gt;""),BH$4&amp;"; ","")&amp;IF(AND(BI110="✓",BI$4&lt;&gt;""),BI$4&amp;"; ","")&amp;IF(AND(BJ110="✓",BJ$4&lt;&gt;""),BJ$4&amp;"; ","")&amp;IF(AND(BK110="✓",BK$4&lt;&gt;""),BK$4&amp;"; ","")&amp;IF(AND(BL110="✓",BL$4&lt;&gt;""),BL$4&amp;"; ","")&amp;IF(AND(BM110="✓",BM$4&lt;&gt;""),BM$4&amp;"; ","")&amp;IF(AND(BN110="✓",BN$4&lt;&gt;""),BN$4&amp;"; ","")&amp;IF(AND(BO110="✓",BO$4&lt;&gt;""),BO$4&amp;"; ","")&amp;IF(AND(BP110="✓",BP$4&lt;&gt;""),BP$4&amp;"; ","")&amp;IF(AND(BQ110="✓",BQ$4&lt;&gt;""),BQ$4&amp;"; ","")&amp;IF(AND(BR110="✓",BR$4&lt;&gt;""),BR$4&amp;"; ","")&amp;IF(AND(BS110="✓",BS$4&lt;&gt;""),BS$4&amp;"; ","")&amp;IF(AND(BT110="✓",BT$4&lt;&gt;""),BT$4&amp;"; ","")&amp;IF(AND(BU110="✓",BU$4&lt;&gt;""),BU$4&amp;"; ","")&amp;IF(AND(BV110="✓",BV$4&lt;&gt;""),BV$4&amp;"; ","")&amp;IF(AND(BW110="✓",BW$4&lt;&gt;""),BW$4&amp;"; ","")&amp;IF(AND(BX110="✓",BX$4&lt;&gt;""),BX$4&amp;"; ","")&amp;IF(AND(BY110="✓",BY$4&lt;&gt;""),BY$4&amp;"; ","")&amp;IF(AND(BZ110="✓",BZ$4&lt;&gt;""),BZ$4&amp;"; ","")&amp;IF(AND(CA110="✓",CA$4&lt;&gt;""),CA$4&amp;"; ","")&amp;IF(AND(CB110="✓",CB$4&lt;&gt;""),CB$4&amp;"; ","")&amp;IF(AND(CC110="✓",CC$4&lt;&gt;""),CC$4&amp;"; ","")&amp;IF(AND(CD110="✓",CD$4&lt;&gt;""),CD$4&amp;"; ","")&amp;IF(AND(CE110="✓",CE$4&lt;&gt;""),CE$4&amp;"; ","")&amp;IF(AND(CF110="✓",CF$4&lt;&gt;""),CF$4&amp;"; ","")&amp;IF(AND(CG110="✓",CG$4&lt;&gt;""),CG$4&amp;"; ","")&amp;IF(AND(CH110="✓",CH$4&lt;&gt;""),CH$4&amp;"; ","")&amp;IF(AND(CI110="✓",CI$4&lt;&gt;""),CI$4&amp;"; ","")&amp;IF(AND(CJ110="✓",CJ$4&lt;&gt;""),CJ$4&amp;"; ","")&amp;IF(AND(CK110="✓",CK$4&lt;&gt;""),CK$4&amp;"; ","")&amp;IF(AND(CL110="✓",CL$4&lt;&gt;""),CL$4&amp;"; ","")&amp;IF(AND(CM110="✓",CM$4&lt;&gt;""),CM$4&amp;"; ","")&amp;IF(AND(CN110="✓",CN$4&lt;&gt;""),CN$4&amp;"; ","")&amp;IF(AND(CO110="✓",CO$4&lt;&gt;""),CO$4&amp;"; ","")</f>
        <v/>
      </c>
      <c r="CQ110" s="104" t="str">
        <f aca="false">IF($CP110="","",LEFT($CP110,LEN($CP110)-2))</f>
        <v/>
      </c>
      <c r="CR110" s="234" t="str">
        <f aca="false">IF($A110="","",COUNTIF($D110:$CO110,"✓"))</f>
        <v/>
      </c>
    </row>
    <row r="111" customFormat="false" ht="21.75" hidden="false" customHeight="true" outlineLevel="0" collapsed="false">
      <c r="A111" s="231" t="str">
        <f aca="false">IF(03_能力總表_Master!$A111="","",03_能力總表_Master!$A111)</f>
        <v/>
      </c>
      <c r="B111" s="166" t="str">
        <f aca="false">IF(03_能力總表_Master!$A111="","",03_能力總表_Master!$B111)</f>
        <v/>
      </c>
      <c r="C111" s="95" t="str">
        <f aca="false">IF(03_能力總表_Master!$A111="","",03_能力總表_Master!$E111)</f>
        <v/>
      </c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32"/>
      <c r="AQ111" s="232"/>
      <c r="AR111" s="232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232"/>
      <c r="BH111" s="232"/>
      <c r="BI111" s="232"/>
      <c r="BJ111" s="232"/>
      <c r="BK111" s="232"/>
      <c r="BL111" s="232"/>
      <c r="BM111" s="232"/>
      <c r="BN111" s="232"/>
      <c r="BO111" s="232"/>
      <c r="BP111" s="232"/>
      <c r="BQ111" s="232"/>
      <c r="BR111" s="232"/>
      <c r="BS111" s="232"/>
      <c r="BT111" s="232"/>
      <c r="BU111" s="232"/>
      <c r="BV111" s="232"/>
      <c r="BW111" s="232"/>
      <c r="BX111" s="232"/>
      <c r="BY111" s="232"/>
      <c r="BZ111" s="232"/>
      <c r="CA111" s="232"/>
      <c r="CB111" s="232"/>
      <c r="CC111" s="232"/>
      <c r="CD111" s="232"/>
      <c r="CE111" s="232"/>
      <c r="CF111" s="232"/>
      <c r="CG111" s="232"/>
      <c r="CH111" s="232"/>
      <c r="CI111" s="232"/>
      <c r="CJ111" s="232"/>
      <c r="CK111" s="232"/>
      <c r="CL111" s="232"/>
      <c r="CM111" s="232"/>
      <c r="CN111" s="232"/>
      <c r="CO111" s="232"/>
      <c r="CP111" s="233" t="str">
        <f aca="false">IF(AND(D111="✓",D$4&lt;&gt;""),D$4&amp;"; ","")&amp;IF(AND(E111="✓",E$4&lt;&gt;""),E$4&amp;"; ","")&amp;IF(AND(F111="✓",F$4&lt;&gt;""),F$4&amp;"; ","")&amp;IF(AND(G111="✓",G$4&lt;&gt;""),G$4&amp;"; ","")&amp;IF(AND(H111="✓",H$4&lt;&gt;""),H$4&amp;"; ","")&amp;IF(AND(I111="✓",I$4&lt;&gt;""),I$4&amp;"; ","")&amp;IF(AND(J111="✓",J$4&lt;&gt;""),J$4&amp;"; ","")&amp;IF(AND(K111="✓",K$4&lt;&gt;""),K$4&amp;"; ","")&amp;IF(AND(L111="✓",L$4&lt;&gt;""),L$4&amp;"; ","")&amp;IF(AND(M111="✓",M$4&lt;&gt;""),M$4&amp;"; ","")&amp;IF(AND(N111="✓",N$4&lt;&gt;""),N$4&amp;"; ","")&amp;IF(AND(O111="✓",O$4&lt;&gt;""),O$4&amp;"; ","")&amp;IF(AND(P111="✓",P$4&lt;&gt;""),P$4&amp;"; ","")&amp;IF(AND(Q111="✓",Q$4&lt;&gt;""),Q$4&amp;"; ","")&amp;IF(AND(R111="✓",R$4&lt;&gt;""),R$4&amp;"; ","")&amp;IF(AND(S111="✓",S$4&lt;&gt;""),S$4&amp;"; ","")&amp;IF(AND(T111="✓",T$4&lt;&gt;""),T$4&amp;"; ","")&amp;IF(AND(U111="✓",U$4&lt;&gt;""),U$4&amp;"; ","")&amp;IF(AND(V111="✓",V$4&lt;&gt;""),V$4&amp;"; ","")&amp;IF(AND(W111="✓",W$4&lt;&gt;""),W$4&amp;"; ","")&amp;IF(AND(X111="✓",X$4&lt;&gt;""),X$4&amp;"; ","")&amp;IF(AND(Y111="✓",Y$4&lt;&gt;""),Y$4&amp;"; ","")&amp;IF(AND(Z111="✓",Z$4&lt;&gt;""),Z$4&amp;"; ","")&amp;IF(AND(AA111="✓",AA$4&lt;&gt;""),AA$4&amp;"; ","")&amp;IF(AND(AB111="✓",AB$4&lt;&gt;""),AB$4&amp;"; ","")&amp;IF(AND(AC111="✓",AC$4&lt;&gt;""),AC$4&amp;"; ","")&amp;IF(AND(AD111="✓",AD$4&lt;&gt;""),AD$4&amp;"; ","")&amp;IF(AND(AE111="✓",AE$4&lt;&gt;""),AE$4&amp;"; ","")&amp;IF(AND(AF111="✓",AF$4&lt;&gt;""),AF$4&amp;"; ","")&amp;IF(AND(AG111="✓",AG$4&lt;&gt;""),AG$4&amp;"; ","")&amp;IF(AND(AH111="✓",AH$4&lt;&gt;""),AH$4&amp;"; ","")&amp;IF(AND(AI111="✓",AI$4&lt;&gt;""),AI$4&amp;"; ","")&amp;IF(AND(AJ111="✓",AJ$4&lt;&gt;""),AJ$4&amp;"; ","")&amp;IF(AND(AK111="✓",AK$4&lt;&gt;""),AK$4&amp;"; ","")&amp;IF(AND(AL111="✓",AL$4&lt;&gt;""),AL$4&amp;"; ","")&amp;IF(AND(AM111="✓",AM$4&lt;&gt;""),AM$4&amp;"; ","")&amp;IF(AND(AN111="✓",AN$4&lt;&gt;""),AN$4&amp;"; ","")&amp;IF(AND(AO111="✓",AO$4&lt;&gt;""),AO$4&amp;"; ","")&amp;IF(AND(AP111="✓",AP$4&lt;&gt;""),AP$4&amp;"; ","")&amp;IF(AND(AQ111="✓",AQ$4&lt;&gt;""),AQ$4&amp;"; ","")&amp;IF(AND(AR111="✓",AR$4&lt;&gt;""),AR$4&amp;"; ","")&amp;IF(AND(AS111="✓",AS$4&lt;&gt;""),AS$4&amp;"; ","")&amp;IF(AND(AT111="✓",AT$4&lt;&gt;""),AT$4&amp;"; ","")&amp;IF(AND(AU111="✓",AU$4&lt;&gt;""),AU$4&amp;"; ","")&amp;IF(AND(AV111="✓",AV$4&lt;&gt;""),AV$4&amp;"; ","")&amp;IF(AND(AW111="✓",AW$4&lt;&gt;""),AW$4&amp;"; ","")&amp;IF(AND(AX111="✓",AX$4&lt;&gt;""),AX$4&amp;"; ","")&amp;IF(AND(AY111="✓",AY$4&lt;&gt;""),AY$4&amp;"; ","")&amp;IF(AND(AZ111="✓",AZ$4&lt;&gt;""),AZ$4&amp;"; ","")&amp;IF(AND(BA111="✓",BA$4&lt;&gt;""),BA$4&amp;"; ","")&amp;IF(AND(BB111="✓",BB$4&lt;&gt;""),BB$4&amp;"; ","")&amp;IF(AND(BC111="✓",BC$4&lt;&gt;""),BC$4&amp;"; ","")&amp;IF(AND(BD111="✓",BD$4&lt;&gt;""),BD$4&amp;"; ","")&amp;IF(AND(BE111="✓",BE$4&lt;&gt;""),BE$4&amp;"; ","")&amp;IF(AND(BF111="✓",BF$4&lt;&gt;""),BF$4&amp;"; ","")&amp;IF(AND(BG111="✓",BG$4&lt;&gt;""),BG$4&amp;"; ","")&amp;IF(AND(BH111="✓",BH$4&lt;&gt;""),BH$4&amp;"; ","")&amp;IF(AND(BI111="✓",BI$4&lt;&gt;""),BI$4&amp;"; ","")&amp;IF(AND(BJ111="✓",BJ$4&lt;&gt;""),BJ$4&amp;"; ","")&amp;IF(AND(BK111="✓",BK$4&lt;&gt;""),BK$4&amp;"; ","")&amp;IF(AND(BL111="✓",BL$4&lt;&gt;""),BL$4&amp;"; ","")&amp;IF(AND(BM111="✓",BM$4&lt;&gt;""),BM$4&amp;"; ","")&amp;IF(AND(BN111="✓",BN$4&lt;&gt;""),BN$4&amp;"; ","")&amp;IF(AND(BO111="✓",BO$4&lt;&gt;""),BO$4&amp;"; ","")&amp;IF(AND(BP111="✓",BP$4&lt;&gt;""),BP$4&amp;"; ","")&amp;IF(AND(BQ111="✓",BQ$4&lt;&gt;""),BQ$4&amp;"; ","")&amp;IF(AND(BR111="✓",BR$4&lt;&gt;""),BR$4&amp;"; ","")&amp;IF(AND(BS111="✓",BS$4&lt;&gt;""),BS$4&amp;"; ","")&amp;IF(AND(BT111="✓",BT$4&lt;&gt;""),BT$4&amp;"; ","")&amp;IF(AND(BU111="✓",BU$4&lt;&gt;""),BU$4&amp;"; ","")&amp;IF(AND(BV111="✓",BV$4&lt;&gt;""),BV$4&amp;"; ","")&amp;IF(AND(BW111="✓",BW$4&lt;&gt;""),BW$4&amp;"; ","")&amp;IF(AND(BX111="✓",BX$4&lt;&gt;""),BX$4&amp;"; ","")&amp;IF(AND(BY111="✓",BY$4&lt;&gt;""),BY$4&amp;"; ","")&amp;IF(AND(BZ111="✓",BZ$4&lt;&gt;""),BZ$4&amp;"; ","")&amp;IF(AND(CA111="✓",CA$4&lt;&gt;""),CA$4&amp;"; ","")&amp;IF(AND(CB111="✓",CB$4&lt;&gt;""),CB$4&amp;"; ","")&amp;IF(AND(CC111="✓",CC$4&lt;&gt;""),CC$4&amp;"; ","")&amp;IF(AND(CD111="✓",CD$4&lt;&gt;""),CD$4&amp;"; ","")&amp;IF(AND(CE111="✓",CE$4&lt;&gt;""),CE$4&amp;"; ","")&amp;IF(AND(CF111="✓",CF$4&lt;&gt;""),CF$4&amp;"; ","")&amp;IF(AND(CG111="✓",CG$4&lt;&gt;""),CG$4&amp;"; ","")&amp;IF(AND(CH111="✓",CH$4&lt;&gt;""),CH$4&amp;"; ","")&amp;IF(AND(CI111="✓",CI$4&lt;&gt;""),CI$4&amp;"; ","")&amp;IF(AND(CJ111="✓",CJ$4&lt;&gt;""),CJ$4&amp;"; ","")&amp;IF(AND(CK111="✓",CK$4&lt;&gt;""),CK$4&amp;"; ","")&amp;IF(AND(CL111="✓",CL$4&lt;&gt;""),CL$4&amp;"; ","")&amp;IF(AND(CM111="✓",CM$4&lt;&gt;""),CM$4&amp;"; ","")&amp;IF(AND(CN111="✓",CN$4&lt;&gt;""),CN$4&amp;"; ","")&amp;IF(AND(CO111="✓",CO$4&lt;&gt;""),CO$4&amp;"; ","")</f>
        <v/>
      </c>
      <c r="CQ111" s="104" t="str">
        <f aca="false">IF($CP111="","",LEFT($CP111,LEN($CP111)-2))</f>
        <v/>
      </c>
      <c r="CR111" s="234" t="str">
        <f aca="false">IF($A111="","",COUNTIF($D111:$CO111,"✓"))</f>
        <v/>
      </c>
    </row>
    <row r="112" customFormat="false" ht="21.75" hidden="false" customHeight="true" outlineLevel="0" collapsed="false">
      <c r="A112" s="231" t="str">
        <f aca="false">IF(03_能力總表_Master!$A112="","",03_能力總表_Master!$A112)</f>
        <v/>
      </c>
      <c r="B112" s="166" t="str">
        <f aca="false">IF(03_能力總表_Master!$A112="","",03_能力總表_Master!$B112)</f>
        <v/>
      </c>
      <c r="C112" s="95" t="str">
        <f aca="false">IF(03_能力總表_Master!$A112="","",03_能力總表_Master!$E112)</f>
        <v/>
      </c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32"/>
      <c r="AQ112" s="232"/>
      <c r="AR112" s="232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232"/>
      <c r="BH112" s="232"/>
      <c r="BI112" s="232"/>
      <c r="BJ112" s="232"/>
      <c r="BK112" s="232"/>
      <c r="BL112" s="232"/>
      <c r="BM112" s="232"/>
      <c r="BN112" s="232"/>
      <c r="BO112" s="232"/>
      <c r="BP112" s="232"/>
      <c r="BQ112" s="232"/>
      <c r="BR112" s="232"/>
      <c r="BS112" s="232"/>
      <c r="BT112" s="232"/>
      <c r="BU112" s="232"/>
      <c r="BV112" s="232"/>
      <c r="BW112" s="232"/>
      <c r="BX112" s="232"/>
      <c r="BY112" s="232"/>
      <c r="BZ112" s="232"/>
      <c r="CA112" s="232"/>
      <c r="CB112" s="232"/>
      <c r="CC112" s="232"/>
      <c r="CD112" s="232"/>
      <c r="CE112" s="232"/>
      <c r="CF112" s="232"/>
      <c r="CG112" s="232"/>
      <c r="CH112" s="232"/>
      <c r="CI112" s="232"/>
      <c r="CJ112" s="232"/>
      <c r="CK112" s="232"/>
      <c r="CL112" s="232"/>
      <c r="CM112" s="232"/>
      <c r="CN112" s="232"/>
      <c r="CO112" s="232"/>
      <c r="CP112" s="233" t="str">
        <f aca="false">IF(AND(D112="✓",D$4&lt;&gt;""),D$4&amp;"; ","")&amp;IF(AND(E112="✓",E$4&lt;&gt;""),E$4&amp;"; ","")&amp;IF(AND(F112="✓",F$4&lt;&gt;""),F$4&amp;"; ","")&amp;IF(AND(G112="✓",G$4&lt;&gt;""),G$4&amp;"; ","")&amp;IF(AND(H112="✓",H$4&lt;&gt;""),H$4&amp;"; ","")&amp;IF(AND(I112="✓",I$4&lt;&gt;""),I$4&amp;"; ","")&amp;IF(AND(J112="✓",J$4&lt;&gt;""),J$4&amp;"; ","")&amp;IF(AND(K112="✓",K$4&lt;&gt;""),K$4&amp;"; ","")&amp;IF(AND(L112="✓",L$4&lt;&gt;""),L$4&amp;"; ","")&amp;IF(AND(M112="✓",M$4&lt;&gt;""),M$4&amp;"; ","")&amp;IF(AND(N112="✓",N$4&lt;&gt;""),N$4&amp;"; ","")&amp;IF(AND(O112="✓",O$4&lt;&gt;""),O$4&amp;"; ","")&amp;IF(AND(P112="✓",P$4&lt;&gt;""),P$4&amp;"; ","")&amp;IF(AND(Q112="✓",Q$4&lt;&gt;""),Q$4&amp;"; ","")&amp;IF(AND(R112="✓",R$4&lt;&gt;""),R$4&amp;"; ","")&amp;IF(AND(S112="✓",S$4&lt;&gt;""),S$4&amp;"; ","")&amp;IF(AND(T112="✓",T$4&lt;&gt;""),T$4&amp;"; ","")&amp;IF(AND(U112="✓",U$4&lt;&gt;""),U$4&amp;"; ","")&amp;IF(AND(V112="✓",V$4&lt;&gt;""),V$4&amp;"; ","")&amp;IF(AND(W112="✓",W$4&lt;&gt;""),W$4&amp;"; ","")&amp;IF(AND(X112="✓",X$4&lt;&gt;""),X$4&amp;"; ","")&amp;IF(AND(Y112="✓",Y$4&lt;&gt;""),Y$4&amp;"; ","")&amp;IF(AND(Z112="✓",Z$4&lt;&gt;""),Z$4&amp;"; ","")&amp;IF(AND(AA112="✓",AA$4&lt;&gt;""),AA$4&amp;"; ","")&amp;IF(AND(AB112="✓",AB$4&lt;&gt;""),AB$4&amp;"; ","")&amp;IF(AND(AC112="✓",AC$4&lt;&gt;""),AC$4&amp;"; ","")&amp;IF(AND(AD112="✓",AD$4&lt;&gt;""),AD$4&amp;"; ","")&amp;IF(AND(AE112="✓",AE$4&lt;&gt;""),AE$4&amp;"; ","")&amp;IF(AND(AF112="✓",AF$4&lt;&gt;""),AF$4&amp;"; ","")&amp;IF(AND(AG112="✓",AG$4&lt;&gt;""),AG$4&amp;"; ","")&amp;IF(AND(AH112="✓",AH$4&lt;&gt;""),AH$4&amp;"; ","")&amp;IF(AND(AI112="✓",AI$4&lt;&gt;""),AI$4&amp;"; ","")&amp;IF(AND(AJ112="✓",AJ$4&lt;&gt;""),AJ$4&amp;"; ","")&amp;IF(AND(AK112="✓",AK$4&lt;&gt;""),AK$4&amp;"; ","")&amp;IF(AND(AL112="✓",AL$4&lt;&gt;""),AL$4&amp;"; ","")&amp;IF(AND(AM112="✓",AM$4&lt;&gt;""),AM$4&amp;"; ","")&amp;IF(AND(AN112="✓",AN$4&lt;&gt;""),AN$4&amp;"; ","")&amp;IF(AND(AO112="✓",AO$4&lt;&gt;""),AO$4&amp;"; ","")&amp;IF(AND(AP112="✓",AP$4&lt;&gt;""),AP$4&amp;"; ","")&amp;IF(AND(AQ112="✓",AQ$4&lt;&gt;""),AQ$4&amp;"; ","")&amp;IF(AND(AR112="✓",AR$4&lt;&gt;""),AR$4&amp;"; ","")&amp;IF(AND(AS112="✓",AS$4&lt;&gt;""),AS$4&amp;"; ","")&amp;IF(AND(AT112="✓",AT$4&lt;&gt;""),AT$4&amp;"; ","")&amp;IF(AND(AU112="✓",AU$4&lt;&gt;""),AU$4&amp;"; ","")&amp;IF(AND(AV112="✓",AV$4&lt;&gt;""),AV$4&amp;"; ","")&amp;IF(AND(AW112="✓",AW$4&lt;&gt;""),AW$4&amp;"; ","")&amp;IF(AND(AX112="✓",AX$4&lt;&gt;""),AX$4&amp;"; ","")&amp;IF(AND(AY112="✓",AY$4&lt;&gt;""),AY$4&amp;"; ","")&amp;IF(AND(AZ112="✓",AZ$4&lt;&gt;""),AZ$4&amp;"; ","")&amp;IF(AND(BA112="✓",BA$4&lt;&gt;""),BA$4&amp;"; ","")&amp;IF(AND(BB112="✓",BB$4&lt;&gt;""),BB$4&amp;"; ","")&amp;IF(AND(BC112="✓",BC$4&lt;&gt;""),BC$4&amp;"; ","")&amp;IF(AND(BD112="✓",BD$4&lt;&gt;""),BD$4&amp;"; ","")&amp;IF(AND(BE112="✓",BE$4&lt;&gt;""),BE$4&amp;"; ","")&amp;IF(AND(BF112="✓",BF$4&lt;&gt;""),BF$4&amp;"; ","")&amp;IF(AND(BG112="✓",BG$4&lt;&gt;""),BG$4&amp;"; ","")&amp;IF(AND(BH112="✓",BH$4&lt;&gt;""),BH$4&amp;"; ","")&amp;IF(AND(BI112="✓",BI$4&lt;&gt;""),BI$4&amp;"; ","")&amp;IF(AND(BJ112="✓",BJ$4&lt;&gt;""),BJ$4&amp;"; ","")&amp;IF(AND(BK112="✓",BK$4&lt;&gt;""),BK$4&amp;"; ","")&amp;IF(AND(BL112="✓",BL$4&lt;&gt;""),BL$4&amp;"; ","")&amp;IF(AND(BM112="✓",BM$4&lt;&gt;""),BM$4&amp;"; ","")&amp;IF(AND(BN112="✓",BN$4&lt;&gt;""),BN$4&amp;"; ","")&amp;IF(AND(BO112="✓",BO$4&lt;&gt;""),BO$4&amp;"; ","")&amp;IF(AND(BP112="✓",BP$4&lt;&gt;""),BP$4&amp;"; ","")&amp;IF(AND(BQ112="✓",BQ$4&lt;&gt;""),BQ$4&amp;"; ","")&amp;IF(AND(BR112="✓",BR$4&lt;&gt;""),BR$4&amp;"; ","")&amp;IF(AND(BS112="✓",BS$4&lt;&gt;""),BS$4&amp;"; ","")&amp;IF(AND(BT112="✓",BT$4&lt;&gt;""),BT$4&amp;"; ","")&amp;IF(AND(BU112="✓",BU$4&lt;&gt;""),BU$4&amp;"; ","")&amp;IF(AND(BV112="✓",BV$4&lt;&gt;""),BV$4&amp;"; ","")&amp;IF(AND(BW112="✓",BW$4&lt;&gt;""),BW$4&amp;"; ","")&amp;IF(AND(BX112="✓",BX$4&lt;&gt;""),BX$4&amp;"; ","")&amp;IF(AND(BY112="✓",BY$4&lt;&gt;""),BY$4&amp;"; ","")&amp;IF(AND(BZ112="✓",BZ$4&lt;&gt;""),BZ$4&amp;"; ","")&amp;IF(AND(CA112="✓",CA$4&lt;&gt;""),CA$4&amp;"; ","")&amp;IF(AND(CB112="✓",CB$4&lt;&gt;""),CB$4&amp;"; ","")&amp;IF(AND(CC112="✓",CC$4&lt;&gt;""),CC$4&amp;"; ","")&amp;IF(AND(CD112="✓",CD$4&lt;&gt;""),CD$4&amp;"; ","")&amp;IF(AND(CE112="✓",CE$4&lt;&gt;""),CE$4&amp;"; ","")&amp;IF(AND(CF112="✓",CF$4&lt;&gt;""),CF$4&amp;"; ","")&amp;IF(AND(CG112="✓",CG$4&lt;&gt;""),CG$4&amp;"; ","")&amp;IF(AND(CH112="✓",CH$4&lt;&gt;""),CH$4&amp;"; ","")&amp;IF(AND(CI112="✓",CI$4&lt;&gt;""),CI$4&amp;"; ","")&amp;IF(AND(CJ112="✓",CJ$4&lt;&gt;""),CJ$4&amp;"; ","")&amp;IF(AND(CK112="✓",CK$4&lt;&gt;""),CK$4&amp;"; ","")&amp;IF(AND(CL112="✓",CL$4&lt;&gt;""),CL$4&amp;"; ","")&amp;IF(AND(CM112="✓",CM$4&lt;&gt;""),CM$4&amp;"; ","")&amp;IF(AND(CN112="✓",CN$4&lt;&gt;""),CN$4&amp;"; ","")&amp;IF(AND(CO112="✓",CO$4&lt;&gt;""),CO$4&amp;"; ","")</f>
        <v/>
      </c>
      <c r="CQ112" s="104" t="str">
        <f aca="false">IF($CP112="","",LEFT($CP112,LEN($CP112)-2))</f>
        <v/>
      </c>
      <c r="CR112" s="234" t="str">
        <f aca="false">IF($A112="","",COUNTIF($D112:$CO112,"✓"))</f>
        <v/>
      </c>
    </row>
    <row r="113" customFormat="false" ht="21.75" hidden="false" customHeight="true" outlineLevel="0" collapsed="false">
      <c r="A113" s="231" t="str">
        <f aca="false">IF(03_能力總表_Master!$A113="","",03_能力總表_Master!$A113)</f>
        <v/>
      </c>
      <c r="B113" s="166" t="str">
        <f aca="false">IF(03_能力總表_Master!$A113="","",03_能力總表_Master!$B113)</f>
        <v/>
      </c>
      <c r="C113" s="95" t="str">
        <f aca="false">IF(03_能力總表_Master!$A113="","",03_能力總表_Master!$E113)</f>
        <v/>
      </c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32"/>
      <c r="AQ113" s="232"/>
      <c r="AR113" s="232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232"/>
      <c r="BH113" s="232"/>
      <c r="BI113" s="232"/>
      <c r="BJ113" s="232"/>
      <c r="BK113" s="232"/>
      <c r="BL113" s="232"/>
      <c r="BM113" s="232"/>
      <c r="BN113" s="232"/>
      <c r="BO113" s="232"/>
      <c r="BP113" s="232"/>
      <c r="BQ113" s="232"/>
      <c r="BR113" s="232"/>
      <c r="BS113" s="232"/>
      <c r="BT113" s="232"/>
      <c r="BU113" s="232"/>
      <c r="BV113" s="232"/>
      <c r="BW113" s="232"/>
      <c r="BX113" s="232"/>
      <c r="BY113" s="232"/>
      <c r="BZ113" s="232"/>
      <c r="CA113" s="232"/>
      <c r="CB113" s="232"/>
      <c r="CC113" s="232"/>
      <c r="CD113" s="232"/>
      <c r="CE113" s="232"/>
      <c r="CF113" s="232"/>
      <c r="CG113" s="232"/>
      <c r="CH113" s="232"/>
      <c r="CI113" s="232"/>
      <c r="CJ113" s="232"/>
      <c r="CK113" s="232"/>
      <c r="CL113" s="232"/>
      <c r="CM113" s="232"/>
      <c r="CN113" s="232"/>
      <c r="CO113" s="232"/>
      <c r="CP113" s="233" t="str">
        <f aca="false">IF(AND(D113="✓",D$4&lt;&gt;""),D$4&amp;"; ","")&amp;IF(AND(E113="✓",E$4&lt;&gt;""),E$4&amp;"; ","")&amp;IF(AND(F113="✓",F$4&lt;&gt;""),F$4&amp;"; ","")&amp;IF(AND(G113="✓",G$4&lt;&gt;""),G$4&amp;"; ","")&amp;IF(AND(H113="✓",H$4&lt;&gt;""),H$4&amp;"; ","")&amp;IF(AND(I113="✓",I$4&lt;&gt;""),I$4&amp;"; ","")&amp;IF(AND(J113="✓",J$4&lt;&gt;""),J$4&amp;"; ","")&amp;IF(AND(K113="✓",K$4&lt;&gt;""),K$4&amp;"; ","")&amp;IF(AND(L113="✓",L$4&lt;&gt;""),L$4&amp;"; ","")&amp;IF(AND(M113="✓",M$4&lt;&gt;""),M$4&amp;"; ","")&amp;IF(AND(N113="✓",N$4&lt;&gt;""),N$4&amp;"; ","")&amp;IF(AND(O113="✓",O$4&lt;&gt;""),O$4&amp;"; ","")&amp;IF(AND(P113="✓",P$4&lt;&gt;""),P$4&amp;"; ","")&amp;IF(AND(Q113="✓",Q$4&lt;&gt;""),Q$4&amp;"; ","")&amp;IF(AND(R113="✓",R$4&lt;&gt;""),R$4&amp;"; ","")&amp;IF(AND(S113="✓",S$4&lt;&gt;""),S$4&amp;"; ","")&amp;IF(AND(T113="✓",T$4&lt;&gt;""),T$4&amp;"; ","")&amp;IF(AND(U113="✓",U$4&lt;&gt;""),U$4&amp;"; ","")&amp;IF(AND(V113="✓",V$4&lt;&gt;""),V$4&amp;"; ","")&amp;IF(AND(W113="✓",W$4&lt;&gt;""),W$4&amp;"; ","")&amp;IF(AND(X113="✓",X$4&lt;&gt;""),X$4&amp;"; ","")&amp;IF(AND(Y113="✓",Y$4&lt;&gt;""),Y$4&amp;"; ","")&amp;IF(AND(Z113="✓",Z$4&lt;&gt;""),Z$4&amp;"; ","")&amp;IF(AND(AA113="✓",AA$4&lt;&gt;""),AA$4&amp;"; ","")&amp;IF(AND(AB113="✓",AB$4&lt;&gt;""),AB$4&amp;"; ","")&amp;IF(AND(AC113="✓",AC$4&lt;&gt;""),AC$4&amp;"; ","")&amp;IF(AND(AD113="✓",AD$4&lt;&gt;""),AD$4&amp;"; ","")&amp;IF(AND(AE113="✓",AE$4&lt;&gt;""),AE$4&amp;"; ","")&amp;IF(AND(AF113="✓",AF$4&lt;&gt;""),AF$4&amp;"; ","")&amp;IF(AND(AG113="✓",AG$4&lt;&gt;""),AG$4&amp;"; ","")&amp;IF(AND(AH113="✓",AH$4&lt;&gt;""),AH$4&amp;"; ","")&amp;IF(AND(AI113="✓",AI$4&lt;&gt;""),AI$4&amp;"; ","")&amp;IF(AND(AJ113="✓",AJ$4&lt;&gt;""),AJ$4&amp;"; ","")&amp;IF(AND(AK113="✓",AK$4&lt;&gt;""),AK$4&amp;"; ","")&amp;IF(AND(AL113="✓",AL$4&lt;&gt;""),AL$4&amp;"; ","")&amp;IF(AND(AM113="✓",AM$4&lt;&gt;""),AM$4&amp;"; ","")&amp;IF(AND(AN113="✓",AN$4&lt;&gt;""),AN$4&amp;"; ","")&amp;IF(AND(AO113="✓",AO$4&lt;&gt;""),AO$4&amp;"; ","")&amp;IF(AND(AP113="✓",AP$4&lt;&gt;""),AP$4&amp;"; ","")&amp;IF(AND(AQ113="✓",AQ$4&lt;&gt;""),AQ$4&amp;"; ","")&amp;IF(AND(AR113="✓",AR$4&lt;&gt;""),AR$4&amp;"; ","")&amp;IF(AND(AS113="✓",AS$4&lt;&gt;""),AS$4&amp;"; ","")&amp;IF(AND(AT113="✓",AT$4&lt;&gt;""),AT$4&amp;"; ","")&amp;IF(AND(AU113="✓",AU$4&lt;&gt;""),AU$4&amp;"; ","")&amp;IF(AND(AV113="✓",AV$4&lt;&gt;""),AV$4&amp;"; ","")&amp;IF(AND(AW113="✓",AW$4&lt;&gt;""),AW$4&amp;"; ","")&amp;IF(AND(AX113="✓",AX$4&lt;&gt;""),AX$4&amp;"; ","")&amp;IF(AND(AY113="✓",AY$4&lt;&gt;""),AY$4&amp;"; ","")&amp;IF(AND(AZ113="✓",AZ$4&lt;&gt;""),AZ$4&amp;"; ","")&amp;IF(AND(BA113="✓",BA$4&lt;&gt;""),BA$4&amp;"; ","")&amp;IF(AND(BB113="✓",BB$4&lt;&gt;""),BB$4&amp;"; ","")&amp;IF(AND(BC113="✓",BC$4&lt;&gt;""),BC$4&amp;"; ","")&amp;IF(AND(BD113="✓",BD$4&lt;&gt;""),BD$4&amp;"; ","")&amp;IF(AND(BE113="✓",BE$4&lt;&gt;""),BE$4&amp;"; ","")&amp;IF(AND(BF113="✓",BF$4&lt;&gt;""),BF$4&amp;"; ","")&amp;IF(AND(BG113="✓",BG$4&lt;&gt;""),BG$4&amp;"; ","")&amp;IF(AND(BH113="✓",BH$4&lt;&gt;""),BH$4&amp;"; ","")&amp;IF(AND(BI113="✓",BI$4&lt;&gt;""),BI$4&amp;"; ","")&amp;IF(AND(BJ113="✓",BJ$4&lt;&gt;""),BJ$4&amp;"; ","")&amp;IF(AND(BK113="✓",BK$4&lt;&gt;""),BK$4&amp;"; ","")&amp;IF(AND(BL113="✓",BL$4&lt;&gt;""),BL$4&amp;"; ","")&amp;IF(AND(BM113="✓",BM$4&lt;&gt;""),BM$4&amp;"; ","")&amp;IF(AND(BN113="✓",BN$4&lt;&gt;""),BN$4&amp;"; ","")&amp;IF(AND(BO113="✓",BO$4&lt;&gt;""),BO$4&amp;"; ","")&amp;IF(AND(BP113="✓",BP$4&lt;&gt;""),BP$4&amp;"; ","")&amp;IF(AND(BQ113="✓",BQ$4&lt;&gt;""),BQ$4&amp;"; ","")&amp;IF(AND(BR113="✓",BR$4&lt;&gt;""),BR$4&amp;"; ","")&amp;IF(AND(BS113="✓",BS$4&lt;&gt;""),BS$4&amp;"; ","")&amp;IF(AND(BT113="✓",BT$4&lt;&gt;""),BT$4&amp;"; ","")&amp;IF(AND(BU113="✓",BU$4&lt;&gt;""),BU$4&amp;"; ","")&amp;IF(AND(BV113="✓",BV$4&lt;&gt;""),BV$4&amp;"; ","")&amp;IF(AND(BW113="✓",BW$4&lt;&gt;""),BW$4&amp;"; ","")&amp;IF(AND(BX113="✓",BX$4&lt;&gt;""),BX$4&amp;"; ","")&amp;IF(AND(BY113="✓",BY$4&lt;&gt;""),BY$4&amp;"; ","")&amp;IF(AND(BZ113="✓",BZ$4&lt;&gt;""),BZ$4&amp;"; ","")&amp;IF(AND(CA113="✓",CA$4&lt;&gt;""),CA$4&amp;"; ","")&amp;IF(AND(CB113="✓",CB$4&lt;&gt;""),CB$4&amp;"; ","")&amp;IF(AND(CC113="✓",CC$4&lt;&gt;""),CC$4&amp;"; ","")&amp;IF(AND(CD113="✓",CD$4&lt;&gt;""),CD$4&amp;"; ","")&amp;IF(AND(CE113="✓",CE$4&lt;&gt;""),CE$4&amp;"; ","")&amp;IF(AND(CF113="✓",CF$4&lt;&gt;""),CF$4&amp;"; ","")&amp;IF(AND(CG113="✓",CG$4&lt;&gt;""),CG$4&amp;"; ","")&amp;IF(AND(CH113="✓",CH$4&lt;&gt;""),CH$4&amp;"; ","")&amp;IF(AND(CI113="✓",CI$4&lt;&gt;""),CI$4&amp;"; ","")&amp;IF(AND(CJ113="✓",CJ$4&lt;&gt;""),CJ$4&amp;"; ","")&amp;IF(AND(CK113="✓",CK$4&lt;&gt;""),CK$4&amp;"; ","")&amp;IF(AND(CL113="✓",CL$4&lt;&gt;""),CL$4&amp;"; ","")&amp;IF(AND(CM113="✓",CM$4&lt;&gt;""),CM$4&amp;"; ","")&amp;IF(AND(CN113="✓",CN$4&lt;&gt;""),CN$4&amp;"; ","")&amp;IF(AND(CO113="✓",CO$4&lt;&gt;""),CO$4&amp;"; ","")</f>
        <v/>
      </c>
      <c r="CQ113" s="104" t="str">
        <f aca="false">IF($CP113="","",LEFT($CP113,LEN($CP113)-2))</f>
        <v/>
      </c>
      <c r="CR113" s="234" t="str">
        <f aca="false">IF($A113="","",COUNTIF($D113:$CO113,"✓"))</f>
        <v/>
      </c>
    </row>
    <row r="114" customFormat="false" ht="21.75" hidden="false" customHeight="true" outlineLevel="0" collapsed="false">
      <c r="A114" s="231" t="str">
        <f aca="false">IF(03_能力總表_Master!$A114="","",03_能力總表_Master!$A114)</f>
        <v/>
      </c>
      <c r="B114" s="166" t="str">
        <f aca="false">IF(03_能力總表_Master!$A114="","",03_能力總表_Master!$B114)</f>
        <v/>
      </c>
      <c r="C114" s="95" t="str">
        <f aca="false">IF(03_能力總表_Master!$A114="","",03_能力總表_Master!$E114)</f>
        <v/>
      </c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32"/>
      <c r="AQ114" s="232"/>
      <c r="AR114" s="232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232"/>
      <c r="BH114" s="232"/>
      <c r="BI114" s="232"/>
      <c r="BJ114" s="232"/>
      <c r="BK114" s="232"/>
      <c r="BL114" s="232"/>
      <c r="BM114" s="232"/>
      <c r="BN114" s="232"/>
      <c r="BO114" s="232"/>
      <c r="BP114" s="232"/>
      <c r="BQ114" s="232"/>
      <c r="BR114" s="232"/>
      <c r="BS114" s="232"/>
      <c r="BT114" s="232"/>
      <c r="BU114" s="232"/>
      <c r="BV114" s="232"/>
      <c r="BW114" s="232"/>
      <c r="BX114" s="232"/>
      <c r="BY114" s="232"/>
      <c r="BZ114" s="232"/>
      <c r="CA114" s="232"/>
      <c r="CB114" s="232"/>
      <c r="CC114" s="232"/>
      <c r="CD114" s="232"/>
      <c r="CE114" s="232"/>
      <c r="CF114" s="232"/>
      <c r="CG114" s="232"/>
      <c r="CH114" s="232"/>
      <c r="CI114" s="232"/>
      <c r="CJ114" s="232"/>
      <c r="CK114" s="232"/>
      <c r="CL114" s="232"/>
      <c r="CM114" s="232"/>
      <c r="CN114" s="232"/>
      <c r="CO114" s="232"/>
      <c r="CP114" s="233" t="str">
        <f aca="false">IF(AND(D114="✓",D$4&lt;&gt;""),D$4&amp;"; ","")&amp;IF(AND(E114="✓",E$4&lt;&gt;""),E$4&amp;"; ","")&amp;IF(AND(F114="✓",F$4&lt;&gt;""),F$4&amp;"; ","")&amp;IF(AND(G114="✓",G$4&lt;&gt;""),G$4&amp;"; ","")&amp;IF(AND(H114="✓",H$4&lt;&gt;""),H$4&amp;"; ","")&amp;IF(AND(I114="✓",I$4&lt;&gt;""),I$4&amp;"; ","")&amp;IF(AND(J114="✓",J$4&lt;&gt;""),J$4&amp;"; ","")&amp;IF(AND(K114="✓",K$4&lt;&gt;""),K$4&amp;"; ","")&amp;IF(AND(L114="✓",L$4&lt;&gt;""),L$4&amp;"; ","")&amp;IF(AND(M114="✓",M$4&lt;&gt;""),M$4&amp;"; ","")&amp;IF(AND(N114="✓",N$4&lt;&gt;""),N$4&amp;"; ","")&amp;IF(AND(O114="✓",O$4&lt;&gt;""),O$4&amp;"; ","")&amp;IF(AND(P114="✓",P$4&lt;&gt;""),P$4&amp;"; ","")&amp;IF(AND(Q114="✓",Q$4&lt;&gt;""),Q$4&amp;"; ","")&amp;IF(AND(R114="✓",R$4&lt;&gt;""),R$4&amp;"; ","")&amp;IF(AND(S114="✓",S$4&lt;&gt;""),S$4&amp;"; ","")&amp;IF(AND(T114="✓",T$4&lt;&gt;""),T$4&amp;"; ","")&amp;IF(AND(U114="✓",U$4&lt;&gt;""),U$4&amp;"; ","")&amp;IF(AND(V114="✓",V$4&lt;&gt;""),V$4&amp;"; ","")&amp;IF(AND(W114="✓",W$4&lt;&gt;""),W$4&amp;"; ","")&amp;IF(AND(X114="✓",X$4&lt;&gt;""),X$4&amp;"; ","")&amp;IF(AND(Y114="✓",Y$4&lt;&gt;""),Y$4&amp;"; ","")&amp;IF(AND(Z114="✓",Z$4&lt;&gt;""),Z$4&amp;"; ","")&amp;IF(AND(AA114="✓",AA$4&lt;&gt;""),AA$4&amp;"; ","")&amp;IF(AND(AB114="✓",AB$4&lt;&gt;""),AB$4&amp;"; ","")&amp;IF(AND(AC114="✓",AC$4&lt;&gt;""),AC$4&amp;"; ","")&amp;IF(AND(AD114="✓",AD$4&lt;&gt;""),AD$4&amp;"; ","")&amp;IF(AND(AE114="✓",AE$4&lt;&gt;""),AE$4&amp;"; ","")&amp;IF(AND(AF114="✓",AF$4&lt;&gt;""),AF$4&amp;"; ","")&amp;IF(AND(AG114="✓",AG$4&lt;&gt;""),AG$4&amp;"; ","")&amp;IF(AND(AH114="✓",AH$4&lt;&gt;""),AH$4&amp;"; ","")&amp;IF(AND(AI114="✓",AI$4&lt;&gt;""),AI$4&amp;"; ","")&amp;IF(AND(AJ114="✓",AJ$4&lt;&gt;""),AJ$4&amp;"; ","")&amp;IF(AND(AK114="✓",AK$4&lt;&gt;""),AK$4&amp;"; ","")&amp;IF(AND(AL114="✓",AL$4&lt;&gt;""),AL$4&amp;"; ","")&amp;IF(AND(AM114="✓",AM$4&lt;&gt;""),AM$4&amp;"; ","")&amp;IF(AND(AN114="✓",AN$4&lt;&gt;""),AN$4&amp;"; ","")&amp;IF(AND(AO114="✓",AO$4&lt;&gt;""),AO$4&amp;"; ","")&amp;IF(AND(AP114="✓",AP$4&lt;&gt;""),AP$4&amp;"; ","")&amp;IF(AND(AQ114="✓",AQ$4&lt;&gt;""),AQ$4&amp;"; ","")&amp;IF(AND(AR114="✓",AR$4&lt;&gt;""),AR$4&amp;"; ","")&amp;IF(AND(AS114="✓",AS$4&lt;&gt;""),AS$4&amp;"; ","")&amp;IF(AND(AT114="✓",AT$4&lt;&gt;""),AT$4&amp;"; ","")&amp;IF(AND(AU114="✓",AU$4&lt;&gt;""),AU$4&amp;"; ","")&amp;IF(AND(AV114="✓",AV$4&lt;&gt;""),AV$4&amp;"; ","")&amp;IF(AND(AW114="✓",AW$4&lt;&gt;""),AW$4&amp;"; ","")&amp;IF(AND(AX114="✓",AX$4&lt;&gt;""),AX$4&amp;"; ","")&amp;IF(AND(AY114="✓",AY$4&lt;&gt;""),AY$4&amp;"; ","")&amp;IF(AND(AZ114="✓",AZ$4&lt;&gt;""),AZ$4&amp;"; ","")&amp;IF(AND(BA114="✓",BA$4&lt;&gt;""),BA$4&amp;"; ","")&amp;IF(AND(BB114="✓",BB$4&lt;&gt;""),BB$4&amp;"; ","")&amp;IF(AND(BC114="✓",BC$4&lt;&gt;""),BC$4&amp;"; ","")&amp;IF(AND(BD114="✓",BD$4&lt;&gt;""),BD$4&amp;"; ","")&amp;IF(AND(BE114="✓",BE$4&lt;&gt;""),BE$4&amp;"; ","")&amp;IF(AND(BF114="✓",BF$4&lt;&gt;""),BF$4&amp;"; ","")&amp;IF(AND(BG114="✓",BG$4&lt;&gt;""),BG$4&amp;"; ","")&amp;IF(AND(BH114="✓",BH$4&lt;&gt;""),BH$4&amp;"; ","")&amp;IF(AND(BI114="✓",BI$4&lt;&gt;""),BI$4&amp;"; ","")&amp;IF(AND(BJ114="✓",BJ$4&lt;&gt;""),BJ$4&amp;"; ","")&amp;IF(AND(BK114="✓",BK$4&lt;&gt;""),BK$4&amp;"; ","")&amp;IF(AND(BL114="✓",BL$4&lt;&gt;""),BL$4&amp;"; ","")&amp;IF(AND(BM114="✓",BM$4&lt;&gt;""),BM$4&amp;"; ","")&amp;IF(AND(BN114="✓",BN$4&lt;&gt;""),BN$4&amp;"; ","")&amp;IF(AND(BO114="✓",BO$4&lt;&gt;""),BO$4&amp;"; ","")&amp;IF(AND(BP114="✓",BP$4&lt;&gt;""),BP$4&amp;"; ","")&amp;IF(AND(BQ114="✓",BQ$4&lt;&gt;""),BQ$4&amp;"; ","")&amp;IF(AND(BR114="✓",BR$4&lt;&gt;""),BR$4&amp;"; ","")&amp;IF(AND(BS114="✓",BS$4&lt;&gt;""),BS$4&amp;"; ","")&amp;IF(AND(BT114="✓",BT$4&lt;&gt;""),BT$4&amp;"; ","")&amp;IF(AND(BU114="✓",BU$4&lt;&gt;""),BU$4&amp;"; ","")&amp;IF(AND(BV114="✓",BV$4&lt;&gt;""),BV$4&amp;"; ","")&amp;IF(AND(BW114="✓",BW$4&lt;&gt;""),BW$4&amp;"; ","")&amp;IF(AND(BX114="✓",BX$4&lt;&gt;""),BX$4&amp;"; ","")&amp;IF(AND(BY114="✓",BY$4&lt;&gt;""),BY$4&amp;"; ","")&amp;IF(AND(BZ114="✓",BZ$4&lt;&gt;""),BZ$4&amp;"; ","")&amp;IF(AND(CA114="✓",CA$4&lt;&gt;""),CA$4&amp;"; ","")&amp;IF(AND(CB114="✓",CB$4&lt;&gt;""),CB$4&amp;"; ","")&amp;IF(AND(CC114="✓",CC$4&lt;&gt;""),CC$4&amp;"; ","")&amp;IF(AND(CD114="✓",CD$4&lt;&gt;""),CD$4&amp;"; ","")&amp;IF(AND(CE114="✓",CE$4&lt;&gt;""),CE$4&amp;"; ","")&amp;IF(AND(CF114="✓",CF$4&lt;&gt;""),CF$4&amp;"; ","")&amp;IF(AND(CG114="✓",CG$4&lt;&gt;""),CG$4&amp;"; ","")&amp;IF(AND(CH114="✓",CH$4&lt;&gt;""),CH$4&amp;"; ","")&amp;IF(AND(CI114="✓",CI$4&lt;&gt;""),CI$4&amp;"; ","")&amp;IF(AND(CJ114="✓",CJ$4&lt;&gt;""),CJ$4&amp;"; ","")&amp;IF(AND(CK114="✓",CK$4&lt;&gt;""),CK$4&amp;"; ","")&amp;IF(AND(CL114="✓",CL$4&lt;&gt;""),CL$4&amp;"; ","")&amp;IF(AND(CM114="✓",CM$4&lt;&gt;""),CM$4&amp;"; ","")&amp;IF(AND(CN114="✓",CN$4&lt;&gt;""),CN$4&amp;"; ","")&amp;IF(AND(CO114="✓",CO$4&lt;&gt;""),CO$4&amp;"; ","")</f>
        <v/>
      </c>
      <c r="CQ114" s="104" t="str">
        <f aca="false">IF($CP114="","",LEFT($CP114,LEN($CP114)-2))</f>
        <v/>
      </c>
      <c r="CR114" s="234" t="str">
        <f aca="false">IF($A114="","",COUNTIF($D114:$CO114,"✓"))</f>
        <v/>
      </c>
    </row>
    <row r="115" customFormat="false" ht="21.75" hidden="false" customHeight="true" outlineLevel="0" collapsed="false">
      <c r="A115" s="231" t="str">
        <f aca="false">IF(03_能力總表_Master!$A115="","",03_能力總表_Master!$A115)</f>
        <v/>
      </c>
      <c r="B115" s="166" t="str">
        <f aca="false">IF(03_能力總表_Master!$A115="","",03_能力總表_Master!$B115)</f>
        <v/>
      </c>
      <c r="C115" s="95" t="str">
        <f aca="false">IF(03_能力總表_Master!$A115="","",03_能力總表_Master!$E115)</f>
        <v/>
      </c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32"/>
      <c r="AQ115" s="232"/>
      <c r="AR115" s="232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232"/>
      <c r="BH115" s="232"/>
      <c r="BI115" s="232"/>
      <c r="BJ115" s="232"/>
      <c r="BK115" s="232"/>
      <c r="BL115" s="232"/>
      <c r="BM115" s="232"/>
      <c r="BN115" s="232"/>
      <c r="BO115" s="232"/>
      <c r="BP115" s="232"/>
      <c r="BQ115" s="232"/>
      <c r="BR115" s="232"/>
      <c r="BS115" s="232"/>
      <c r="BT115" s="232"/>
      <c r="BU115" s="232"/>
      <c r="BV115" s="232"/>
      <c r="BW115" s="232"/>
      <c r="BX115" s="232"/>
      <c r="BY115" s="232"/>
      <c r="BZ115" s="232"/>
      <c r="CA115" s="232"/>
      <c r="CB115" s="232"/>
      <c r="CC115" s="232"/>
      <c r="CD115" s="232"/>
      <c r="CE115" s="232"/>
      <c r="CF115" s="232"/>
      <c r="CG115" s="232"/>
      <c r="CH115" s="232"/>
      <c r="CI115" s="232"/>
      <c r="CJ115" s="232"/>
      <c r="CK115" s="232"/>
      <c r="CL115" s="232"/>
      <c r="CM115" s="232"/>
      <c r="CN115" s="232"/>
      <c r="CO115" s="232"/>
      <c r="CP115" s="233" t="str">
        <f aca="false">IF(AND(D115="✓",D$4&lt;&gt;""),D$4&amp;"; ","")&amp;IF(AND(E115="✓",E$4&lt;&gt;""),E$4&amp;"; ","")&amp;IF(AND(F115="✓",F$4&lt;&gt;""),F$4&amp;"; ","")&amp;IF(AND(G115="✓",G$4&lt;&gt;""),G$4&amp;"; ","")&amp;IF(AND(H115="✓",H$4&lt;&gt;""),H$4&amp;"; ","")&amp;IF(AND(I115="✓",I$4&lt;&gt;""),I$4&amp;"; ","")&amp;IF(AND(J115="✓",J$4&lt;&gt;""),J$4&amp;"; ","")&amp;IF(AND(K115="✓",K$4&lt;&gt;""),K$4&amp;"; ","")&amp;IF(AND(L115="✓",L$4&lt;&gt;""),L$4&amp;"; ","")&amp;IF(AND(M115="✓",M$4&lt;&gt;""),M$4&amp;"; ","")&amp;IF(AND(N115="✓",N$4&lt;&gt;""),N$4&amp;"; ","")&amp;IF(AND(O115="✓",O$4&lt;&gt;""),O$4&amp;"; ","")&amp;IF(AND(P115="✓",P$4&lt;&gt;""),P$4&amp;"; ","")&amp;IF(AND(Q115="✓",Q$4&lt;&gt;""),Q$4&amp;"; ","")&amp;IF(AND(R115="✓",R$4&lt;&gt;""),R$4&amp;"; ","")&amp;IF(AND(S115="✓",S$4&lt;&gt;""),S$4&amp;"; ","")&amp;IF(AND(T115="✓",T$4&lt;&gt;""),T$4&amp;"; ","")&amp;IF(AND(U115="✓",U$4&lt;&gt;""),U$4&amp;"; ","")&amp;IF(AND(V115="✓",V$4&lt;&gt;""),V$4&amp;"; ","")&amp;IF(AND(W115="✓",W$4&lt;&gt;""),W$4&amp;"; ","")&amp;IF(AND(X115="✓",X$4&lt;&gt;""),X$4&amp;"; ","")&amp;IF(AND(Y115="✓",Y$4&lt;&gt;""),Y$4&amp;"; ","")&amp;IF(AND(Z115="✓",Z$4&lt;&gt;""),Z$4&amp;"; ","")&amp;IF(AND(AA115="✓",AA$4&lt;&gt;""),AA$4&amp;"; ","")&amp;IF(AND(AB115="✓",AB$4&lt;&gt;""),AB$4&amp;"; ","")&amp;IF(AND(AC115="✓",AC$4&lt;&gt;""),AC$4&amp;"; ","")&amp;IF(AND(AD115="✓",AD$4&lt;&gt;""),AD$4&amp;"; ","")&amp;IF(AND(AE115="✓",AE$4&lt;&gt;""),AE$4&amp;"; ","")&amp;IF(AND(AF115="✓",AF$4&lt;&gt;""),AF$4&amp;"; ","")&amp;IF(AND(AG115="✓",AG$4&lt;&gt;""),AG$4&amp;"; ","")&amp;IF(AND(AH115="✓",AH$4&lt;&gt;""),AH$4&amp;"; ","")&amp;IF(AND(AI115="✓",AI$4&lt;&gt;""),AI$4&amp;"; ","")&amp;IF(AND(AJ115="✓",AJ$4&lt;&gt;""),AJ$4&amp;"; ","")&amp;IF(AND(AK115="✓",AK$4&lt;&gt;""),AK$4&amp;"; ","")&amp;IF(AND(AL115="✓",AL$4&lt;&gt;""),AL$4&amp;"; ","")&amp;IF(AND(AM115="✓",AM$4&lt;&gt;""),AM$4&amp;"; ","")&amp;IF(AND(AN115="✓",AN$4&lt;&gt;""),AN$4&amp;"; ","")&amp;IF(AND(AO115="✓",AO$4&lt;&gt;""),AO$4&amp;"; ","")&amp;IF(AND(AP115="✓",AP$4&lt;&gt;""),AP$4&amp;"; ","")&amp;IF(AND(AQ115="✓",AQ$4&lt;&gt;""),AQ$4&amp;"; ","")&amp;IF(AND(AR115="✓",AR$4&lt;&gt;""),AR$4&amp;"; ","")&amp;IF(AND(AS115="✓",AS$4&lt;&gt;""),AS$4&amp;"; ","")&amp;IF(AND(AT115="✓",AT$4&lt;&gt;""),AT$4&amp;"; ","")&amp;IF(AND(AU115="✓",AU$4&lt;&gt;""),AU$4&amp;"; ","")&amp;IF(AND(AV115="✓",AV$4&lt;&gt;""),AV$4&amp;"; ","")&amp;IF(AND(AW115="✓",AW$4&lt;&gt;""),AW$4&amp;"; ","")&amp;IF(AND(AX115="✓",AX$4&lt;&gt;""),AX$4&amp;"; ","")&amp;IF(AND(AY115="✓",AY$4&lt;&gt;""),AY$4&amp;"; ","")&amp;IF(AND(AZ115="✓",AZ$4&lt;&gt;""),AZ$4&amp;"; ","")&amp;IF(AND(BA115="✓",BA$4&lt;&gt;""),BA$4&amp;"; ","")&amp;IF(AND(BB115="✓",BB$4&lt;&gt;""),BB$4&amp;"; ","")&amp;IF(AND(BC115="✓",BC$4&lt;&gt;""),BC$4&amp;"; ","")&amp;IF(AND(BD115="✓",BD$4&lt;&gt;""),BD$4&amp;"; ","")&amp;IF(AND(BE115="✓",BE$4&lt;&gt;""),BE$4&amp;"; ","")&amp;IF(AND(BF115="✓",BF$4&lt;&gt;""),BF$4&amp;"; ","")&amp;IF(AND(BG115="✓",BG$4&lt;&gt;""),BG$4&amp;"; ","")&amp;IF(AND(BH115="✓",BH$4&lt;&gt;""),BH$4&amp;"; ","")&amp;IF(AND(BI115="✓",BI$4&lt;&gt;""),BI$4&amp;"; ","")&amp;IF(AND(BJ115="✓",BJ$4&lt;&gt;""),BJ$4&amp;"; ","")&amp;IF(AND(BK115="✓",BK$4&lt;&gt;""),BK$4&amp;"; ","")&amp;IF(AND(BL115="✓",BL$4&lt;&gt;""),BL$4&amp;"; ","")&amp;IF(AND(BM115="✓",BM$4&lt;&gt;""),BM$4&amp;"; ","")&amp;IF(AND(BN115="✓",BN$4&lt;&gt;""),BN$4&amp;"; ","")&amp;IF(AND(BO115="✓",BO$4&lt;&gt;""),BO$4&amp;"; ","")&amp;IF(AND(BP115="✓",BP$4&lt;&gt;""),BP$4&amp;"; ","")&amp;IF(AND(BQ115="✓",BQ$4&lt;&gt;""),BQ$4&amp;"; ","")&amp;IF(AND(BR115="✓",BR$4&lt;&gt;""),BR$4&amp;"; ","")&amp;IF(AND(BS115="✓",BS$4&lt;&gt;""),BS$4&amp;"; ","")&amp;IF(AND(BT115="✓",BT$4&lt;&gt;""),BT$4&amp;"; ","")&amp;IF(AND(BU115="✓",BU$4&lt;&gt;""),BU$4&amp;"; ","")&amp;IF(AND(BV115="✓",BV$4&lt;&gt;""),BV$4&amp;"; ","")&amp;IF(AND(BW115="✓",BW$4&lt;&gt;""),BW$4&amp;"; ","")&amp;IF(AND(BX115="✓",BX$4&lt;&gt;""),BX$4&amp;"; ","")&amp;IF(AND(BY115="✓",BY$4&lt;&gt;""),BY$4&amp;"; ","")&amp;IF(AND(BZ115="✓",BZ$4&lt;&gt;""),BZ$4&amp;"; ","")&amp;IF(AND(CA115="✓",CA$4&lt;&gt;""),CA$4&amp;"; ","")&amp;IF(AND(CB115="✓",CB$4&lt;&gt;""),CB$4&amp;"; ","")&amp;IF(AND(CC115="✓",CC$4&lt;&gt;""),CC$4&amp;"; ","")&amp;IF(AND(CD115="✓",CD$4&lt;&gt;""),CD$4&amp;"; ","")&amp;IF(AND(CE115="✓",CE$4&lt;&gt;""),CE$4&amp;"; ","")&amp;IF(AND(CF115="✓",CF$4&lt;&gt;""),CF$4&amp;"; ","")&amp;IF(AND(CG115="✓",CG$4&lt;&gt;""),CG$4&amp;"; ","")&amp;IF(AND(CH115="✓",CH$4&lt;&gt;""),CH$4&amp;"; ","")&amp;IF(AND(CI115="✓",CI$4&lt;&gt;""),CI$4&amp;"; ","")&amp;IF(AND(CJ115="✓",CJ$4&lt;&gt;""),CJ$4&amp;"; ","")&amp;IF(AND(CK115="✓",CK$4&lt;&gt;""),CK$4&amp;"; ","")&amp;IF(AND(CL115="✓",CL$4&lt;&gt;""),CL$4&amp;"; ","")&amp;IF(AND(CM115="✓",CM$4&lt;&gt;""),CM$4&amp;"; ","")&amp;IF(AND(CN115="✓",CN$4&lt;&gt;""),CN$4&amp;"; ","")&amp;IF(AND(CO115="✓",CO$4&lt;&gt;""),CO$4&amp;"; ","")</f>
        <v/>
      </c>
      <c r="CQ115" s="104" t="str">
        <f aca="false">IF($CP115="","",LEFT($CP115,LEN($CP115)-2))</f>
        <v/>
      </c>
      <c r="CR115" s="234" t="str">
        <f aca="false">IF($A115="","",COUNTIF($D115:$CO115,"✓"))</f>
        <v/>
      </c>
    </row>
    <row r="116" customFormat="false" ht="21.75" hidden="false" customHeight="true" outlineLevel="0" collapsed="false">
      <c r="A116" s="231" t="str">
        <f aca="false">IF(03_能力總表_Master!$A116="","",03_能力總表_Master!$A116)</f>
        <v/>
      </c>
      <c r="B116" s="166" t="str">
        <f aca="false">IF(03_能力總表_Master!$A116="","",03_能力總表_Master!$B116)</f>
        <v/>
      </c>
      <c r="C116" s="95" t="str">
        <f aca="false">IF(03_能力總表_Master!$A116="","",03_能力總表_Master!$E116)</f>
        <v/>
      </c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32"/>
      <c r="AQ116" s="232"/>
      <c r="AR116" s="232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232"/>
      <c r="BH116" s="232"/>
      <c r="BI116" s="232"/>
      <c r="BJ116" s="232"/>
      <c r="BK116" s="232"/>
      <c r="BL116" s="232"/>
      <c r="BM116" s="232"/>
      <c r="BN116" s="232"/>
      <c r="BO116" s="232"/>
      <c r="BP116" s="232"/>
      <c r="BQ116" s="232"/>
      <c r="BR116" s="232"/>
      <c r="BS116" s="232"/>
      <c r="BT116" s="232"/>
      <c r="BU116" s="232"/>
      <c r="BV116" s="232"/>
      <c r="BW116" s="232"/>
      <c r="BX116" s="232"/>
      <c r="BY116" s="232"/>
      <c r="BZ116" s="232"/>
      <c r="CA116" s="232"/>
      <c r="CB116" s="232"/>
      <c r="CC116" s="232"/>
      <c r="CD116" s="232"/>
      <c r="CE116" s="232"/>
      <c r="CF116" s="232"/>
      <c r="CG116" s="232"/>
      <c r="CH116" s="232"/>
      <c r="CI116" s="232"/>
      <c r="CJ116" s="232"/>
      <c r="CK116" s="232"/>
      <c r="CL116" s="232"/>
      <c r="CM116" s="232"/>
      <c r="CN116" s="232"/>
      <c r="CO116" s="232"/>
      <c r="CP116" s="233" t="str">
        <f aca="false">IF(AND(D116="✓",D$4&lt;&gt;""),D$4&amp;"; ","")&amp;IF(AND(E116="✓",E$4&lt;&gt;""),E$4&amp;"; ","")&amp;IF(AND(F116="✓",F$4&lt;&gt;""),F$4&amp;"; ","")&amp;IF(AND(G116="✓",G$4&lt;&gt;""),G$4&amp;"; ","")&amp;IF(AND(H116="✓",H$4&lt;&gt;""),H$4&amp;"; ","")&amp;IF(AND(I116="✓",I$4&lt;&gt;""),I$4&amp;"; ","")&amp;IF(AND(J116="✓",J$4&lt;&gt;""),J$4&amp;"; ","")&amp;IF(AND(K116="✓",K$4&lt;&gt;""),K$4&amp;"; ","")&amp;IF(AND(L116="✓",L$4&lt;&gt;""),L$4&amp;"; ","")&amp;IF(AND(M116="✓",M$4&lt;&gt;""),M$4&amp;"; ","")&amp;IF(AND(N116="✓",N$4&lt;&gt;""),N$4&amp;"; ","")&amp;IF(AND(O116="✓",O$4&lt;&gt;""),O$4&amp;"; ","")&amp;IF(AND(P116="✓",P$4&lt;&gt;""),P$4&amp;"; ","")&amp;IF(AND(Q116="✓",Q$4&lt;&gt;""),Q$4&amp;"; ","")&amp;IF(AND(R116="✓",R$4&lt;&gt;""),R$4&amp;"; ","")&amp;IF(AND(S116="✓",S$4&lt;&gt;""),S$4&amp;"; ","")&amp;IF(AND(T116="✓",T$4&lt;&gt;""),T$4&amp;"; ","")&amp;IF(AND(U116="✓",U$4&lt;&gt;""),U$4&amp;"; ","")&amp;IF(AND(V116="✓",V$4&lt;&gt;""),V$4&amp;"; ","")&amp;IF(AND(W116="✓",W$4&lt;&gt;""),W$4&amp;"; ","")&amp;IF(AND(X116="✓",X$4&lt;&gt;""),X$4&amp;"; ","")&amp;IF(AND(Y116="✓",Y$4&lt;&gt;""),Y$4&amp;"; ","")&amp;IF(AND(Z116="✓",Z$4&lt;&gt;""),Z$4&amp;"; ","")&amp;IF(AND(AA116="✓",AA$4&lt;&gt;""),AA$4&amp;"; ","")&amp;IF(AND(AB116="✓",AB$4&lt;&gt;""),AB$4&amp;"; ","")&amp;IF(AND(AC116="✓",AC$4&lt;&gt;""),AC$4&amp;"; ","")&amp;IF(AND(AD116="✓",AD$4&lt;&gt;""),AD$4&amp;"; ","")&amp;IF(AND(AE116="✓",AE$4&lt;&gt;""),AE$4&amp;"; ","")&amp;IF(AND(AF116="✓",AF$4&lt;&gt;""),AF$4&amp;"; ","")&amp;IF(AND(AG116="✓",AG$4&lt;&gt;""),AG$4&amp;"; ","")&amp;IF(AND(AH116="✓",AH$4&lt;&gt;""),AH$4&amp;"; ","")&amp;IF(AND(AI116="✓",AI$4&lt;&gt;""),AI$4&amp;"; ","")&amp;IF(AND(AJ116="✓",AJ$4&lt;&gt;""),AJ$4&amp;"; ","")&amp;IF(AND(AK116="✓",AK$4&lt;&gt;""),AK$4&amp;"; ","")&amp;IF(AND(AL116="✓",AL$4&lt;&gt;""),AL$4&amp;"; ","")&amp;IF(AND(AM116="✓",AM$4&lt;&gt;""),AM$4&amp;"; ","")&amp;IF(AND(AN116="✓",AN$4&lt;&gt;""),AN$4&amp;"; ","")&amp;IF(AND(AO116="✓",AO$4&lt;&gt;""),AO$4&amp;"; ","")&amp;IF(AND(AP116="✓",AP$4&lt;&gt;""),AP$4&amp;"; ","")&amp;IF(AND(AQ116="✓",AQ$4&lt;&gt;""),AQ$4&amp;"; ","")&amp;IF(AND(AR116="✓",AR$4&lt;&gt;""),AR$4&amp;"; ","")&amp;IF(AND(AS116="✓",AS$4&lt;&gt;""),AS$4&amp;"; ","")&amp;IF(AND(AT116="✓",AT$4&lt;&gt;""),AT$4&amp;"; ","")&amp;IF(AND(AU116="✓",AU$4&lt;&gt;""),AU$4&amp;"; ","")&amp;IF(AND(AV116="✓",AV$4&lt;&gt;""),AV$4&amp;"; ","")&amp;IF(AND(AW116="✓",AW$4&lt;&gt;""),AW$4&amp;"; ","")&amp;IF(AND(AX116="✓",AX$4&lt;&gt;""),AX$4&amp;"; ","")&amp;IF(AND(AY116="✓",AY$4&lt;&gt;""),AY$4&amp;"; ","")&amp;IF(AND(AZ116="✓",AZ$4&lt;&gt;""),AZ$4&amp;"; ","")&amp;IF(AND(BA116="✓",BA$4&lt;&gt;""),BA$4&amp;"; ","")&amp;IF(AND(BB116="✓",BB$4&lt;&gt;""),BB$4&amp;"; ","")&amp;IF(AND(BC116="✓",BC$4&lt;&gt;""),BC$4&amp;"; ","")&amp;IF(AND(BD116="✓",BD$4&lt;&gt;""),BD$4&amp;"; ","")&amp;IF(AND(BE116="✓",BE$4&lt;&gt;""),BE$4&amp;"; ","")&amp;IF(AND(BF116="✓",BF$4&lt;&gt;""),BF$4&amp;"; ","")&amp;IF(AND(BG116="✓",BG$4&lt;&gt;""),BG$4&amp;"; ","")&amp;IF(AND(BH116="✓",BH$4&lt;&gt;""),BH$4&amp;"; ","")&amp;IF(AND(BI116="✓",BI$4&lt;&gt;""),BI$4&amp;"; ","")&amp;IF(AND(BJ116="✓",BJ$4&lt;&gt;""),BJ$4&amp;"; ","")&amp;IF(AND(BK116="✓",BK$4&lt;&gt;""),BK$4&amp;"; ","")&amp;IF(AND(BL116="✓",BL$4&lt;&gt;""),BL$4&amp;"; ","")&amp;IF(AND(BM116="✓",BM$4&lt;&gt;""),BM$4&amp;"; ","")&amp;IF(AND(BN116="✓",BN$4&lt;&gt;""),BN$4&amp;"; ","")&amp;IF(AND(BO116="✓",BO$4&lt;&gt;""),BO$4&amp;"; ","")&amp;IF(AND(BP116="✓",BP$4&lt;&gt;""),BP$4&amp;"; ","")&amp;IF(AND(BQ116="✓",BQ$4&lt;&gt;""),BQ$4&amp;"; ","")&amp;IF(AND(BR116="✓",BR$4&lt;&gt;""),BR$4&amp;"; ","")&amp;IF(AND(BS116="✓",BS$4&lt;&gt;""),BS$4&amp;"; ","")&amp;IF(AND(BT116="✓",BT$4&lt;&gt;""),BT$4&amp;"; ","")&amp;IF(AND(BU116="✓",BU$4&lt;&gt;""),BU$4&amp;"; ","")&amp;IF(AND(BV116="✓",BV$4&lt;&gt;""),BV$4&amp;"; ","")&amp;IF(AND(BW116="✓",BW$4&lt;&gt;""),BW$4&amp;"; ","")&amp;IF(AND(BX116="✓",BX$4&lt;&gt;""),BX$4&amp;"; ","")&amp;IF(AND(BY116="✓",BY$4&lt;&gt;""),BY$4&amp;"; ","")&amp;IF(AND(BZ116="✓",BZ$4&lt;&gt;""),BZ$4&amp;"; ","")&amp;IF(AND(CA116="✓",CA$4&lt;&gt;""),CA$4&amp;"; ","")&amp;IF(AND(CB116="✓",CB$4&lt;&gt;""),CB$4&amp;"; ","")&amp;IF(AND(CC116="✓",CC$4&lt;&gt;""),CC$4&amp;"; ","")&amp;IF(AND(CD116="✓",CD$4&lt;&gt;""),CD$4&amp;"; ","")&amp;IF(AND(CE116="✓",CE$4&lt;&gt;""),CE$4&amp;"; ","")&amp;IF(AND(CF116="✓",CF$4&lt;&gt;""),CF$4&amp;"; ","")&amp;IF(AND(CG116="✓",CG$4&lt;&gt;""),CG$4&amp;"; ","")&amp;IF(AND(CH116="✓",CH$4&lt;&gt;""),CH$4&amp;"; ","")&amp;IF(AND(CI116="✓",CI$4&lt;&gt;""),CI$4&amp;"; ","")&amp;IF(AND(CJ116="✓",CJ$4&lt;&gt;""),CJ$4&amp;"; ","")&amp;IF(AND(CK116="✓",CK$4&lt;&gt;""),CK$4&amp;"; ","")&amp;IF(AND(CL116="✓",CL$4&lt;&gt;""),CL$4&amp;"; ","")&amp;IF(AND(CM116="✓",CM$4&lt;&gt;""),CM$4&amp;"; ","")&amp;IF(AND(CN116="✓",CN$4&lt;&gt;""),CN$4&amp;"; ","")&amp;IF(AND(CO116="✓",CO$4&lt;&gt;""),CO$4&amp;"; ","")</f>
        <v/>
      </c>
      <c r="CQ116" s="104" t="str">
        <f aca="false">IF($CP116="","",LEFT($CP116,LEN($CP116)-2))</f>
        <v/>
      </c>
      <c r="CR116" s="234" t="str">
        <f aca="false">IF($A116="","",COUNTIF($D116:$CO116,"✓"))</f>
        <v/>
      </c>
    </row>
    <row r="117" customFormat="false" ht="21.75" hidden="false" customHeight="true" outlineLevel="0" collapsed="false">
      <c r="A117" s="231" t="str">
        <f aca="false">IF(03_能力總表_Master!$A117="","",03_能力總表_Master!$A117)</f>
        <v/>
      </c>
      <c r="B117" s="166" t="str">
        <f aca="false">IF(03_能力總表_Master!$A117="","",03_能力總表_Master!$B117)</f>
        <v/>
      </c>
      <c r="C117" s="95" t="str">
        <f aca="false">IF(03_能力總表_Master!$A117="","",03_能力總表_Master!$E117)</f>
        <v/>
      </c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32"/>
      <c r="AQ117" s="232"/>
      <c r="AR117" s="232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232"/>
      <c r="BH117" s="232"/>
      <c r="BI117" s="232"/>
      <c r="BJ117" s="232"/>
      <c r="BK117" s="232"/>
      <c r="BL117" s="232"/>
      <c r="BM117" s="232"/>
      <c r="BN117" s="232"/>
      <c r="BO117" s="232"/>
      <c r="BP117" s="232"/>
      <c r="BQ117" s="232"/>
      <c r="BR117" s="232"/>
      <c r="BS117" s="232"/>
      <c r="BT117" s="232"/>
      <c r="BU117" s="232"/>
      <c r="BV117" s="232"/>
      <c r="BW117" s="232"/>
      <c r="BX117" s="232"/>
      <c r="BY117" s="232"/>
      <c r="BZ117" s="232"/>
      <c r="CA117" s="232"/>
      <c r="CB117" s="232"/>
      <c r="CC117" s="232"/>
      <c r="CD117" s="232"/>
      <c r="CE117" s="232"/>
      <c r="CF117" s="232"/>
      <c r="CG117" s="232"/>
      <c r="CH117" s="232"/>
      <c r="CI117" s="232"/>
      <c r="CJ117" s="232"/>
      <c r="CK117" s="232"/>
      <c r="CL117" s="232"/>
      <c r="CM117" s="232"/>
      <c r="CN117" s="232"/>
      <c r="CO117" s="232"/>
      <c r="CP117" s="233" t="str">
        <f aca="false">IF(AND(D117="✓",D$4&lt;&gt;""),D$4&amp;"; ","")&amp;IF(AND(E117="✓",E$4&lt;&gt;""),E$4&amp;"; ","")&amp;IF(AND(F117="✓",F$4&lt;&gt;""),F$4&amp;"; ","")&amp;IF(AND(G117="✓",G$4&lt;&gt;""),G$4&amp;"; ","")&amp;IF(AND(H117="✓",H$4&lt;&gt;""),H$4&amp;"; ","")&amp;IF(AND(I117="✓",I$4&lt;&gt;""),I$4&amp;"; ","")&amp;IF(AND(J117="✓",J$4&lt;&gt;""),J$4&amp;"; ","")&amp;IF(AND(K117="✓",K$4&lt;&gt;""),K$4&amp;"; ","")&amp;IF(AND(L117="✓",L$4&lt;&gt;""),L$4&amp;"; ","")&amp;IF(AND(M117="✓",M$4&lt;&gt;""),M$4&amp;"; ","")&amp;IF(AND(N117="✓",N$4&lt;&gt;""),N$4&amp;"; ","")&amp;IF(AND(O117="✓",O$4&lt;&gt;""),O$4&amp;"; ","")&amp;IF(AND(P117="✓",P$4&lt;&gt;""),P$4&amp;"; ","")&amp;IF(AND(Q117="✓",Q$4&lt;&gt;""),Q$4&amp;"; ","")&amp;IF(AND(R117="✓",R$4&lt;&gt;""),R$4&amp;"; ","")&amp;IF(AND(S117="✓",S$4&lt;&gt;""),S$4&amp;"; ","")&amp;IF(AND(T117="✓",T$4&lt;&gt;""),T$4&amp;"; ","")&amp;IF(AND(U117="✓",U$4&lt;&gt;""),U$4&amp;"; ","")&amp;IF(AND(V117="✓",V$4&lt;&gt;""),V$4&amp;"; ","")&amp;IF(AND(W117="✓",W$4&lt;&gt;""),W$4&amp;"; ","")&amp;IF(AND(X117="✓",X$4&lt;&gt;""),X$4&amp;"; ","")&amp;IF(AND(Y117="✓",Y$4&lt;&gt;""),Y$4&amp;"; ","")&amp;IF(AND(Z117="✓",Z$4&lt;&gt;""),Z$4&amp;"; ","")&amp;IF(AND(AA117="✓",AA$4&lt;&gt;""),AA$4&amp;"; ","")&amp;IF(AND(AB117="✓",AB$4&lt;&gt;""),AB$4&amp;"; ","")&amp;IF(AND(AC117="✓",AC$4&lt;&gt;""),AC$4&amp;"; ","")&amp;IF(AND(AD117="✓",AD$4&lt;&gt;""),AD$4&amp;"; ","")&amp;IF(AND(AE117="✓",AE$4&lt;&gt;""),AE$4&amp;"; ","")&amp;IF(AND(AF117="✓",AF$4&lt;&gt;""),AF$4&amp;"; ","")&amp;IF(AND(AG117="✓",AG$4&lt;&gt;""),AG$4&amp;"; ","")&amp;IF(AND(AH117="✓",AH$4&lt;&gt;""),AH$4&amp;"; ","")&amp;IF(AND(AI117="✓",AI$4&lt;&gt;""),AI$4&amp;"; ","")&amp;IF(AND(AJ117="✓",AJ$4&lt;&gt;""),AJ$4&amp;"; ","")&amp;IF(AND(AK117="✓",AK$4&lt;&gt;""),AK$4&amp;"; ","")&amp;IF(AND(AL117="✓",AL$4&lt;&gt;""),AL$4&amp;"; ","")&amp;IF(AND(AM117="✓",AM$4&lt;&gt;""),AM$4&amp;"; ","")&amp;IF(AND(AN117="✓",AN$4&lt;&gt;""),AN$4&amp;"; ","")&amp;IF(AND(AO117="✓",AO$4&lt;&gt;""),AO$4&amp;"; ","")&amp;IF(AND(AP117="✓",AP$4&lt;&gt;""),AP$4&amp;"; ","")&amp;IF(AND(AQ117="✓",AQ$4&lt;&gt;""),AQ$4&amp;"; ","")&amp;IF(AND(AR117="✓",AR$4&lt;&gt;""),AR$4&amp;"; ","")&amp;IF(AND(AS117="✓",AS$4&lt;&gt;""),AS$4&amp;"; ","")&amp;IF(AND(AT117="✓",AT$4&lt;&gt;""),AT$4&amp;"; ","")&amp;IF(AND(AU117="✓",AU$4&lt;&gt;""),AU$4&amp;"; ","")&amp;IF(AND(AV117="✓",AV$4&lt;&gt;""),AV$4&amp;"; ","")&amp;IF(AND(AW117="✓",AW$4&lt;&gt;""),AW$4&amp;"; ","")&amp;IF(AND(AX117="✓",AX$4&lt;&gt;""),AX$4&amp;"; ","")&amp;IF(AND(AY117="✓",AY$4&lt;&gt;""),AY$4&amp;"; ","")&amp;IF(AND(AZ117="✓",AZ$4&lt;&gt;""),AZ$4&amp;"; ","")&amp;IF(AND(BA117="✓",BA$4&lt;&gt;""),BA$4&amp;"; ","")&amp;IF(AND(BB117="✓",BB$4&lt;&gt;""),BB$4&amp;"; ","")&amp;IF(AND(BC117="✓",BC$4&lt;&gt;""),BC$4&amp;"; ","")&amp;IF(AND(BD117="✓",BD$4&lt;&gt;""),BD$4&amp;"; ","")&amp;IF(AND(BE117="✓",BE$4&lt;&gt;""),BE$4&amp;"; ","")&amp;IF(AND(BF117="✓",BF$4&lt;&gt;""),BF$4&amp;"; ","")&amp;IF(AND(BG117="✓",BG$4&lt;&gt;""),BG$4&amp;"; ","")&amp;IF(AND(BH117="✓",BH$4&lt;&gt;""),BH$4&amp;"; ","")&amp;IF(AND(BI117="✓",BI$4&lt;&gt;""),BI$4&amp;"; ","")&amp;IF(AND(BJ117="✓",BJ$4&lt;&gt;""),BJ$4&amp;"; ","")&amp;IF(AND(BK117="✓",BK$4&lt;&gt;""),BK$4&amp;"; ","")&amp;IF(AND(BL117="✓",BL$4&lt;&gt;""),BL$4&amp;"; ","")&amp;IF(AND(BM117="✓",BM$4&lt;&gt;""),BM$4&amp;"; ","")&amp;IF(AND(BN117="✓",BN$4&lt;&gt;""),BN$4&amp;"; ","")&amp;IF(AND(BO117="✓",BO$4&lt;&gt;""),BO$4&amp;"; ","")&amp;IF(AND(BP117="✓",BP$4&lt;&gt;""),BP$4&amp;"; ","")&amp;IF(AND(BQ117="✓",BQ$4&lt;&gt;""),BQ$4&amp;"; ","")&amp;IF(AND(BR117="✓",BR$4&lt;&gt;""),BR$4&amp;"; ","")&amp;IF(AND(BS117="✓",BS$4&lt;&gt;""),BS$4&amp;"; ","")&amp;IF(AND(BT117="✓",BT$4&lt;&gt;""),BT$4&amp;"; ","")&amp;IF(AND(BU117="✓",BU$4&lt;&gt;""),BU$4&amp;"; ","")&amp;IF(AND(BV117="✓",BV$4&lt;&gt;""),BV$4&amp;"; ","")&amp;IF(AND(BW117="✓",BW$4&lt;&gt;""),BW$4&amp;"; ","")&amp;IF(AND(BX117="✓",BX$4&lt;&gt;""),BX$4&amp;"; ","")&amp;IF(AND(BY117="✓",BY$4&lt;&gt;""),BY$4&amp;"; ","")&amp;IF(AND(BZ117="✓",BZ$4&lt;&gt;""),BZ$4&amp;"; ","")&amp;IF(AND(CA117="✓",CA$4&lt;&gt;""),CA$4&amp;"; ","")&amp;IF(AND(CB117="✓",CB$4&lt;&gt;""),CB$4&amp;"; ","")&amp;IF(AND(CC117="✓",CC$4&lt;&gt;""),CC$4&amp;"; ","")&amp;IF(AND(CD117="✓",CD$4&lt;&gt;""),CD$4&amp;"; ","")&amp;IF(AND(CE117="✓",CE$4&lt;&gt;""),CE$4&amp;"; ","")&amp;IF(AND(CF117="✓",CF$4&lt;&gt;""),CF$4&amp;"; ","")&amp;IF(AND(CG117="✓",CG$4&lt;&gt;""),CG$4&amp;"; ","")&amp;IF(AND(CH117="✓",CH$4&lt;&gt;""),CH$4&amp;"; ","")&amp;IF(AND(CI117="✓",CI$4&lt;&gt;""),CI$4&amp;"; ","")&amp;IF(AND(CJ117="✓",CJ$4&lt;&gt;""),CJ$4&amp;"; ","")&amp;IF(AND(CK117="✓",CK$4&lt;&gt;""),CK$4&amp;"; ","")&amp;IF(AND(CL117="✓",CL$4&lt;&gt;""),CL$4&amp;"; ","")&amp;IF(AND(CM117="✓",CM$4&lt;&gt;""),CM$4&amp;"; ","")&amp;IF(AND(CN117="✓",CN$4&lt;&gt;""),CN$4&amp;"; ","")&amp;IF(AND(CO117="✓",CO$4&lt;&gt;""),CO$4&amp;"; ","")</f>
        <v/>
      </c>
      <c r="CQ117" s="104" t="str">
        <f aca="false">IF($CP117="","",LEFT($CP117,LEN($CP117)-2))</f>
        <v/>
      </c>
      <c r="CR117" s="234" t="str">
        <f aca="false">IF($A117="","",COUNTIF($D117:$CO117,"✓"))</f>
        <v/>
      </c>
    </row>
    <row r="118" customFormat="false" ht="21.75" hidden="false" customHeight="true" outlineLevel="0" collapsed="false">
      <c r="A118" s="231" t="str">
        <f aca="false">IF(03_能力總表_Master!$A118="","",03_能力總表_Master!$A118)</f>
        <v/>
      </c>
      <c r="B118" s="166" t="str">
        <f aca="false">IF(03_能力總表_Master!$A118="","",03_能力總表_Master!$B118)</f>
        <v/>
      </c>
      <c r="C118" s="95" t="str">
        <f aca="false">IF(03_能力總表_Master!$A118="","",03_能力總表_Master!$E118)</f>
        <v/>
      </c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32"/>
      <c r="AQ118" s="232"/>
      <c r="AR118" s="232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232"/>
      <c r="BH118" s="232"/>
      <c r="BI118" s="232"/>
      <c r="BJ118" s="232"/>
      <c r="BK118" s="232"/>
      <c r="BL118" s="232"/>
      <c r="BM118" s="232"/>
      <c r="BN118" s="232"/>
      <c r="BO118" s="232"/>
      <c r="BP118" s="232"/>
      <c r="BQ118" s="232"/>
      <c r="BR118" s="232"/>
      <c r="BS118" s="232"/>
      <c r="BT118" s="232"/>
      <c r="BU118" s="232"/>
      <c r="BV118" s="232"/>
      <c r="BW118" s="232"/>
      <c r="BX118" s="232"/>
      <c r="BY118" s="232"/>
      <c r="BZ118" s="232"/>
      <c r="CA118" s="232"/>
      <c r="CB118" s="232"/>
      <c r="CC118" s="232"/>
      <c r="CD118" s="232"/>
      <c r="CE118" s="232"/>
      <c r="CF118" s="232"/>
      <c r="CG118" s="232"/>
      <c r="CH118" s="232"/>
      <c r="CI118" s="232"/>
      <c r="CJ118" s="232"/>
      <c r="CK118" s="232"/>
      <c r="CL118" s="232"/>
      <c r="CM118" s="232"/>
      <c r="CN118" s="232"/>
      <c r="CO118" s="232"/>
      <c r="CP118" s="233" t="str">
        <f aca="false">IF(AND(D118="✓",D$4&lt;&gt;""),D$4&amp;"; ","")&amp;IF(AND(E118="✓",E$4&lt;&gt;""),E$4&amp;"; ","")&amp;IF(AND(F118="✓",F$4&lt;&gt;""),F$4&amp;"; ","")&amp;IF(AND(G118="✓",G$4&lt;&gt;""),G$4&amp;"; ","")&amp;IF(AND(H118="✓",H$4&lt;&gt;""),H$4&amp;"; ","")&amp;IF(AND(I118="✓",I$4&lt;&gt;""),I$4&amp;"; ","")&amp;IF(AND(J118="✓",J$4&lt;&gt;""),J$4&amp;"; ","")&amp;IF(AND(K118="✓",K$4&lt;&gt;""),K$4&amp;"; ","")&amp;IF(AND(L118="✓",L$4&lt;&gt;""),L$4&amp;"; ","")&amp;IF(AND(M118="✓",M$4&lt;&gt;""),M$4&amp;"; ","")&amp;IF(AND(N118="✓",N$4&lt;&gt;""),N$4&amp;"; ","")&amp;IF(AND(O118="✓",O$4&lt;&gt;""),O$4&amp;"; ","")&amp;IF(AND(P118="✓",P$4&lt;&gt;""),P$4&amp;"; ","")&amp;IF(AND(Q118="✓",Q$4&lt;&gt;""),Q$4&amp;"; ","")&amp;IF(AND(R118="✓",R$4&lt;&gt;""),R$4&amp;"; ","")&amp;IF(AND(S118="✓",S$4&lt;&gt;""),S$4&amp;"; ","")&amp;IF(AND(T118="✓",T$4&lt;&gt;""),T$4&amp;"; ","")&amp;IF(AND(U118="✓",U$4&lt;&gt;""),U$4&amp;"; ","")&amp;IF(AND(V118="✓",V$4&lt;&gt;""),V$4&amp;"; ","")&amp;IF(AND(W118="✓",W$4&lt;&gt;""),W$4&amp;"; ","")&amp;IF(AND(X118="✓",X$4&lt;&gt;""),X$4&amp;"; ","")&amp;IF(AND(Y118="✓",Y$4&lt;&gt;""),Y$4&amp;"; ","")&amp;IF(AND(Z118="✓",Z$4&lt;&gt;""),Z$4&amp;"; ","")&amp;IF(AND(AA118="✓",AA$4&lt;&gt;""),AA$4&amp;"; ","")&amp;IF(AND(AB118="✓",AB$4&lt;&gt;""),AB$4&amp;"; ","")&amp;IF(AND(AC118="✓",AC$4&lt;&gt;""),AC$4&amp;"; ","")&amp;IF(AND(AD118="✓",AD$4&lt;&gt;""),AD$4&amp;"; ","")&amp;IF(AND(AE118="✓",AE$4&lt;&gt;""),AE$4&amp;"; ","")&amp;IF(AND(AF118="✓",AF$4&lt;&gt;""),AF$4&amp;"; ","")&amp;IF(AND(AG118="✓",AG$4&lt;&gt;""),AG$4&amp;"; ","")&amp;IF(AND(AH118="✓",AH$4&lt;&gt;""),AH$4&amp;"; ","")&amp;IF(AND(AI118="✓",AI$4&lt;&gt;""),AI$4&amp;"; ","")&amp;IF(AND(AJ118="✓",AJ$4&lt;&gt;""),AJ$4&amp;"; ","")&amp;IF(AND(AK118="✓",AK$4&lt;&gt;""),AK$4&amp;"; ","")&amp;IF(AND(AL118="✓",AL$4&lt;&gt;""),AL$4&amp;"; ","")&amp;IF(AND(AM118="✓",AM$4&lt;&gt;""),AM$4&amp;"; ","")&amp;IF(AND(AN118="✓",AN$4&lt;&gt;""),AN$4&amp;"; ","")&amp;IF(AND(AO118="✓",AO$4&lt;&gt;""),AO$4&amp;"; ","")&amp;IF(AND(AP118="✓",AP$4&lt;&gt;""),AP$4&amp;"; ","")&amp;IF(AND(AQ118="✓",AQ$4&lt;&gt;""),AQ$4&amp;"; ","")&amp;IF(AND(AR118="✓",AR$4&lt;&gt;""),AR$4&amp;"; ","")&amp;IF(AND(AS118="✓",AS$4&lt;&gt;""),AS$4&amp;"; ","")&amp;IF(AND(AT118="✓",AT$4&lt;&gt;""),AT$4&amp;"; ","")&amp;IF(AND(AU118="✓",AU$4&lt;&gt;""),AU$4&amp;"; ","")&amp;IF(AND(AV118="✓",AV$4&lt;&gt;""),AV$4&amp;"; ","")&amp;IF(AND(AW118="✓",AW$4&lt;&gt;""),AW$4&amp;"; ","")&amp;IF(AND(AX118="✓",AX$4&lt;&gt;""),AX$4&amp;"; ","")&amp;IF(AND(AY118="✓",AY$4&lt;&gt;""),AY$4&amp;"; ","")&amp;IF(AND(AZ118="✓",AZ$4&lt;&gt;""),AZ$4&amp;"; ","")&amp;IF(AND(BA118="✓",BA$4&lt;&gt;""),BA$4&amp;"; ","")&amp;IF(AND(BB118="✓",BB$4&lt;&gt;""),BB$4&amp;"; ","")&amp;IF(AND(BC118="✓",BC$4&lt;&gt;""),BC$4&amp;"; ","")&amp;IF(AND(BD118="✓",BD$4&lt;&gt;""),BD$4&amp;"; ","")&amp;IF(AND(BE118="✓",BE$4&lt;&gt;""),BE$4&amp;"; ","")&amp;IF(AND(BF118="✓",BF$4&lt;&gt;""),BF$4&amp;"; ","")&amp;IF(AND(BG118="✓",BG$4&lt;&gt;""),BG$4&amp;"; ","")&amp;IF(AND(BH118="✓",BH$4&lt;&gt;""),BH$4&amp;"; ","")&amp;IF(AND(BI118="✓",BI$4&lt;&gt;""),BI$4&amp;"; ","")&amp;IF(AND(BJ118="✓",BJ$4&lt;&gt;""),BJ$4&amp;"; ","")&amp;IF(AND(BK118="✓",BK$4&lt;&gt;""),BK$4&amp;"; ","")&amp;IF(AND(BL118="✓",BL$4&lt;&gt;""),BL$4&amp;"; ","")&amp;IF(AND(BM118="✓",BM$4&lt;&gt;""),BM$4&amp;"; ","")&amp;IF(AND(BN118="✓",BN$4&lt;&gt;""),BN$4&amp;"; ","")&amp;IF(AND(BO118="✓",BO$4&lt;&gt;""),BO$4&amp;"; ","")&amp;IF(AND(BP118="✓",BP$4&lt;&gt;""),BP$4&amp;"; ","")&amp;IF(AND(BQ118="✓",BQ$4&lt;&gt;""),BQ$4&amp;"; ","")&amp;IF(AND(BR118="✓",BR$4&lt;&gt;""),BR$4&amp;"; ","")&amp;IF(AND(BS118="✓",BS$4&lt;&gt;""),BS$4&amp;"; ","")&amp;IF(AND(BT118="✓",BT$4&lt;&gt;""),BT$4&amp;"; ","")&amp;IF(AND(BU118="✓",BU$4&lt;&gt;""),BU$4&amp;"; ","")&amp;IF(AND(BV118="✓",BV$4&lt;&gt;""),BV$4&amp;"; ","")&amp;IF(AND(BW118="✓",BW$4&lt;&gt;""),BW$4&amp;"; ","")&amp;IF(AND(BX118="✓",BX$4&lt;&gt;""),BX$4&amp;"; ","")&amp;IF(AND(BY118="✓",BY$4&lt;&gt;""),BY$4&amp;"; ","")&amp;IF(AND(BZ118="✓",BZ$4&lt;&gt;""),BZ$4&amp;"; ","")&amp;IF(AND(CA118="✓",CA$4&lt;&gt;""),CA$4&amp;"; ","")&amp;IF(AND(CB118="✓",CB$4&lt;&gt;""),CB$4&amp;"; ","")&amp;IF(AND(CC118="✓",CC$4&lt;&gt;""),CC$4&amp;"; ","")&amp;IF(AND(CD118="✓",CD$4&lt;&gt;""),CD$4&amp;"; ","")&amp;IF(AND(CE118="✓",CE$4&lt;&gt;""),CE$4&amp;"; ","")&amp;IF(AND(CF118="✓",CF$4&lt;&gt;""),CF$4&amp;"; ","")&amp;IF(AND(CG118="✓",CG$4&lt;&gt;""),CG$4&amp;"; ","")&amp;IF(AND(CH118="✓",CH$4&lt;&gt;""),CH$4&amp;"; ","")&amp;IF(AND(CI118="✓",CI$4&lt;&gt;""),CI$4&amp;"; ","")&amp;IF(AND(CJ118="✓",CJ$4&lt;&gt;""),CJ$4&amp;"; ","")&amp;IF(AND(CK118="✓",CK$4&lt;&gt;""),CK$4&amp;"; ","")&amp;IF(AND(CL118="✓",CL$4&lt;&gt;""),CL$4&amp;"; ","")&amp;IF(AND(CM118="✓",CM$4&lt;&gt;""),CM$4&amp;"; ","")&amp;IF(AND(CN118="✓",CN$4&lt;&gt;""),CN$4&amp;"; ","")&amp;IF(AND(CO118="✓",CO$4&lt;&gt;""),CO$4&amp;"; ","")</f>
        <v/>
      </c>
      <c r="CQ118" s="104" t="str">
        <f aca="false">IF($CP118="","",LEFT($CP118,LEN($CP118)-2))</f>
        <v/>
      </c>
      <c r="CR118" s="234" t="str">
        <f aca="false">IF($A118="","",COUNTIF($D118:$CO118,"✓"))</f>
        <v/>
      </c>
    </row>
    <row r="119" customFormat="false" ht="21.75" hidden="false" customHeight="true" outlineLevel="0" collapsed="false">
      <c r="A119" s="231" t="str">
        <f aca="false">IF(03_能力總表_Master!$A119="","",03_能力總表_Master!$A119)</f>
        <v/>
      </c>
      <c r="B119" s="166" t="str">
        <f aca="false">IF(03_能力總表_Master!$A119="","",03_能力總表_Master!$B119)</f>
        <v/>
      </c>
      <c r="C119" s="95" t="str">
        <f aca="false">IF(03_能力總表_Master!$A119="","",03_能力總表_Master!$E119)</f>
        <v/>
      </c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32"/>
      <c r="AQ119" s="232"/>
      <c r="AR119" s="232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232"/>
      <c r="BH119" s="232"/>
      <c r="BI119" s="232"/>
      <c r="BJ119" s="232"/>
      <c r="BK119" s="232"/>
      <c r="BL119" s="232"/>
      <c r="BM119" s="232"/>
      <c r="BN119" s="232"/>
      <c r="BO119" s="232"/>
      <c r="BP119" s="232"/>
      <c r="BQ119" s="232"/>
      <c r="BR119" s="232"/>
      <c r="BS119" s="232"/>
      <c r="BT119" s="232"/>
      <c r="BU119" s="232"/>
      <c r="BV119" s="232"/>
      <c r="BW119" s="232"/>
      <c r="BX119" s="232"/>
      <c r="BY119" s="232"/>
      <c r="BZ119" s="232"/>
      <c r="CA119" s="232"/>
      <c r="CB119" s="232"/>
      <c r="CC119" s="232"/>
      <c r="CD119" s="232"/>
      <c r="CE119" s="232"/>
      <c r="CF119" s="232"/>
      <c r="CG119" s="232"/>
      <c r="CH119" s="232"/>
      <c r="CI119" s="232"/>
      <c r="CJ119" s="232"/>
      <c r="CK119" s="232"/>
      <c r="CL119" s="232"/>
      <c r="CM119" s="232"/>
      <c r="CN119" s="232"/>
      <c r="CO119" s="232"/>
      <c r="CP119" s="233" t="str">
        <f aca="false">IF(AND(D119="✓",D$4&lt;&gt;""),D$4&amp;"; ","")&amp;IF(AND(E119="✓",E$4&lt;&gt;""),E$4&amp;"; ","")&amp;IF(AND(F119="✓",F$4&lt;&gt;""),F$4&amp;"; ","")&amp;IF(AND(G119="✓",G$4&lt;&gt;""),G$4&amp;"; ","")&amp;IF(AND(H119="✓",H$4&lt;&gt;""),H$4&amp;"; ","")&amp;IF(AND(I119="✓",I$4&lt;&gt;""),I$4&amp;"; ","")&amp;IF(AND(J119="✓",J$4&lt;&gt;""),J$4&amp;"; ","")&amp;IF(AND(K119="✓",K$4&lt;&gt;""),K$4&amp;"; ","")&amp;IF(AND(L119="✓",L$4&lt;&gt;""),L$4&amp;"; ","")&amp;IF(AND(M119="✓",M$4&lt;&gt;""),M$4&amp;"; ","")&amp;IF(AND(N119="✓",N$4&lt;&gt;""),N$4&amp;"; ","")&amp;IF(AND(O119="✓",O$4&lt;&gt;""),O$4&amp;"; ","")&amp;IF(AND(P119="✓",P$4&lt;&gt;""),P$4&amp;"; ","")&amp;IF(AND(Q119="✓",Q$4&lt;&gt;""),Q$4&amp;"; ","")&amp;IF(AND(R119="✓",R$4&lt;&gt;""),R$4&amp;"; ","")&amp;IF(AND(S119="✓",S$4&lt;&gt;""),S$4&amp;"; ","")&amp;IF(AND(T119="✓",T$4&lt;&gt;""),T$4&amp;"; ","")&amp;IF(AND(U119="✓",U$4&lt;&gt;""),U$4&amp;"; ","")&amp;IF(AND(V119="✓",V$4&lt;&gt;""),V$4&amp;"; ","")&amp;IF(AND(W119="✓",W$4&lt;&gt;""),W$4&amp;"; ","")&amp;IF(AND(X119="✓",X$4&lt;&gt;""),X$4&amp;"; ","")&amp;IF(AND(Y119="✓",Y$4&lt;&gt;""),Y$4&amp;"; ","")&amp;IF(AND(Z119="✓",Z$4&lt;&gt;""),Z$4&amp;"; ","")&amp;IF(AND(AA119="✓",AA$4&lt;&gt;""),AA$4&amp;"; ","")&amp;IF(AND(AB119="✓",AB$4&lt;&gt;""),AB$4&amp;"; ","")&amp;IF(AND(AC119="✓",AC$4&lt;&gt;""),AC$4&amp;"; ","")&amp;IF(AND(AD119="✓",AD$4&lt;&gt;""),AD$4&amp;"; ","")&amp;IF(AND(AE119="✓",AE$4&lt;&gt;""),AE$4&amp;"; ","")&amp;IF(AND(AF119="✓",AF$4&lt;&gt;""),AF$4&amp;"; ","")&amp;IF(AND(AG119="✓",AG$4&lt;&gt;""),AG$4&amp;"; ","")&amp;IF(AND(AH119="✓",AH$4&lt;&gt;""),AH$4&amp;"; ","")&amp;IF(AND(AI119="✓",AI$4&lt;&gt;""),AI$4&amp;"; ","")&amp;IF(AND(AJ119="✓",AJ$4&lt;&gt;""),AJ$4&amp;"; ","")&amp;IF(AND(AK119="✓",AK$4&lt;&gt;""),AK$4&amp;"; ","")&amp;IF(AND(AL119="✓",AL$4&lt;&gt;""),AL$4&amp;"; ","")&amp;IF(AND(AM119="✓",AM$4&lt;&gt;""),AM$4&amp;"; ","")&amp;IF(AND(AN119="✓",AN$4&lt;&gt;""),AN$4&amp;"; ","")&amp;IF(AND(AO119="✓",AO$4&lt;&gt;""),AO$4&amp;"; ","")&amp;IF(AND(AP119="✓",AP$4&lt;&gt;""),AP$4&amp;"; ","")&amp;IF(AND(AQ119="✓",AQ$4&lt;&gt;""),AQ$4&amp;"; ","")&amp;IF(AND(AR119="✓",AR$4&lt;&gt;""),AR$4&amp;"; ","")&amp;IF(AND(AS119="✓",AS$4&lt;&gt;""),AS$4&amp;"; ","")&amp;IF(AND(AT119="✓",AT$4&lt;&gt;""),AT$4&amp;"; ","")&amp;IF(AND(AU119="✓",AU$4&lt;&gt;""),AU$4&amp;"; ","")&amp;IF(AND(AV119="✓",AV$4&lt;&gt;""),AV$4&amp;"; ","")&amp;IF(AND(AW119="✓",AW$4&lt;&gt;""),AW$4&amp;"; ","")&amp;IF(AND(AX119="✓",AX$4&lt;&gt;""),AX$4&amp;"; ","")&amp;IF(AND(AY119="✓",AY$4&lt;&gt;""),AY$4&amp;"; ","")&amp;IF(AND(AZ119="✓",AZ$4&lt;&gt;""),AZ$4&amp;"; ","")&amp;IF(AND(BA119="✓",BA$4&lt;&gt;""),BA$4&amp;"; ","")&amp;IF(AND(BB119="✓",BB$4&lt;&gt;""),BB$4&amp;"; ","")&amp;IF(AND(BC119="✓",BC$4&lt;&gt;""),BC$4&amp;"; ","")&amp;IF(AND(BD119="✓",BD$4&lt;&gt;""),BD$4&amp;"; ","")&amp;IF(AND(BE119="✓",BE$4&lt;&gt;""),BE$4&amp;"; ","")&amp;IF(AND(BF119="✓",BF$4&lt;&gt;""),BF$4&amp;"; ","")&amp;IF(AND(BG119="✓",BG$4&lt;&gt;""),BG$4&amp;"; ","")&amp;IF(AND(BH119="✓",BH$4&lt;&gt;""),BH$4&amp;"; ","")&amp;IF(AND(BI119="✓",BI$4&lt;&gt;""),BI$4&amp;"; ","")&amp;IF(AND(BJ119="✓",BJ$4&lt;&gt;""),BJ$4&amp;"; ","")&amp;IF(AND(BK119="✓",BK$4&lt;&gt;""),BK$4&amp;"; ","")&amp;IF(AND(BL119="✓",BL$4&lt;&gt;""),BL$4&amp;"; ","")&amp;IF(AND(BM119="✓",BM$4&lt;&gt;""),BM$4&amp;"; ","")&amp;IF(AND(BN119="✓",BN$4&lt;&gt;""),BN$4&amp;"; ","")&amp;IF(AND(BO119="✓",BO$4&lt;&gt;""),BO$4&amp;"; ","")&amp;IF(AND(BP119="✓",BP$4&lt;&gt;""),BP$4&amp;"; ","")&amp;IF(AND(BQ119="✓",BQ$4&lt;&gt;""),BQ$4&amp;"; ","")&amp;IF(AND(BR119="✓",BR$4&lt;&gt;""),BR$4&amp;"; ","")&amp;IF(AND(BS119="✓",BS$4&lt;&gt;""),BS$4&amp;"; ","")&amp;IF(AND(BT119="✓",BT$4&lt;&gt;""),BT$4&amp;"; ","")&amp;IF(AND(BU119="✓",BU$4&lt;&gt;""),BU$4&amp;"; ","")&amp;IF(AND(BV119="✓",BV$4&lt;&gt;""),BV$4&amp;"; ","")&amp;IF(AND(BW119="✓",BW$4&lt;&gt;""),BW$4&amp;"; ","")&amp;IF(AND(BX119="✓",BX$4&lt;&gt;""),BX$4&amp;"; ","")&amp;IF(AND(BY119="✓",BY$4&lt;&gt;""),BY$4&amp;"; ","")&amp;IF(AND(BZ119="✓",BZ$4&lt;&gt;""),BZ$4&amp;"; ","")&amp;IF(AND(CA119="✓",CA$4&lt;&gt;""),CA$4&amp;"; ","")&amp;IF(AND(CB119="✓",CB$4&lt;&gt;""),CB$4&amp;"; ","")&amp;IF(AND(CC119="✓",CC$4&lt;&gt;""),CC$4&amp;"; ","")&amp;IF(AND(CD119="✓",CD$4&lt;&gt;""),CD$4&amp;"; ","")&amp;IF(AND(CE119="✓",CE$4&lt;&gt;""),CE$4&amp;"; ","")&amp;IF(AND(CF119="✓",CF$4&lt;&gt;""),CF$4&amp;"; ","")&amp;IF(AND(CG119="✓",CG$4&lt;&gt;""),CG$4&amp;"; ","")&amp;IF(AND(CH119="✓",CH$4&lt;&gt;""),CH$4&amp;"; ","")&amp;IF(AND(CI119="✓",CI$4&lt;&gt;""),CI$4&amp;"; ","")&amp;IF(AND(CJ119="✓",CJ$4&lt;&gt;""),CJ$4&amp;"; ","")&amp;IF(AND(CK119="✓",CK$4&lt;&gt;""),CK$4&amp;"; ","")&amp;IF(AND(CL119="✓",CL$4&lt;&gt;""),CL$4&amp;"; ","")&amp;IF(AND(CM119="✓",CM$4&lt;&gt;""),CM$4&amp;"; ","")&amp;IF(AND(CN119="✓",CN$4&lt;&gt;""),CN$4&amp;"; ","")&amp;IF(AND(CO119="✓",CO$4&lt;&gt;""),CO$4&amp;"; ","")</f>
        <v/>
      </c>
      <c r="CQ119" s="104" t="str">
        <f aca="false">IF($CP119="","",LEFT($CP119,LEN($CP119)-2))</f>
        <v/>
      </c>
      <c r="CR119" s="234" t="str">
        <f aca="false">IF($A119="","",COUNTIF($D119:$CO119,"✓"))</f>
        <v/>
      </c>
    </row>
    <row r="120" customFormat="false" ht="21.75" hidden="false" customHeight="true" outlineLevel="0" collapsed="false">
      <c r="A120" s="231" t="str">
        <f aca="false">IF(03_能力總表_Master!$A120="","",03_能力總表_Master!$A120)</f>
        <v/>
      </c>
      <c r="B120" s="166" t="str">
        <f aca="false">IF(03_能力總表_Master!$A120="","",03_能力總表_Master!$B120)</f>
        <v/>
      </c>
      <c r="C120" s="95" t="str">
        <f aca="false">IF(03_能力總表_Master!$A120="","",03_能力總表_Master!$E120)</f>
        <v/>
      </c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32"/>
      <c r="AQ120" s="232"/>
      <c r="AR120" s="232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232"/>
      <c r="BH120" s="232"/>
      <c r="BI120" s="232"/>
      <c r="BJ120" s="232"/>
      <c r="BK120" s="232"/>
      <c r="BL120" s="232"/>
      <c r="BM120" s="232"/>
      <c r="BN120" s="232"/>
      <c r="BO120" s="232"/>
      <c r="BP120" s="232"/>
      <c r="BQ120" s="232"/>
      <c r="BR120" s="232"/>
      <c r="BS120" s="232"/>
      <c r="BT120" s="232"/>
      <c r="BU120" s="232"/>
      <c r="BV120" s="232"/>
      <c r="BW120" s="232"/>
      <c r="BX120" s="232"/>
      <c r="BY120" s="232"/>
      <c r="BZ120" s="232"/>
      <c r="CA120" s="232"/>
      <c r="CB120" s="232"/>
      <c r="CC120" s="232"/>
      <c r="CD120" s="232"/>
      <c r="CE120" s="232"/>
      <c r="CF120" s="232"/>
      <c r="CG120" s="232"/>
      <c r="CH120" s="232"/>
      <c r="CI120" s="232"/>
      <c r="CJ120" s="232"/>
      <c r="CK120" s="232"/>
      <c r="CL120" s="232"/>
      <c r="CM120" s="232"/>
      <c r="CN120" s="232"/>
      <c r="CO120" s="232"/>
      <c r="CP120" s="233" t="str">
        <f aca="false">IF(AND(D120="✓",D$4&lt;&gt;""),D$4&amp;"; ","")&amp;IF(AND(E120="✓",E$4&lt;&gt;""),E$4&amp;"; ","")&amp;IF(AND(F120="✓",F$4&lt;&gt;""),F$4&amp;"; ","")&amp;IF(AND(G120="✓",G$4&lt;&gt;""),G$4&amp;"; ","")&amp;IF(AND(H120="✓",H$4&lt;&gt;""),H$4&amp;"; ","")&amp;IF(AND(I120="✓",I$4&lt;&gt;""),I$4&amp;"; ","")&amp;IF(AND(J120="✓",J$4&lt;&gt;""),J$4&amp;"; ","")&amp;IF(AND(K120="✓",K$4&lt;&gt;""),K$4&amp;"; ","")&amp;IF(AND(L120="✓",L$4&lt;&gt;""),L$4&amp;"; ","")&amp;IF(AND(M120="✓",M$4&lt;&gt;""),M$4&amp;"; ","")&amp;IF(AND(N120="✓",N$4&lt;&gt;""),N$4&amp;"; ","")&amp;IF(AND(O120="✓",O$4&lt;&gt;""),O$4&amp;"; ","")&amp;IF(AND(P120="✓",P$4&lt;&gt;""),P$4&amp;"; ","")&amp;IF(AND(Q120="✓",Q$4&lt;&gt;""),Q$4&amp;"; ","")&amp;IF(AND(R120="✓",R$4&lt;&gt;""),R$4&amp;"; ","")&amp;IF(AND(S120="✓",S$4&lt;&gt;""),S$4&amp;"; ","")&amp;IF(AND(T120="✓",T$4&lt;&gt;""),T$4&amp;"; ","")&amp;IF(AND(U120="✓",U$4&lt;&gt;""),U$4&amp;"; ","")&amp;IF(AND(V120="✓",V$4&lt;&gt;""),V$4&amp;"; ","")&amp;IF(AND(W120="✓",W$4&lt;&gt;""),W$4&amp;"; ","")&amp;IF(AND(X120="✓",X$4&lt;&gt;""),X$4&amp;"; ","")&amp;IF(AND(Y120="✓",Y$4&lt;&gt;""),Y$4&amp;"; ","")&amp;IF(AND(Z120="✓",Z$4&lt;&gt;""),Z$4&amp;"; ","")&amp;IF(AND(AA120="✓",AA$4&lt;&gt;""),AA$4&amp;"; ","")&amp;IF(AND(AB120="✓",AB$4&lt;&gt;""),AB$4&amp;"; ","")&amp;IF(AND(AC120="✓",AC$4&lt;&gt;""),AC$4&amp;"; ","")&amp;IF(AND(AD120="✓",AD$4&lt;&gt;""),AD$4&amp;"; ","")&amp;IF(AND(AE120="✓",AE$4&lt;&gt;""),AE$4&amp;"; ","")&amp;IF(AND(AF120="✓",AF$4&lt;&gt;""),AF$4&amp;"; ","")&amp;IF(AND(AG120="✓",AG$4&lt;&gt;""),AG$4&amp;"; ","")&amp;IF(AND(AH120="✓",AH$4&lt;&gt;""),AH$4&amp;"; ","")&amp;IF(AND(AI120="✓",AI$4&lt;&gt;""),AI$4&amp;"; ","")&amp;IF(AND(AJ120="✓",AJ$4&lt;&gt;""),AJ$4&amp;"; ","")&amp;IF(AND(AK120="✓",AK$4&lt;&gt;""),AK$4&amp;"; ","")&amp;IF(AND(AL120="✓",AL$4&lt;&gt;""),AL$4&amp;"; ","")&amp;IF(AND(AM120="✓",AM$4&lt;&gt;""),AM$4&amp;"; ","")&amp;IF(AND(AN120="✓",AN$4&lt;&gt;""),AN$4&amp;"; ","")&amp;IF(AND(AO120="✓",AO$4&lt;&gt;""),AO$4&amp;"; ","")&amp;IF(AND(AP120="✓",AP$4&lt;&gt;""),AP$4&amp;"; ","")&amp;IF(AND(AQ120="✓",AQ$4&lt;&gt;""),AQ$4&amp;"; ","")&amp;IF(AND(AR120="✓",AR$4&lt;&gt;""),AR$4&amp;"; ","")&amp;IF(AND(AS120="✓",AS$4&lt;&gt;""),AS$4&amp;"; ","")&amp;IF(AND(AT120="✓",AT$4&lt;&gt;""),AT$4&amp;"; ","")&amp;IF(AND(AU120="✓",AU$4&lt;&gt;""),AU$4&amp;"; ","")&amp;IF(AND(AV120="✓",AV$4&lt;&gt;""),AV$4&amp;"; ","")&amp;IF(AND(AW120="✓",AW$4&lt;&gt;""),AW$4&amp;"; ","")&amp;IF(AND(AX120="✓",AX$4&lt;&gt;""),AX$4&amp;"; ","")&amp;IF(AND(AY120="✓",AY$4&lt;&gt;""),AY$4&amp;"; ","")&amp;IF(AND(AZ120="✓",AZ$4&lt;&gt;""),AZ$4&amp;"; ","")&amp;IF(AND(BA120="✓",BA$4&lt;&gt;""),BA$4&amp;"; ","")&amp;IF(AND(BB120="✓",BB$4&lt;&gt;""),BB$4&amp;"; ","")&amp;IF(AND(BC120="✓",BC$4&lt;&gt;""),BC$4&amp;"; ","")&amp;IF(AND(BD120="✓",BD$4&lt;&gt;""),BD$4&amp;"; ","")&amp;IF(AND(BE120="✓",BE$4&lt;&gt;""),BE$4&amp;"; ","")&amp;IF(AND(BF120="✓",BF$4&lt;&gt;""),BF$4&amp;"; ","")&amp;IF(AND(BG120="✓",BG$4&lt;&gt;""),BG$4&amp;"; ","")&amp;IF(AND(BH120="✓",BH$4&lt;&gt;""),BH$4&amp;"; ","")&amp;IF(AND(BI120="✓",BI$4&lt;&gt;""),BI$4&amp;"; ","")&amp;IF(AND(BJ120="✓",BJ$4&lt;&gt;""),BJ$4&amp;"; ","")&amp;IF(AND(BK120="✓",BK$4&lt;&gt;""),BK$4&amp;"; ","")&amp;IF(AND(BL120="✓",BL$4&lt;&gt;""),BL$4&amp;"; ","")&amp;IF(AND(BM120="✓",BM$4&lt;&gt;""),BM$4&amp;"; ","")&amp;IF(AND(BN120="✓",BN$4&lt;&gt;""),BN$4&amp;"; ","")&amp;IF(AND(BO120="✓",BO$4&lt;&gt;""),BO$4&amp;"; ","")&amp;IF(AND(BP120="✓",BP$4&lt;&gt;""),BP$4&amp;"; ","")&amp;IF(AND(BQ120="✓",BQ$4&lt;&gt;""),BQ$4&amp;"; ","")&amp;IF(AND(BR120="✓",BR$4&lt;&gt;""),BR$4&amp;"; ","")&amp;IF(AND(BS120="✓",BS$4&lt;&gt;""),BS$4&amp;"; ","")&amp;IF(AND(BT120="✓",BT$4&lt;&gt;""),BT$4&amp;"; ","")&amp;IF(AND(BU120="✓",BU$4&lt;&gt;""),BU$4&amp;"; ","")&amp;IF(AND(BV120="✓",BV$4&lt;&gt;""),BV$4&amp;"; ","")&amp;IF(AND(BW120="✓",BW$4&lt;&gt;""),BW$4&amp;"; ","")&amp;IF(AND(BX120="✓",BX$4&lt;&gt;""),BX$4&amp;"; ","")&amp;IF(AND(BY120="✓",BY$4&lt;&gt;""),BY$4&amp;"; ","")&amp;IF(AND(BZ120="✓",BZ$4&lt;&gt;""),BZ$4&amp;"; ","")&amp;IF(AND(CA120="✓",CA$4&lt;&gt;""),CA$4&amp;"; ","")&amp;IF(AND(CB120="✓",CB$4&lt;&gt;""),CB$4&amp;"; ","")&amp;IF(AND(CC120="✓",CC$4&lt;&gt;""),CC$4&amp;"; ","")&amp;IF(AND(CD120="✓",CD$4&lt;&gt;""),CD$4&amp;"; ","")&amp;IF(AND(CE120="✓",CE$4&lt;&gt;""),CE$4&amp;"; ","")&amp;IF(AND(CF120="✓",CF$4&lt;&gt;""),CF$4&amp;"; ","")&amp;IF(AND(CG120="✓",CG$4&lt;&gt;""),CG$4&amp;"; ","")&amp;IF(AND(CH120="✓",CH$4&lt;&gt;""),CH$4&amp;"; ","")&amp;IF(AND(CI120="✓",CI$4&lt;&gt;""),CI$4&amp;"; ","")&amp;IF(AND(CJ120="✓",CJ$4&lt;&gt;""),CJ$4&amp;"; ","")&amp;IF(AND(CK120="✓",CK$4&lt;&gt;""),CK$4&amp;"; ","")&amp;IF(AND(CL120="✓",CL$4&lt;&gt;""),CL$4&amp;"; ","")&amp;IF(AND(CM120="✓",CM$4&lt;&gt;""),CM$4&amp;"; ","")&amp;IF(AND(CN120="✓",CN$4&lt;&gt;""),CN$4&amp;"; ","")&amp;IF(AND(CO120="✓",CO$4&lt;&gt;""),CO$4&amp;"; ","")</f>
        <v/>
      </c>
      <c r="CQ120" s="104" t="str">
        <f aca="false">IF($CP120="","",LEFT($CP120,LEN($CP120)-2))</f>
        <v/>
      </c>
      <c r="CR120" s="234" t="str">
        <f aca="false">IF($A120="","",COUNTIF($D120:$CO120,"✓"))</f>
        <v/>
      </c>
    </row>
    <row r="121" customFormat="false" ht="21.75" hidden="false" customHeight="true" outlineLevel="0" collapsed="false">
      <c r="A121" s="231" t="str">
        <f aca="false">IF(03_能力總表_Master!$A121="","",03_能力總表_Master!$A121)</f>
        <v/>
      </c>
      <c r="B121" s="166" t="str">
        <f aca="false">IF(03_能力總表_Master!$A121="","",03_能力總表_Master!$B121)</f>
        <v/>
      </c>
      <c r="C121" s="95" t="str">
        <f aca="false">IF(03_能力總表_Master!$A121="","",03_能力總表_Master!$E121)</f>
        <v/>
      </c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32"/>
      <c r="AQ121" s="232"/>
      <c r="AR121" s="232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232"/>
      <c r="BH121" s="232"/>
      <c r="BI121" s="232"/>
      <c r="BJ121" s="232"/>
      <c r="BK121" s="232"/>
      <c r="BL121" s="232"/>
      <c r="BM121" s="232"/>
      <c r="BN121" s="232"/>
      <c r="BO121" s="232"/>
      <c r="BP121" s="232"/>
      <c r="BQ121" s="232"/>
      <c r="BR121" s="232"/>
      <c r="BS121" s="232"/>
      <c r="BT121" s="232"/>
      <c r="BU121" s="232"/>
      <c r="BV121" s="232"/>
      <c r="BW121" s="232"/>
      <c r="BX121" s="232"/>
      <c r="BY121" s="232"/>
      <c r="BZ121" s="232"/>
      <c r="CA121" s="232"/>
      <c r="CB121" s="232"/>
      <c r="CC121" s="232"/>
      <c r="CD121" s="232"/>
      <c r="CE121" s="232"/>
      <c r="CF121" s="232"/>
      <c r="CG121" s="232"/>
      <c r="CH121" s="232"/>
      <c r="CI121" s="232"/>
      <c r="CJ121" s="232"/>
      <c r="CK121" s="232"/>
      <c r="CL121" s="232"/>
      <c r="CM121" s="232"/>
      <c r="CN121" s="232"/>
      <c r="CO121" s="232"/>
      <c r="CP121" s="233" t="str">
        <f aca="false">IF(AND(D121="✓",D$4&lt;&gt;""),D$4&amp;"; ","")&amp;IF(AND(E121="✓",E$4&lt;&gt;""),E$4&amp;"; ","")&amp;IF(AND(F121="✓",F$4&lt;&gt;""),F$4&amp;"; ","")&amp;IF(AND(G121="✓",G$4&lt;&gt;""),G$4&amp;"; ","")&amp;IF(AND(H121="✓",H$4&lt;&gt;""),H$4&amp;"; ","")&amp;IF(AND(I121="✓",I$4&lt;&gt;""),I$4&amp;"; ","")&amp;IF(AND(J121="✓",J$4&lt;&gt;""),J$4&amp;"; ","")&amp;IF(AND(K121="✓",K$4&lt;&gt;""),K$4&amp;"; ","")&amp;IF(AND(L121="✓",L$4&lt;&gt;""),L$4&amp;"; ","")&amp;IF(AND(M121="✓",M$4&lt;&gt;""),M$4&amp;"; ","")&amp;IF(AND(N121="✓",N$4&lt;&gt;""),N$4&amp;"; ","")&amp;IF(AND(O121="✓",O$4&lt;&gt;""),O$4&amp;"; ","")&amp;IF(AND(P121="✓",P$4&lt;&gt;""),P$4&amp;"; ","")&amp;IF(AND(Q121="✓",Q$4&lt;&gt;""),Q$4&amp;"; ","")&amp;IF(AND(R121="✓",R$4&lt;&gt;""),R$4&amp;"; ","")&amp;IF(AND(S121="✓",S$4&lt;&gt;""),S$4&amp;"; ","")&amp;IF(AND(T121="✓",T$4&lt;&gt;""),T$4&amp;"; ","")&amp;IF(AND(U121="✓",U$4&lt;&gt;""),U$4&amp;"; ","")&amp;IF(AND(V121="✓",V$4&lt;&gt;""),V$4&amp;"; ","")&amp;IF(AND(W121="✓",W$4&lt;&gt;""),W$4&amp;"; ","")&amp;IF(AND(X121="✓",X$4&lt;&gt;""),X$4&amp;"; ","")&amp;IF(AND(Y121="✓",Y$4&lt;&gt;""),Y$4&amp;"; ","")&amp;IF(AND(Z121="✓",Z$4&lt;&gt;""),Z$4&amp;"; ","")&amp;IF(AND(AA121="✓",AA$4&lt;&gt;""),AA$4&amp;"; ","")&amp;IF(AND(AB121="✓",AB$4&lt;&gt;""),AB$4&amp;"; ","")&amp;IF(AND(AC121="✓",AC$4&lt;&gt;""),AC$4&amp;"; ","")&amp;IF(AND(AD121="✓",AD$4&lt;&gt;""),AD$4&amp;"; ","")&amp;IF(AND(AE121="✓",AE$4&lt;&gt;""),AE$4&amp;"; ","")&amp;IF(AND(AF121="✓",AF$4&lt;&gt;""),AF$4&amp;"; ","")&amp;IF(AND(AG121="✓",AG$4&lt;&gt;""),AG$4&amp;"; ","")&amp;IF(AND(AH121="✓",AH$4&lt;&gt;""),AH$4&amp;"; ","")&amp;IF(AND(AI121="✓",AI$4&lt;&gt;""),AI$4&amp;"; ","")&amp;IF(AND(AJ121="✓",AJ$4&lt;&gt;""),AJ$4&amp;"; ","")&amp;IF(AND(AK121="✓",AK$4&lt;&gt;""),AK$4&amp;"; ","")&amp;IF(AND(AL121="✓",AL$4&lt;&gt;""),AL$4&amp;"; ","")&amp;IF(AND(AM121="✓",AM$4&lt;&gt;""),AM$4&amp;"; ","")&amp;IF(AND(AN121="✓",AN$4&lt;&gt;""),AN$4&amp;"; ","")&amp;IF(AND(AO121="✓",AO$4&lt;&gt;""),AO$4&amp;"; ","")&amp;IF(AND(AP121="✓",AP$4&lt;&gt;""),AP$4&amp;"; ","")&amp;IF(AND(AQ121="✓",AQ$4&lt;&gt;""),AQ$4&amp;"; ","")&amp;IF(AND(AR121="✓",AR$4&lt;&gt;""),AR$4&amp;"; ","")&amp;IF(AND(AS121="✓",AS$4&lt;&gt;""),AS$4&amp;"; ","")&amp;IF(AND(AT121="✓",AT$4&lt;&gt;""),AT$4&amp;"; ","")&amp;IF(AND(AU121="✓",AU$4&lt;&gt;""),AU$4&amp;"; ","")&amp;IF(AND(AV121="✓",AV$4&lt;&gt;""),AV$4&amp;"; ","")&amp;IF(AND(AW121="✓",AW$4&lt;&gt;""),AW$4&amp;"; ","")&amp;IF(AND(AX121="✓",AX$4&lt;&gt;""),AX$4&amp;"; ","")&amp;IF(AND(AY121="✓",AY$4&lt;&gt;""),AY$4&amp;"; ","")&amp;IF(AND(AZ121="✓",AZ$4&lt;&gt;""),AZ$4&amp;"; ","")&amp;IF(AND(BA121="✓",BA$4&lt;&gt;""),BA$4&amp;"; ","")&amp;IF(AND(BB121="✓",BB$4&lt;&gt;""),BB$4&amp;"; ","")&amp;IF(AND(BC121="✓",BC$4&lt;&gt;""),BC$4&amp;"; ","")&amp;IF(AND(BD121="✓",BD$4&lt;&gt;""),BD$4&amp;"; ","")&amp;IF(AND(BE121="✓",BE$4&lt;&gt;""),BE$4&amp;"; ","")&amp;IF(AND(BF121="✓",BF$4&lt;&gt;""),BF$4&amp;"; ","")&amp;IF(AND(BG121="✓",BG$4&lt;&gt;""),BG$4&amp;"; ","")&amp;IF(AND(BH121="✓",BH$4&lt;&gt;""),BH$4&amp;"; ","")&amp;IF(AND(BI121="✓",BI$4&lt;&gt;""),BI$4&amp;"; ","")&amp;IF(AND(BJ121="✓",BJ$4&lt;&gt;""),BJ$4&amp;"; ","")&amp;IF(AND(BK121="✓",BK$4&lt;&gt;""),BK$4&amp;"; ","")&amp;IF(AND(BL121="✓",BL$4&lt;&gt;""),BL$4&amp;"; ","")&amp;IF(AND(BM121="✓",BM$4&lt;&gt;""),BM$4&amp;"; ","")&amp;IF(AND(BN121="✓",BN$4&lt;&gt;""),BN$4&amp;"; ","")&amp;IF(AND(BO121="✓",BO$4&lt;&gt;""),BO$4&amp;"; ","")&amp;IF(AND(BP121="✓",BP$4&lt;&gt;""),BP$4&amp;"; ","")&amp;IF(AND(BQ121="✓",BQ$4&lt;&gt;""),BQ$4&amp;"; ","")&amp;IF(AND(BR121="✓",BR$4&lt;&gt;""),BR$4&amp;"; ","")&amp;IF(AND(BS121="✓",BS$4&lt;&gt;""),BS$4&amp;"; ","")&amp;IF(AND(BT121="✓",BT$4&lt;&gt;""),BT$4&amp;"; ","")&amp;IF(AND(BU121="✓",BU$4&lt;&gt;""),BU$4&amp;"; ","")&amp;IF(AND(BV121="✓",BV$4&lt;&gt;""),BV$4&amp;"; ","")&amp;IF(AND(BW121="✓",BW$4&lt;&gt;""),BW$4&amp;"; ","")&amp;IF(AND(BX121="✓",BX$4&lt;&gt;""),BX$4&amp;"; ","")&amp;IF(AND(BY121="✓",BY$4&lt;&gt;""),BY$4&amp;"; ","")&amp;IF(AND(BZ121="✓",BZ$4&lt;&gt;""),BZ$4&amp;"; ","")&amp;IF(AND(CA121="✓",CA$4&lt;&gt;""),CA$4&amp;"; ","")&amp;IF(AND(CB121="✓",CB$4&lt;&gt;""),CB$4&amp;"; ","")&amp;IF(AND(CC121="✓",CC$4&lt;&gt;""),CC$4&amp;"; ","")&amp;IF(AND(CD121="✓",CD$4&lt;&gt;""),CD$4&amp;"; ","")&amp;IF(AND(CE121="✓",CE$4&lt;&gt;""),CE$4&amp;"; ","")&amp;IF(AND(CF121="✓",CF$4&lt;&gt;""),CF$4&amp;"; ","")&amp;IF(AND(CG121="✓",CG$4&lt;&gt;""),CG$4&amp;"; ","")&amp;IF(AND(CH121="✓",CH$4&lt;&gt;""),CH$4&amp;"; ","")&amp;IF(AND(CI121="✓",CI$4&lt;&gt;""),CI$4&amp;"; ","")&amp;IF(AND(CJ121="✓",CJ$4&lt;&gt;""),CJ$4&amp;"; ","")&amp;IF(AND(CK121="✓",CK$4&lt;&gt;""),CK$4&amp;"; ","")&amp;IF(AND(CL121="✓",CL$4&lt;&gt;""),CL$4&amp;"; ","")&amp;IF(AND(CM121="✓",CM$4&lt;&gt;""),CM$4&amp;"; ","")&amp;IF(AND(CN121="✓",CN$4&lt;&gt;""),CN$4&amp;"; ","")&amp;IF(AND(CO121="✓",CO$4&lt;&gt;""),CO$4&amp;"; ","")</f>
        <v/>
      </c>
      <c r="CQ121" s="104" t="str">
        <f aca="false">IF($CP121="","",LEFT($CP121,LEN($CP121)-2))</f>
        <v/>
      </c>
      <c r="CR121" s="234" t="str">
        <f aca="false">IF($A121="","",COUNTIF($D121:$CO121,"✓"))</f>
        <v/>
      </c>
    </row>
    <row r="122" customFormat="false" ht="21.75" hidden="false" customHeight="true" outlineLevel="0" collapsed="false">
      <c r="A122" s="231" t="str">
        <f aca="false">IF(03_能力總表_Master!$A122="","",03_能力總表_Master!$A122)</f>
        <v/>
      </c>
      <c r="B122" s="166" t="str">
        <f aca="false">IF(03_能力總表_Master!$A122="","",03_能力總表_Master!$B122)</f>
        <v/>
      </c>
      <c r="C122" s="95" t="str">
        <f aca="false">IF(03_能力總表_Master!$A122="","",03_能力總表_Master!$E122)</f>
        <v/>
      </c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32"/>
      <c r="AQ122" s="232"/>
      <c r="AR122" s="232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232"/>
      <c r="BH122" s="232"/>
      <c r="BI122" s="232"/>
      <c r="BJ122" s="232"/>
      <c r="BK122" s="232"/>
      <c r="BL122" s="232"/>
      <c r="BM122" s="232"/>
      <c r="BN122" s="232"/>
      <c r="BO122" s="232"/>
      <c r="BP122" s="232"/>
      <c r="BQ122" s="232"/>
      <c r="BR122" s="232"/>
      <c r="BS122" s="232"/>
      <c r="BT122" s="232"/>
      <c r="BU122" s="232"/>
      <c r="BV122" s="232"/>
      <c r="BW122" s="232"/>
      <c r="BX122" s="232"/>
      <c r="BY122" s="232"/>
      <c r="BZ122" s="232"/>
      <c r="CA122" s="232"/>
      <c r="CB122" s="232"/>
      <c r="CC122" s="232"/>
      <c r="CD122" s="232"/>
      <c r="CE122" s="232"/>
      <c r="CF122" s="232"/>
      <c r="CG122" s="232"/>
      <c r="CH122" s="232"/>
      <c r="CI122" s="232"/>
      <c r="CJ122" s="232"/>
      <c r="CK122" s="232"/>
      <c r="CL122" s="232"/>
      <c r="CM122" s="232"/>
      <c r="CN122" s="232"/>
      <c r="CO122" s="232"/>
      <c r="CP122" s="233" t="str">
        <f aca="false">IF(AND(D122="✓",D$4&lt;&gt;""),D$4&amp;"; ","")&amp;IF(AND(E122="✓",E$4&lt;&gt;""),E$4&amp;"; ","")&amp;IF(AND(F122="✓",F$4&lt;&gt;""),F$4&amp;"; ","")&amp;IF(AND(G122="✓",G$4&lt;&gt;""),G$4&amp;"; ","")&amp;IF(AND(H122="✓",H$4&lt;&gt;""),H$4&amp;"; ","")&amp;IF(AND(I122="✓",I$4&lt;&gt;""),I$4&amp;"; ","")&amp;IF(AND(J122="✓",J$4&lt;&gt;""),J$4&amp;"; ","")&amp;IF(AND(K122="✓",K$4&lt;&gt;""),K$4&amp;"; ","")&amp;IF(AND(L122="✓",L$4&lt;&gt;""),L$4&amp;"; ","")&amp;IF(AND(M122="✓",M$4&lt;&gt;""),M$4&amp;"; ","")&amp;IF(AND(N122="✓",N$4&lt;&gt;""),N$4&amp;"; ","")&amp;IF(AND(O122="✓",O$4&lt;&gt;""),O$4&amp;"; ","")&amp;IF(AND(P122="✓",P$4&lt;&gt;""),P$4&amp;"; ","")&amp;IF(AND(Q122="✓",Q$4&lt;&gt;""),Q$4&amp;"; ","")&amp;IF(AND(R122="✓",R$4&lt;&gt;""),R$4&amp;"; ","")&amp;IF(AND(S122="✓",S$4&lt;&gt;""),S$4&amp;"; ","")&amp;IF(AND(T122="✓",T$4&lt;&gt;""),T$4&amp;"; ","")&amp;IF(AND(U122="✓",U$4&lt;&gt;""),U$4&amp;"; ","")&amp;IF(AND(V122="✓",V$4&lt;&gt;""),V$4&amp;"; ","")&amp;IF(AND(W122="✓",W$4&lt;&gt;""),W$4&amp;"; ","")&amp;IF(AND(X122="✓",X$4&lt;&gt;""),X$4&amp;"; ","")&amp;IF(AND(Y122="✓",Y$4&lt;&gt;""),Y$4&amp;"; ","")&amp;IF(AND(Z122="✓",Z$4&lt;&gt;""),Z$4&amp;"; ","")&amp;IF(AND(AA122="✓",AA$4&lt;&gt;""),AA$4&amp;"; ","")&amp;IF(AND(AB122="✓",AB$4&lt;&gt;""),AB$4&amp;"; ","")&amp;IF(AND(AC122="✓",AC$4&lt;&gt;""),AC$4&amp;"; ","")&amp;IF(AND(AD122="✓",AD$4&lt;&gt;""),AD$4&amp;"; ","")&amp;IF(AND(AE122="✓",AE$4&lt;&gt;""),AE$4&amp;"; ","")&amp;IF(AND(AF122="✓",AF$4&lt;&gt;""),AF$4&amp;"; ","")&amp;IF(AND(AG122="✓",AG$4&lt;&gt;""),AG$4&amp;"; ","")&amp;IF(AND(AH122="✓",AH$4&lt;&gt;""),AH$4&amp;"; ","")&amp;IF(AND(AI122="✓",AI$4&lt;&gt;""),AI$4&amp;"; ","")&amp;IF(AND(AJ122="✓",AJ$4&lt;&gt;""),AJ$4&amp;"; ","")&amp;IF(AND(AK122="✓",AK$4&lt;&gt;""),AK$4&amp;"; ","")&amp;IF(AND(AL122="✓",AL$4&lt;&gt;""),AL$4&amp;"; ","")&amp;IF(AND(AM122="✓",AM$4&lt;&gt;""),AM$4&amp;"; ","")&amp;IF(AND(AN122="✓",AN$4&lt;&gt;""),AN$4&amp;"; ","")&amp;IF(AND(AO122="✓",AO$4&lt;&gt;""),AO$4&amp;"; ","")&amp;IF(AND(AP122="✓",AP$4&lt;&gt;""),AP$4&amp;"; ","")&amp;IF(AND(AQ122="✓",AQ$4&lt;&gt;""),AQ$4&amp;"; ","")&amp;IF(AND(AR122="✓",AR$4&lt;&gt;""),AR$4&amp;"; ","")&amp;IF(AND(AS122="✓",AS$4&lt;&gt;""),AS$4&amp;"; ","")&amp;IF(AND(AT122="✓",AT$4&lt;&gt;""),AT$4&amp;"; ","")&amp;IF(AND(AU122="✓",AU$4&lt;&gt;""),AU$4&amp;"; ","")&amp;IF(AND(AV122="✓",AV$4&lt;&gt;""),AV$4&amp;"; ","")&amp;IF(AND(AW122="✓",AW$4&lt;&gt;""),AW$4&amp;"; ","")&amp;IF(AND(AX122="✓",AX$4&lt;&gt;""),AX$4&amp;"; ","")&amp;IF(AND(AY122="✓",AY$4&lt;&gt;""),AY$4&amp;"; ","")&amp;IF(AND(AZ122="✓",AZ$4&lt;&gt;""),AZ$4&amp;"; ","")&amp;IF(AND(BA122="✓",BA$4&lt;&gt;""),BA$4&amp;"; ","")&amp;IF(AND(BB122="✓",BB$4&lt;&gt;""),BB$4&amp;"; ","")&amp;IF(AND(BC122="✓",BC$4&lt;&gt;""),BC$4&amp;"; ","")&amp;IF(AND(BD122="✓",BD$4&lt;&gt;""),BD$4&amp;"; ","")&amp;IF(AND(BE122="✓",BE$4&lt;&gt;""),BE$4&amp;"; ","")&amp;IF(AND(BF122="✓",BF$4&lt;&gt;""),BF$4&amp;"; ","")&amp;IF(AND(BG122="✓",BG$4&lt;&gt;""),BG$4&amp;"; ","")&amp;IF(AND(BH122="✓",BH$4&lt;&gt;""),BH$4&amp;"; ","")&amp;IF(AND(BI122="✓",BI$4&lt;&gt;""),BI$4&amp;"; ","")&amp;IF(AND(BJ122="✓",BJ$4&lt;&gt;""),BJ$4&amp;"; ","")&amp;IF(AND(BK122="✓",BK$4&lt;&gt;""),BK$4&amp;"; ","")&amp;IF(AND(BL122="✓",BL$4&lt;&gt;""),BL$4&amp;"; ","")&amp;IF(AND(BM122="✓",BM$4&lt;&gt;""),BM$4&amp;"; ","")&amp;IF(AND(BN122="✓",BN$4&lt;&gt;""),BN$4&amp;"; ","")&amp;IF(AND(BO122="✓",BO$4&lt;&gt;""),BO$4&amp;"; ","")&amp;IF(AND(BP122="✓",BP$4&lt;&gt;""),BP$4&amp;"; ","")&amp;IF(AND(BQ122="✓",BQ$4&lt;&gt;""),BQ$4&amp;"; ","")&amp;IF(AND(BR122="✓",BR$4&lt;&gt;""),BR$4&amp;"; ","")&amp;IF(AND(BS122="✓",BS$4&lt;&gt;""),BS$4&amp;"; ","")&amp;IF(AND(BT122="✓",BT$4&lt;&gt;""),BT$4&amp;"; ","")&amp;IF(AND(BU122="✓",BU$4&lt;&gt;""),BU$4&amp;"; ","")&amp;IF(AND(BV122="✓",BV$4&lt;&gt;""),BV$4&amp;"; ","")&amp;IF(AND(BW122="✓",BW$4&lt;&gt;""),BW$4&amp;"; ","")&amp;IF(AND(BX122="✓",BX$4&lt;&gt;""),BX$4&amp;"; ","")&amp;IF(AND(BY122="✓",BY$4&lt;&gt;""),BY$4&amp;"; ","")&amp;IF(AND(BZ122="✓",BZ$4&lt;&gt;""),BZ$4&amp;"; ","")&amp;IF(AND(CA122="✓",CA$4&lt;&gt;""),CA$4&amp;"; ","")&amp;IF(AND(CB122="✓",CB$4&lt;&gt;""),CB$4&amp;"; ","")&amp;IF(AND(CC122="✓",CC$4&lt;&gt;""),CC$4&amp;"; ","")&amp;IF(AND(CD122="✓",CD$4&lt;&gt;""),CD$4&amp;"; ","")&amp;IF(AND(CE122="✓",CE$4&lt;&gt;""),CE$4&amp;"; ","")&amp;IF(AND(CF122="✓",CF$4&lt;&gt;""),CF$4&amp;"; ","")&amp;IF(AND(CG122="✓",CG$4&lt;&gt;""),CG$4&amp;"; ","")&amp;IF(AND(CH122="✓",CH$4&lt;&gt;""),CH$4&amp;"; ","")&amp;IF(AND(CI122="✓",CI$4&lt;&gt;""),CI$4&amp;"; ","")&amp;IF(AND(CJ122="✓",CJ$4&lt;&gt;""),CJ$4&amp;"; ","")&amp;IF(AND(CK122="✓",CK$4&lt;&gt;""),CK$4&amp;"; ","")&amp;IF(AND(CL122="✓",CL$4&lt;&gt;""),CL$4&amp;"; ","")&amp;IF(AND(CM122="✓",CM$4&lt;&gt;""),CM$4&amp;"; ","")&amp;IF(AND(CN122="✓",CN$4&lt;&gt;""),CN$4&amp;"; ","")&amp;IF(AND(CO122="✓",CO$4&lt;&gt;""),CO$4&amp;"; ","")</f>
        <v/>
      </c>
      <c r="CQ122" s="104" t="str">
        <f aca="false">IF($CP122="","",LEFT($CP122,LEN($CP122)-2))</f>
        <v/>
      </c>
      <c r="CR122" s="234" t="str">
        <f aca="false">IF($A122="","",COUNTIF($D122:$CO122,"✓"))</f>
        <v/>
      </c>
    </row>
    <row r="123" customFormat="false" ht="21.75" hidden="false" customHeight="true" outlineLevel="0" collapsed="false">
      <c r="A123" s="231" t="str">
        <f aca="false">IF(03_能力總表_Master!$A123="","",03_能力總表_Master!$A123)</f>
        <v/>
      </c>
      <c r="B123" s="166" t="str">
        <f aca="false">IF(03_能力總表_Master!$A123="","",03_能力總表_Master!$B123)</f>
        <v/>
      </c>
      <c r="C123" s="95" t="str">
        <f aca="false">IF(03_能力總表_Master!$A123="","",03_能力總表_Master!$E123)</f>
        <v/>
      </c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32"/>
      <c r="AQ123" s="232"/>
      <c r="AR123" s="232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232"/>
      <c r="BH123" s="232"/>
      <c r="BI123" s="232"/>
      <c r="BJ123" s="232"/>
      <c r="BK123" s="232"/>
      <c r="BL123" s="232"/>
      <c r="BM123" s="232"/>
      <c r="BN123" s="232"/>
      <c r="BO123" s="232"/>
      <c r="BP123" s="232"/>
      <c r="BQ123" s="232"/>
      <c r="BR123" s="232"/>
      <c r="BS123" s="232"/>
      <c r="BT123" s="232"/>
      <c r="BU123" s="232"/>
      <c r="BV123" s="232"/>
      <c r="BW123" s="232"/>
      <c r="BX123" s="232"/>
      <c r="BY123" s="232"/>
      <c r="BZ123" s="232"/>
      <c r="CA123" s="232"/>
      <c r="CB123" s="232"/>
      <c r="CC123" s="232"/>
      <c r="CD123" s="232"/>
      <c r="CE123" s="232"/>
      <c r="CF123" s="232"/>
      <c r="CG123" s="232"/>
      <c r="CH123" s="232"/>
      <c r="CI123" s="232"/>
      <c r="CJ123" s="232"/>
      <c r="CK123" s="232"/>
      <c r="CL123" s="232"/>
      <c r="CM123" s="232"/>
      <c r="CN123" s="232"/>
      <c r="CO123" s="232"/>
      <c r="CP123" s="233" t="str">
        <f aca="false">IF(AND(D123="✓",D$4&lt;&gt;""),D$4&amp;"; ","")&amp;IF(AND(E123="✓",E$4&lt;&gt;""),E$4&amp;"; ","")&amp;IF(AND(F123="✓",F$4&lt;&gt;""),F$4&amp;"; ","")&amp;IF(AND(G123="✓",G$4&lt;&gt;""),G$4&amp;"; ","")&amp;IF(AND(H123="✓",H$4&lt;&gt;""),H$4&amp;"; ","")&amp;IF(AND(I123="✓",I$4&lt;&gt;""),I$4&amp;"; ","")&amp;IF(AND(J123="✓",J$4&lt;&gt;""),J$4&amp;"; ","")&amp;IF(AND(K123="✓",K$4&lt;&gt;""),K$4&amp;"; ","")&amp;IF(AND(L123="✓",L$4&lt;&gt;""),L$4&amp;"; ","")&amp;IF(AND(M123="✓",M$4&lt;&gt;""),M$4&amp;"; ","")&amp;IF(AND(N123="✓",N$4&lt;&gt;""),N$4&amp;"; ","")&amp;IF(AND(O123="✓",O$4&lt;&gt;""),O$4&amp;"; ","")&amp;IF(AND(P123="✓",P$4&lt;&gt;""),P$4&amp;"; ","")&amp;IF(AND(Q123="✓",Q$4&lt;&gt;""),Q$4&amp;"; ","")&amp;IF(AND(R123="✓",R$4&lt;&gt;""),R$4&amp;"; ","")&amp;IF(AND(S123="✓",S$4&lt;&gt;""),S$4&amp;"; ","")&amp;IF(AND(T123="✓",T$4&lt;&gt;""),T$4&amp;"; ","")&amp;IF(AND(U123="✓",U$4&lt;&gt;""),U$4&amp;"; ","")&amp;IF(AND(V123="✓",V$4&lt;&gt;""),V$4&amp;"; ","")&amp;IF(AND(W123="✓",W$4&lt;&gt;""),W$4&amp;"; ","")&amp;IF(AND(X123="✓",X$4&lt;&gt;""),X$4&amp;"; ","")&amp;IF(AND(Y123="✓",Y$4&lt;&gt;""),Y$4&amp;"; ","")&amp;IF(AND(Z123="✓",Z$4&lt;&gt;""),Z$4&amp;"; ","")&amp;IF(AND(AA123="✓",AA$4&lt;&gt;""),AA$4&amp;"; ","")&amp;IF(AND(AB123="✓",AB$4&lt;&gt;""),AB$4&amp;"; ","")&amp;IF(AND(AC123="✓",AC$4&lt;&gt;""),AC$4&amp;"; ","")&amp;IF(AND(AD123="✓",AD$4&lt;&gt;""),AD$4&amp;"; ","")&amp;IF(AND(AE123="✓",AE$4&lt;&gt;""),AE$4&amp;"; ","")&amp;IF(AND(AF123="✓",AF$4&lt;&gt;""),AF$4&amp;"; ","")&amp;IF(AND(AG123="✓",AG$4&lt;&gt;""),AG$4&amp;"; ","")&amp;IF(AND(AH123="✓",AH$4&lt;&gt;""),AH$4&amp;"; ","")&amp;IF(AND(AI123="✓",AI$4&lt;&gt;""),AI$4&amp;"; ","")&amp;IF(AND(AJ123="✓",AJ$4&lt;&gt;""),AJ$4&amp;"; ","")&amp;IF(AND(AK123="✓",AK$4&lt;&gt;""),AK$4&amp;"; ","")&amp;IF(AND(AL123="✓",AL$4&lt;&gt;""),AL$4&amp;"; ","")&amp;IF(AND(AM123="✓",AM$4&lt;&gt;""),AM$4&amp;"; ","")&amp;IF(AND(AN123="✓",AN$4&lt;&gt;""),AN$4&amp;"; ","")&amp;IF(AND(AO123="✓",AO$4&lt;&gt;""),AO$4&amp;"; ","")&amp;IF(AND(AP123="✓",AP$4&lt;&gt;""),AP$4&amp;"; ","")&amp;IF(AND(AQ123="✓",AQ$4&lt;&gt;""),AQ$4&amp;"; ","")&amp;IF(AND(AR123="✓",AR$4&lt;&gt;""),AR$4&amp;"; ","")&amp;IF(AND(AS123="✓",AS$4&lt;&gt;""),AS$4&amp;"; ","")&amp;IF(AND(AT123="✓",AT$4&lt;&gt;""),AT$4&amp;"; ","")&amp;IF(AND(AU123="✓",AU$4&lt;&gt;""),AU$4&amp;"; ","")&amp;IF(AND(AV123="✓",AV$4&lt;&gt;""),AV$4&amp;"; ","")&amp;IF(AND(AW123="✓",AW$4&lt;&gt;""),AW$4&amp;"; ","")&amp;IF(AND(AX123="✓",AX$4&lt;&gt;""),AX$4&amp;"; ","")&amp;IF(AND(AY123="✓",AY$4&lt;&gt;""),AY$4&amp;"; ","")&amp;IF(AND(AZ123="✓",AZ$4&lt;&gt;""),AZ$4&amp;"; ","")&amp;IF(AND(BA123="✓",BA$4&lt;&gt;""),BA$4&amp;"; ","")&amp;IF(AND(BB123="✓",BB$4&lt;&gt;""),BB$4&amp;"; ","")&amp;IF(AND(BC123="✓",BC$4&lt;&gt;""),BC$4&amp;"; ","")&amp;IF(AND(BD123="✓",BD$4&lt;&gt;""),BD$4&amp;"; ","")&amp;IF(AND(BE123="✓",BE$4&lt;&gt;""),BE$4&amp;"; ","")&amp;IF(AND(BF123="✓",BF$4&lt;&gt;""),BF$4&amp;"; ","")&amp;IF(AND(BG123="✓",BG$4&lt;&gt;""),BG$4&amp;"; ","")&amp;IF(AND(BH123="✓",BH$4&lt;&gt;""),BH$4&amp;"; ","")&amp;IF(AND(BI123="✓",BI$4&lt;&gt;""),BI$4&amp;"; ","")&amp;IF(AND(BJ123="✓",BJ$4&lt;&gt;""),BJ$4&amp;"; ","")&amp;IF(AND(BK123="✓",BK$4&lt;&gt;""),BK$4&amp;"; ","")&amp;IF(AND(BL123="✓",BL$4&lt;&gt;""),BL$4&amp;"; ","")&amp;IF(AND(BM123="✓",BM$4&lt;&gt;""),BM$4&amp;"; ","")&amp;IF(AND(BN123="✓",BN$4&lt;&gt;""),BN$4&amp;"; ","")&amp;IF(AND(BO123="✓",BO$4&lt;&gt;""),BO$4&amp;"; ","")&amp;IF(AND(BP123="✓",BP$4&lt;&gt;""),BP$4&amp;"; ","")&amp;IF(AND(BQ123="✓",BQ$4&lt;&gt;""),BQ$4&amp;"; ","")&amp;IF(AND(BR123="✓",BR$4&lt;&gt;""),BR$4&amp;"; ","")&amp;IF(AND(BS123="✓",BS$4&lt;&gt;""),BS$4&amp;"; ","")&amp;IF(AND(BT123="✓",BT$4&lt;&gt;""),BT$4&amp;"; ","")&amp;IF(AND(BU123="✓",BU$4&lt;&gt;""),BU$4&amp;"; ","")&amp;IF(AND(BV123="✓",BV$4&lt;&gt;""),BV$4&amp;"; ","")&amp;IF(AND(BW123="✓",BW$4&lt;&gt;""),BW$4&amp;"; ","")&amp;IF(AND(BX123="✓",BX$4&lt;&gt;""),BX$4&amp;"; ","")&amp;IF(AND(BY123="✓",BY$4&lt;&gt;""),BY$4&amp;"; ","")&amp;IF(AND(BZ123="✓",BZ$4&lt;&gt;""),BZ$4&amp;"; ","")&amp;IF(AND(CA123="✓",CA$4&lt;&gt;""),CA$4&amp;"; ","")&amp;IF(AND(CB123="✓",CB$4&lt;&gt;""),CB$4&amp;"; ","")&amp;IF(AND(CC123="✓",CC$4&lt;&gt;""),CC$4&amp;"; ","")&amp;IF(AND(CD123="✓",CD$4&lt;&gt;""),CD$4&amp;"; ","")&amp;IF(AND(CE123="✓",CE$4&lt;&gt;""),CE$4&amp;"; ","")&amp;IF(AND(CF123="✓",CF$4&lt;&gt;""),CF$4&amp;"; ","")&amp;IF(AND(CG123="✓",CG$4&lt;&gt;""),CG$4&amp;"; ","")&amp;IF(AND(CH123="✓",CH$4&lt;&gt;""),CH$4&amp;"; ","")&amp;IF(AND(CI123="✓",CI$4&lt;&gt;""),CI$4&amp;"; ","")&amp;IF(AND(CJ123="✓",CJ$4&lt;&gt;""),CJ$4&amp;"; ","")&amp;IF(AND(CK123="✓",CK$4&lt;&gt;""),CK$4&amp;"; ","")&amp;IF(AND(CL123="✓",CL$4&lt;&gt;""),CL$4&amp;"; ","")&amp;IF(AND(CM123="✓",CM$4&lt;&gt;""),CM$4&amp;"; ","")&amp;IF(AND(CN123="✓",CN$4&lt;&gt;""),CN$4&amp;"; ","")&amp;IF(AND(CO123="✓",CO$4&lt;&gt;""),CO$4&amp;"; ","")</f>
        <v/>
      </c>
      <c r="CQ123" s="104" t="str">
        <f aca="false">IF($CP123="","",LEFT($CP123,LEN($CP123)-2))</f>
        <v/>
      </c>
      <c r="CR123" s="234" t="str">
        <f aca="false">IF($A123="","",COUNTIF($D123:$CO123,"✓"))</f>
        <v/>
      </c>
    </row>
    <row r="124" customFormat="false" ht="21.75" hidden="false" customHeight="true" outlineLevel="0" collapsed="false">
      <c r="A124" s="231" t="str">
        <f aca="false">IF(03_能力總表_Master!$A124="","",03_能力總表_Master!$A124)</f>
        <v/>
      </c>
      <c r="B124" s="166" t="str">
        <f aca="false">IF(03_能力總表_Master!$A124="","",03_能力總表_Master!$B124)</f>
        <v/>
      </c>
      <c r="C124" s="95" t="str">
        <f aca="false">IF(03_能力總表_Master!$A124="","",03_能力總表_Master!$E124)</f>
        <v/>
      </c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32"/>
      <c r="AQ124" s="232"/>
      <c r="AR124" s="232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232"/>
      <c r="BH124" s="232"/>
      <c r="BI124" s="232"/>
      <c r="BJ124" s="232"/>
      <c r="BK124" s="232"/>
      <c r="BL124" s="232"/>
      <c r="BM124" s="232"/>
      <c r="BN124" s="232"/>
      <c r="BO124" s="232"/>
      <c r="BP124" s="232"/>
      <c r="BQ124" s="232"/>
      <c r="BR124" s="232"/>
      <c r="BS124" s="232"/>
      <c r="BT124" s="232"/>
      <c r="BU124" s="232"/>
      <c r="BV124" s="232"/>
      <c r="BW124" s="232"/>
      <c r="BX124" s="232"/>
      <c r="BY124" s="232"/>
      <c r="BZ124" s="232"/>
      <c r="CA124" s="232"/>
      <c r="CB124" s="232"/>
      <c r="CC124" s="232"/>
      <c r="CD124" s="232"/>
      <c r="CE124" s="232"/>
      <c r="CF124" s="232"/>
      <c r="CG124" s="232"/>
      <c r="CH124" s="232"/>
      <c r="CI124" s="232"/>
      <c r="CJ124" s="232"/>
      <c r="CK124" s="232"/>
      <c r="CL124" s="232"/>
      <c r="CM124" s="232"/>
      <c r="CN124" s="232"/>
      <c r="CO124" s="232"/>
      <c r="CP124" s="233" t="str">
        <f aca="false">IF(AND(D124="✓",D$4&lt;&gt;""),D$4&amp;"; ","")&amp;IF(AND(E124="✓",E$4&lt;&gt;""),E$4&amp;"; ","")&amp;IF(AND(F124="✓",F$4&lt;&gt;""),F$4&amp;"; ","")&amp;IF(AND(G124="✓",G$4&lt;&gt;""),G$4&amp;"; ","")&amp;IF(AND(H124="✓",H$4&lt;&gt;""),H$4&amp;"; ","")&amp;IF(AND(I124="✓",I$4&lt;&gt;""),I$4&amp;"; ","")&amp;IF(AND(J124="✓",J$4&lt;&gt;""),J$4&amp;"; ","")&amp;IF(AND(K124="✓",K$4&lt;&gt;""),K$4&amp;"; ","")&amp;IF(AND(L124="✓",L$4&lt;&gt;""),L$4&amp;"; ","")&amp;IF(AND(M124="✓",M$4&lt;&gt;""),M$4&amp;"; ","")&amp;IF(AND(N124="✓",N$4&lt;&gt;""),N$4&amp;"; ","")&amp;IF(AND(O124="✓",O$4&lt;&gt;""),O$4&amp;"; ","")&amp;IF(AND(P124="✓",P$4&lt;&gt;""),P$4&amp;"; ","")&amp;IF(AND(Q124="✓",Q$4&lt;&gt;""),Q$4&amp;"; ","")&amp;IF(AND(R124="✓",R$4&lt;&gt;""),R$4&amp;"; ","")&amp;IF(AND(S124="✓",S$4&lt;&gt;""),S$4&amp;"; ","")&amp;IF(AND(T124="✓",T$4&lt;&gt;""),T$4&amp;"; ","")&amp;IF(AND(U124="✓",U$4&lt;&gt;""),U$4&amp;"; ","")&amp;IF(AND(V124="✓",V$4&lt;&gt;""),V$4&amp;"; ","")&amp;IF(AND(W124="✓",W$4&lt;&gt;""),W$4&amp;"; ","")&amp;IF(AND(X124="✓",X$4&lt;&gt;""),X$4&amp;"; ","")&amp;IF(AND(Y124="✓",Y$4&lt;&gt;""),Y$4&amp;"; ","")&amp;IF(AND(Z124="✓",Z$4&lt;&gt;""),Z$4&amp;"; ","")&amp;IF(AND(AA124="✓",AA$4&lt;&gt;""),AA$4&amp;"; ","")&amp;IF(AND(AB124="✓",AB$4&lt;&gt;""),AB$4&amp;"; ","")&amp;IF(AND(AC124="✓",AC$4&lt;&gt;""),AC$4&amp;"; ","")&amp;IF(AND(AD124="✓",AD$4&lt;&gt;""),AD$4&amp;"; ","")&amp;IF(AND(AE124="✓",AE$4&lt;&gt;""),AE$4&amp;"; ","")&amp;IF(AND(AF124="✓",AF$4&lt;&gt;""),AF$4&amp;"; ","")&amp;IF(AND(AG124="✓",AG$4&lt;&gt;""),AG$4&amp;"; ","")&amp;IF(AND(AH124="✓",AH$4&lt;&gt;""),AH$4&amp;"; ","")&amp;IF(AND(AI124="✓",AI$4&lt;&gt;""),AI$4&amp;"; ","")&amp;IF(AND(AJ124="✓",AJ$4&lt;&gt;""),AJ$4&amp;"; ","")&amp;IF(AND(AK124="✓",AK$4&lt;&gt;""),AK$4&amp;"; ","")&amp;IF(AND(AL124="✓",AL$4&lt;&gt;""),AL$4&amp;"; ","")&amp;IF(AND(AM124="✓",AM$4&lt;&gt;""),AM$4&amp;"; ","")&amp;IF(AND(AN124="✓",AN$4&lt;&gt;""),AN$4&amp;"; ","")&amp;IF(AND(AO124="✓",AO$4&lt;&gt;""),AO$4&amp;"; ","")&amp;IF(AND(AP124="✓",AP$4&lt;&gt;""),AP$4&amp;"; ","")&amp;IF(AND(AQ124="✓",AQ$4&lt;&gt;""),AQ$4&amp;"; ","")&amp;IF(AND(AR124="✓",AR$4&lt;&gt;""),AR$4&amp;"; ","")&amp;IF(AND(AS124="✓",AS$4&lt;&gt;""),AS$4&amp;"; ","")&amp;IF(AND(AT124="✓",AT$4&lt;&gt;""),AT$4&amp;"; ","")&amp;IF(AND(AU124="✓",AU$4&lt;&gt;""),AU$4&amp;"; ","")&amp;IF(AND(AV124="✓",AV$4&lt;&gt;""),AV$4&amp;"; ","")&amp;IF(AND(AW124="✓",AW$4&lt;&gt;""),AW$4&amp;"; ","")&amp;IF(AND(AX124="✓",AX$4&lt;&gt;""),AX$4&amp;"; ","")&amp;IF(AND(AY124="✓",AY$4&lt;&gt;""),AY$4&amp;"; ","")&amp;IF(AND(AZ124="✓",AZ$4&lt;&gt;""),AZ$4&amp;"; ","")&amp;IF(AND(BA124="✓",BA$4&lt;&gt;""),BA$4&amp;"; ","")&amp;IF(AND(BB124="✓",BB$4&lt;&gt;""),BB$4&amp;"; ","")&amp;IF(AND(BC124="✓",BC$4&lt;&gt;""),BC$4&amp;"; ","")&amp;IF(AND(BD124="✓",BD$4&lt;&gt;""),BD$4&amp;"; ","")&amp;IF(AND(BE124="✓",BE$4&lt;&gt;""),BE$4&amp;"; ","")&amp;IF(AND(BF124="✓",BF$4&lt;&gt;""),BF$4&amp;"; ","")&amp;IF(AND(BG124="✓",BG$4&lt;&gt;""),BG$4&amp;"; ","")&amp;IF(AND(BH124="✓",BH$4&lt;&gt;""),BH$4&amp;"; ","")&amp;IF(AND(BI124="✓",BI$4&lt;&gt;""),BI$4&amp;"; ","")&amp;IF(AND(BJ124="✓",BJ$4&lt;&gt;""),BJ$4&amp;"; ","")&amp;IF(AND(BK124="✓",BK$4&lt;&gt;""),BK$4&amp;"; ","")&amp;IF(AND(BL124="✓",BL$4&lt;&gt;""),BL$4&amp;"; ","")&amp;IF(AND(BM124="✓",BM$4&lt;&gt;""),BM$4&amp;"; ","")&amp;IF(AND(BN124="✓",BN$4&lt;&gt;""),BN$4&amp;"; ","")&amp;IF(AND(BO124="✓",BO$4&lt;&gt;""),BO$4&amp;"; ","")&amp;IF(AND(BP124="✓",BP$4&lt;&gt;""),BP$4&amp;"; ","")&amp;IF(AND(BQ124="✓",BQ$4&lt;&gt;""),BQ$4&amp;"; ","")&amp;IF(AND(BR124="✓",BR$4&lt;&gt;""),BR$4&amp;"; ","")&amp;IF(AND(BS124="✓",BS$4&lt;&gt;""),BS$4&amp;"; ","")&amp;IF(AND(BT124="✓",BT$4&lt;&gt;""),BT$4&amp;"; ","")&amp;IF(AND(BU124="✓",BU$4&lt;&gt;""),BU$4&amp;"; ","")&amp;IF(AND(BV124="✓",BV$4&lt;&gt;""),BV$4&amp;"; ","")&amp;IF(AND(BW124="✓",BW$4&lt;&gt;""),BW$4&amp;"; ","")&amp;IF(AND(BX124="✓",BX$4&lt;&gt;""),BX$4&amp;"; ","")&amp;IF(AND(BY124="✓",BY$4&lt;&gt;""),BY$4&amp;"; ","")&amp;IF(AND(BZ124="✓",BZ$4&lt;&gt;""),BZ$4&amp;"; ","")&amp;IF(AND(CA124="✓",CA$4&lt;&gt;""),CA$4&amp;"; ","")&amp;IF(AND(CB124="✓",CB$4&lt;&gt;""),CB$4&amp;"; ","")&amp;IF(AND(CC124="✓",CC$4&lt;&gt;""),CC$4&amp;"; ","")&amp;IF(AND(CD124="✓",CD$4&lt;&gt;""),CD$4&amp;"; ","")&amp;IF(AND(CE124="✓",CE$4&lt;&gt;""),CE$4&amp;"; ","")&amp;IF(AND(CF124="✓",CF$4&lt;&gt;""),CF$4&amp;"; ","")&amp;IF(AND(CG124="✓",CG$4&lt;&gt;""),CG$4&amp;"; ","")&amp;IF(AND(CH124="✓",CH$4&lt;&gt;""),CH$4&amp;"; ","")&amp;IF(AND(CI124="✓",CI$4&lt;&gt;""),CI$4&amp;"; ","")&amp;IF(AND(CJ124="✓",CJ$4&lt;&gt;""),CJ$4&amp;"; ","")&amp;IF(AND(CK124="✓",CK$4&lt;&gt;""),CK$4&amp;"; ","")&amp;IF(AND(CL124="✓",CL$4&lt;&gt;""),CL$4&amp;"; ","")&amp;IF(AND(CM124="✓",CM$4&lt;&gt;""),CM$4&amp;"; ","")&amp;IF(AND(CN124="✓",CN$4&lt;&gt;""),CN$4&amp;"; ","")&amp;IF(AND(CO124="✓",CO$4&lt;&gt;""),CO$4&amp;"; ","")</f>
        <v/>
      </c>
      <c r="CQ124" s="104" t="str">
        <f aca="false">IF($CP124="","",LEFT($CP124,LEN($CP124)-2))</f>
        <v/>
      </c>
      <c r="CR124" s="234" t="str">
        <f aca="false">IF($A124="","",COUNTIF($D124:$CO124,"✓"))</f>
        <v/>
      </c>
    </row>
    <row r="125" customFormat="false" ht="21.75" hidden="false" customHeight="true" outlineLevel="0" collapsed="false">
      <c r="A125" s="231" t="str">
        <f aca="false">IF(03_能力總表_Master!$A125="","",03_能力總表_Master!$A125)</f>
        <v/>
      </c>
      <c r="B125" s="166" t="str">
        <f aca="false">IF(03_能力總表_Master!$A125="","",03_能力總表_Master!$B125)</f>
        <v/>
      </c>
      <c r="C125" s="95" t="str">
        <f aca="false">IF(03_能力總表_Master!$A125="","",03_能力總表_Master!$E125)</f>
        <v/>
      </c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32"/>
      <c r="AQ125" s="232"/>
      <c r="AR125" s="232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232"/>
      <c r="BH125" s="232"/>
      <c r="BI125" s="232"/>
      <c r="BJ125" s="232"/>
      <c r="BK125" s="232"/>
      <c r="BL125" s="232"/>
      <c r="BM125" s="232"/>
      <c r="BN125" s="232"/>
      <c r="BO125" s="232"/>
      <c r="BP125" s="232"/>
      <c r="BQ125" s="232"/>
      <c r="BR125" s="232"/>
      <c r="BS125" s="232"/>
      <c r="BT125" s="232"/>
      <c r="BU125" s="232"/>
      <c r="BV125" s="232"/>
      <c r="BW125" s="232"/>
      <c r="BX125" s="232"/>
      <c r="BY125" s="232"/>
      <c r="BZ125" s="232"/>
      <c r="CA125" s="232"/>
      <c r="CB125" s="232"/>
      <c r="CC125" s="232"/>
      <c r="CD125" s="232"/>
      <c r="CE125" s="232"/>
      <c r="CF125" s="232"/>
      <c r="CG125" s="232"/>
      <c r="CH125" s="232"/>
      <c r="CI125" s="232"/>
      <c r="CJ125" s="232"/>
      <c r="CK125" s="232"/>
      <c r="CL125" s="232"/>
      <c r="CM125" s="232"/>
      <c r="CN125" s="232"/>
      <c r="CO125" s="232"/>
      <c r="CP125" s="233" t="str">
        <f aca="false">IF(AND(D125="✓",D$4&lt;&gt;""),D$4&amp;"; ","")&amp;IF(AND(E125="✓",E$4&lt;&gt;""),E$4&amp;"; ","")&amp;IF(AND(F125="✓",F$4&lt;&gt;""),F$4&amp;"; ","")&amp;IF(AND(G125="✓",G$4&lt;&gt;""),G$4&amp;"; ","")&amp;IF(AND(H125="✓",H$4&lt;&gt;""),H$4&amp;"; ","")&amp;IF(AND(I125="✓",I$4&lt;&gt;""),I$4&amp;"; ","")&amp;IF(AND(J125="✓",J$4&lt;&gt;""),J$4&amp;"; ","")&amp;IF(AND(K125="✓",K$4&lt;&gt;""),K$4&amp;"; ","")&amp;IF(AND(L125="✓",L$4&lt;&gt;""),L$4&amp;"; ","")&amp;IF(AND(M125="✓",M$4&lt;&gt;""),M$4&amp;"; ","")&amp;IF(AND(N125="✓",N$4&lt;&gt;""),N$4&amp;"; ","")&amp;IF(AND(O125="✓",O$4&lt;&gt;""),O$4&amp;"; ","")&amp;IF(AND(P125="✓",P$4&lt;&gt;""),P$4&amp;"; ","")&amp;IF(AND(Q125="✓",Q$4&lt;&gt;""),Q$4&amp;"; ","")&amp;IF(AND(R125="✓",R$4&lt;&gt;""),R$4&amp;"; ","")&amp;IF(AND(S125="✓",S$4&lt;&gt;""),S$4&amp;"; ","")&amp;IF(AND(T125="✓",T$4&lt;&gt;""),T$4&amp;"; ","")&amp;IF(AND(U125="✓",U$4&lt;&gt;""),U$4&amp;"; ","")&amp;IF(AND(V125="✓",V$4&lt;&gt;""),V$4&amp;"; ","")&amp;IF(AND(W125="✓",W$4&lt;&gt;""),W$4&amp;"; ","")&amp;IF(AND(X125="✓",X$4&lt;&gt;""),X$4&amp;"; ","")&amp;IF(AND(Y125="✓",Y$4&lt;&gt;""),Y$4&amp;"; ","")&amp;IF(AND(Z125="✓",Z$4&lt;&gt;""),Z$4&amp;"; ","")&amp;IF(AND(AA125="✓",AA$4&lt;&gt;""),AA$4&amp;"; ","")&amp;IF(AND(AB125="✓",AB$4&lt;&gt;""),AB$4&amp;"; ","")&amp;IF(AND(AC125="✓",AC$4&lt;&gt;""),AC$4&amp;"; ","")&amp;IF(AND(AD125="✓",AD$4&lt;&gt;""),AD$4&amp;"; ","")&amp;IF(AND(AE125="✓",AE$4&lt;&gt;""),AE$4&amp;"; ","")&amp;IF(AND(AF125="✓",AF$4&lt;&gt;""),AF$4&amp;"; ","")&amp;IF(AND(AG125="✓",AG$4&lt;&gt;""),AG$4&amp;"; ","")&amp;IF(AND(AH125="✓",AH$4&lt;&gt;""),AH$4&amp;"; ","")&amp;IF(AND(AI125="✓",AI$4&lt;&gt;""),AI$4&amp;"; ","")&amp;IF(AND(AJ125="✓",AJ$4&lt;&gt;""),AJ$4&amp;"; ","")&amp;IF(AND(AK125="✓",AK$4&lt;&gt;""),AK$4&amp;"; ","")&amp;IF(AND(AL125="✓",AL$4&lt;&gt;""),AL$4&amp;"; ","")&amp;IF(AND(AM125="✓",AM$4&lt;&gt;""),AM$4&amp;"; ","")&amp;IF(AND(AN125="✓",AN$4&lt;&gt;""),AN$4&amp;"; ","")&amp;IF(AND(AO125="✓",AO$4&lt;&gt;""),AO$4&amp;"; ","")&amp;IF(AND(AP125="✓",AP$4&lt;&gt;""),AP$4&amp;"; ","")&amp;IF(AND(AQ125="✓",AQ$4&lt;&gt;""),AQ$4&amp;"; ","")&amp;IF(AND(AR125="✓",AR$4&lt;&gt;""),AR$4&amp;"; ","")&amp;IF(AND(AS125="✓",AS$4&lt;&gt;""),AS$4&amp;"; ","")&amp;IF(AND(AT125="✓",AT$4&lt;&gt;""),AT$4&amp;"; ","")&amp;IF(AND(AU125="✓",AU$4&lt;&gt;""),AU$4&amp;"; ","")&amp;IF(AND(AV125="✓",AV$4&lt;&gt;""),AV$4&amp;"; ","")&amp;IF(AND(AW125="✓",AW$4&lt;&gt;""),AW$4&amp;"; ","")&amp;IF(AND(AX125="✓",AX$4&lt;&gt;""),AX$4&amp;"; ","")&amp;IF(AND(AY125="✓",AY$4&lt;&gt;""),AY$4&amp;"; ","")&amp;IF(AND(AZ125="✓",AZ$4&lt;&gt;""),AZ$4&amp;"; ","")&amp;IF(AND(BA125="✓",BA$4&lt;&gt;""),BA$4&amp;"; ","")&amp;IF(AND(BB125="✓",BB$4&lt;&gt;""),BB$4&amp;"; ","")&amp;IF(AND(BC125="✓",BC$4&lt;&gt;""),BC$4&amp;"; ","")&amp;IF(AND(BD125="✓",BD$4&lt;&gt;""),BD$4&amp;"; ","")&amp;IF(AND(BE125="✓",BE$4&lt;&gt;""),BE$4&amp;"; ","")&amp;IF(AND(BF125="✓",BF$4&lt;&gt;""),BF$4&amp;"; ","")&amp;IF(AND(BG125="✓",BG$4&lt;&gt;""),BG$4&amp;"; ","")&amp;IF(AND(BH125="✓",BH$4&lt;&gt;""),BH$4&amp;"; ","")&amp;IF(AND(BI125="✓",BI$4&lt;&gt;""),BI$4&amp;"; ","")&amp;IF(AND(BJ125="✓",BJ$4&lt;&gt;""),BJ$4&amp;"; ","")&amp;IF(AND(BK125="✓",BK$4&lt;&gt;""),BK$4&amp;"; ","")&amp;IF(AND(BL125="✓",BL$4&lt;&gt;""),BL$4&amp;"; ","")&amp;IF(AND(BM125="✓",BM$4&lt;&gt;""),BM$4&amp;"; ","")&amp;IF(AND(BN125="✓",BN$4&lt;&gt;""),BN$4&amp;"; ","")&amp;IF(AND(BO125="✓",BO$4&lt;&gt;""),BO$4&amp;"; ","")&amp;IF(AND(BP125="✓",BP$4&lt;&gt;""),BP$4&amp;"; ","")&amp;IF(AND(BQ125="✓",BQ$4&lt;&gt;""),BQ$4&amp;"; ","")&amp;IF(AND(BR125="✓",BR$4&lt;&gt;""),BR$4&amp;"; ","")&amp;IF(AND(BS125="✓",BS$4&lt;&gt;""),BS$4&amp;"; ","")&amp;IF(AND(BT125="✓",BT$4&lt;&gt;""),BT$4&amp;"; ","")&amp;IF(AND(BU125="✓",BU$4&lt;&gt;""),BU$4&amp;"; ","")&amp;IF(AND(BV125="✓",BV$4&lt;&gt;""),BV$4&amp;"; ","")&amp;IF(AND(BW125="✓",BW$4&lt;&gt;""),BW$4&amp;"; ","")&amp;IF(AND(BX125="✓",BX$4&lt;&gt;""),BX$4&amp;"; ","")&amp;IF(AND(BY125="✓",BY$4&lt;&gt;""),BY$4&amp;"; ","")&amp;IF(AND(BZ125="✓",BZ$4&lt;&gt;""),BZ$4&amp;"; ","")&amp;IF(AND(CA125="✓",CA$4&lt;&gt;""),CA$4&amp;"; ","")&amp;IF(AND(CB125="✓",CB$4&lt;&gt;""),CB$4&amp;"; ","")&amp;IF(AND(CC125="✓",CC$4&lt;&gt;""),CC$4&amp;"; ","")&amp;IF(AND(CD125="✓",CD$4&lt;&gt;""),CD$4&amp;"; ","")&amp;IF(AND(CE125="✓",CE$4&lt;&gt;""),CE$4&amp;"; ","")&amp;IF(AND(CF125="✓",CF$4&lt;&gt;""),CF$4&amp;"; ","")&amp;IF(AND(CG125="✓",CG$4&lt;&gt;""),CG$4&amp;"; ","")&amp;IF(AND(CH125="✓",CH$4&lt;&gt;""),CH$4&amp;"; ","")&amp;IF(AND(CI125="✓",CI$4&lt;&gt;""),CI$4&amp;"; ","")&amp;IF(AND(CJ125="✓",CJ$4&lt;&gt;""),CJ$4&amp;"; ","")&amp;IF(AND(CK125="✓",CK$4&lt;&gt;""),CK$4&amp;"; ","")&amp;IF(AND(CL125="✓",CL$4&lt;&gt;""),CL$4&amp;"; ","")&amp;IF(AND(CM125="✓",CM$4&lt;&gt;""),CM$4&amp;"; ","")&amp;IF(AND(CN125="✓",CN$4&lt;&gt;""),CN$4&amp;"; ","")&amp;IF(AND(CO125="✓",CO$4&lt;&gt;""),CO$4&amp;"; ","")</f>
        <v/>
      </c>
      <c r="CQ125" s="104" t="str">
        <f aca="false">IF($CP125="","",LEFT($CP125,LEN($CP125)-2))</f>
        <v/>
      </c>
      <c r="CR125" s="234" t="str">
        <f aca="false">IF($A125="","",COUNTIF($D125:$CO125,"✓"))</f>
        <v/>
      </c>
    </row>
    <row r="126" customFormat="false" ht="21.75" hidden="false" customHeight="true" outlineLevel="0" collapsed="false">
      <c r="A126" s="231" t="str">
        <f aca="false">IF(03_能力總表_Master!$A126="","",03_能力總表_Master!$A126)</f>
        <v/>
      </c>
      <c r="B126" s="166" t="str">
        <f aca="false">IF(03_能力總表_Master!$A126="","",03_能力總表_Master!$B126)</f>
        <v/>
      </c>
      <c r="C126" s="95" t="str">
        <f aca="false">IF(03_能力總表_Master!$A126="","",03_能力總表_Master!$E126)</f>
        <v/>
      </c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32"/>
      <c r="AQ126" s="232"/>
      <c r="AR126" s="232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232"/>
      <c r="BH126" s="232"/>
      <c r="BI126" s="232"/>
      <c r="BJ126" s="232"/>
      <c r="BK126" s="232"/>
      <c r="BL126" s="232"/>
      <c r="BM126" s="232"/>
      <c r="BN126" s="232"/>
      <c r="BO126" s="232"/>
      <c r="BP126" s="232"/>
      <c r="BQ126" s="232"/>
      <c r="BR126" s="232"/>
      <c r="BS126" s="232"/>
      <c r="BT126" s="232"/>
      <c r="BU126" s="232"/>
      <c r="BV126" s="232"/>
      <c r="BW126" s="232"/>
      <c r="BX126" s="232"/>
      <c r="BY126" s="232"/>
      <c r="BZ126" s="232"/>
      <c r="CA126" s="232"/>
      <c r="CB126" s="232"/>
      <c r="CC126" s="232"/>
      <c r="CD126" s="232"/>
      <c r="CE126" s="232"/>
      <c r="CF126" s="232"/>
      <c r="CG126" s="232"/>
      <c r="CH126" s="232"/>
      <c r="CI126" s="232"/>
      <c r="CJ126" s="232"/>
      <c r="CK126" s="232"/>
      <c r="CL126" s="232"/>
      <c r="CM126" s="232"/>
      <c r="CN126" s="232"/>
      <c r="CO126" s="232"/>
      <c r="CP126" s="233" t="str">
        <f aca="false">IF(AND(D126="✓",D$4&lt;&gt;""),D$4&amp;"; ","")&amp;IF(AND(E126="✓",E$4&lt;&gt;""),E$4&amp;"; ","")&amp;IF(AND(F126="✓",F$4&lt;&gt;""),F$4&amp;"; ","")&amp;IF(AND(G126="✓",G$4&lt;&gt;""),G$4&amp;"; ","")&amp;IF(AND(H126="✓",H$4&lt;&gt;""),H$4&amp;"; ","")&amp;IF(AND(I126="✓",I$4&lt;&gt;""),I$4&amp;"; ","")&amp;IF(AND(J126="✓",J$4&lt;&gt;""),J$4&amp;"; ","")&amp;IF(AND(K126="✓",K$4&lt;&gt;""),K$4&amp;"; ","")&amp;IF(AND(L126="✓",L$4&lt;&gt;""),L$4&amp;"; ","")&amp;IF(AND(M126="✓",M$4&lt;&gt;""),M$4&amp;"; ","")&amp;IF(AND(N126="✓",N$4&lt;&gt;""),N$4&amp;"; ","")&amp;IF(AND(O126="✓",O$4&lt;&gt;""),O$4&amp;"; ","")&amp;IF(AND(P126="✓",P$4&lt;&gt;""),P$4&amp;"; ","")&amp;IF(AND(Q126="✓",Q$4&lt;&gt;""),Q$4&amp;"; ","")&amp;IF(AND(R126="✓",R$4&lt;&gt;""),R$4&amp;"; ","")&amp;IF(AND(S126="✓",S$4&lt;&gt;""),S$4&amp;"; ","")&amp;IF(AND(T126="✓",T$4&lt;&gt;""),T$4&amp;"; ","")&amp;IF(AND(U126="✓",U$4&lt;&gt;""),U$4&amp;"; ","")&amp;IF(AND(V126="✓",V$4&lt;&gt;""),V$4&amp;"; ","")&amp;IF(AND(W126="✓",W$4&lt;&gt;""),W$4&amp;"; ","")&amp;IF(AND(X126="✓",X$4&lt;&gt;""),X$4&amp;"; ","")&amp;IF(AND(Y126="✓",Y$4&lt;&gt;""),Y$4&amp;"; ","")&amp;IF(AND(Z126="✓",Z$4&lt;&gt;""),Z$4&amp;"; ","")&amp;IF(AND(AA126="✓",AA$4&lt;&gt;""),AA$4&amp;"; ","")&amp;IF(AND(AB126="✓",AB$4&lt;&gt;""),AB$4&amp;"; ","")&amp;IF(AND(AC126="✓",AC$4&lt;&gt;""),AC$4&amp;"; ","")&amp;IF(AND(AD126="✓",AD$4&lt;&gt;""),AD$4&amp;"; ","")&amp;IF(AND(AE126="✓",AE$4&lt;&gt;""),AE$4&amp;"; ","")&amp;IF(AND(AF126="✓",AF$4&lt;&gt;""),AF$4&amp;"; ","")&amp;IF(AND(AG126="✓",AG$4&lt;&gt;""),AG$4&amp;"; ","")&amp;IF(AND(AH126="✓",AH$4&lt;&gt;""),AH$4&amp;"; ","")&amp;IF(AND(AI126="✓",AI$4&lt;&gt;""),AI$4&amp;"; ","")&amp;IF(AND(AJ126="✓",AJ$4&lt;&gt;""),AJ$4&amp;"; ","")&amp;IF(AND(AK126="✓",AK$4&lt;&gt;""),AK$4&amp;"; ","")&amp;IF(AND(AL126="✓",AL$4&lt;&gt;""),AL$4&amp;"; ","")&amp;IF(AND(AM126="✓",AM$4&lt;&gt;""),AM$4&amp;"; ","")&amp;IF(AND(AN126="✓",AN$4&lt;&gt;""),AN$4&amp;"; ","")&amp;IF(AND(AO126="✓",AO$4&lt;&gt;""),AO$4&amp;"; ","")&amp;IF(AND(AP126="✓",AP$4&lt;&gt;""),AP$4&amp;"; ","")&amp;IF(AND(AQ126="✓",AQ$4&lt;&gt;""),AQ$4&amp;"; ","")&amp;IF(AND(AR126="✓",AR$4&lt;&gt;""),AR$4&amp;"; ","")&amp;IF(AND(AS126="✓",AS$4&lt;&gt;""),AS$4&amp;"; ","")&amp;IF(AND(AT126="✓",AT$4&lt;&gt;""),AT$4&amp;"; ","")&amp;IF(AND(AU126="✓",AU$4&lt;&gt;""),AU$4&amp;"; ","")&amp;IF(AND(AV126="✓",AV$4&lt;&gt;""),AV$4&amp;"; ","")&amp;IF(AND(AW126="✓",AW$4&lt;&gt;""),AW$4&amp;"; ","")&amp;IF(AND(AX126="✓",AX$4&lt;&gt;""),AX$4&amp;"; ","")&amp;IF(AND(AY126="✓",AY$4&lt;&gt;""),AY$4&amp;"; ","")&amp;IF(AND(AZ126="✓",AZ$4&lt;&gt;""),AZ$4&amp;"; ","")&amp;IF(AND(BA126="✓",BA$4&lt;&gt;""),BA$4&amp;"; ","")&amp;IF(AND(BB126="✓",BB$4&lt;&gt;""),BB$4&amp;"; ","")&amp;IF(AND(BC126="✓",BC$4&lt;&gt;""),BC$4&amp;"; ","")&amp;IF(AND(BD126="✓",BD$4&lt;&gt;""),BD$4&amp;"; ","")&amp;IF(AND(BE126="✓",BE$4&lt;&gt;""),BE$4&amp;"; ","")&amp;IF(AND(BF126="✓",BF$4&lt;&gt;""),BF$4&amp;"; ","")&amp;IF(AND(BG126="✓",BG$4&lt;&gt;""),BG$4&amp;"; ","")&amp;IF(AND(BH126="✓",BH$4&lt;&gt;""),BH$4&amp;"; ","")&amp;IF(AND(BI126="✓",BI$4&lt;&gt;""),BI$4&amp;"; ","")&amp;IF(AND(BJ126="✓",BJ$4&lt;&gt;""),BJ$4&amp;"; ","")&amp;IF(AND(BK126="✓",BK$4&lt;&gt;""),BK$4&amp;"; ","")&amp;IF(AND(BL126="✓",BL$4&lt;&gt;""),BL$4&amp;"; ","")&amp;IF(AND(BM126="✓",BM$4&lt;&gt;""),BM$4&amp;"; ","")&amp;IF(AND(BN126="✓",BN$4&lt;&gt;""),BN$4&amp;"; ","")&amp;IF(AND(BO126="✓",BO$4&lt;&gt;""),BO$4&amp;"; ","")&amp;IF(AND(BP126="✓",BP$4&lt;&gt;""),BP$4&amp;"; ","")&amp;IF(AND(BQ126="✓",BQ$4&lt;&gt;""),BQ$4&amp;"; ","")&amp;IF(AND(BR126="✓",BR$4&lt;&gt;""),BR$4&amp;"; ","")&amp;IF(AND(BS126="✓",BS$4&lt;&gt;""),BS$4&amp;"; ","")&amp;IF(AND(BT126="✓",BT$4&lt;&gt;""),BT$4&amp;"; ","")&amp;IF(AND(BU126="✓",BU$4&lt;&gt;""),BU$4&amp;"; ","")&amp;IF(AND(BV126="✓",BV$4&lt;&gt;""),BV$4&amp;"; ","")&amp;IF(AND(BW126="✓",BW$4&lt;&gt;""),BW$4&amp;"; ","")&amp;IF(AND(BX126="✓",BX$4&lt;&gt;""),BX$4&amp;"; ","")&amp;IF(AND(BY126="✓",BY$4&lt;&gt;""),BY$4&amp;"; ","")&amp;IF(AND(BZ126="✓",BZ$4&lt;&gt;""),BZ$4&amp;"; ","")&amp;IF(AND(CA126="✓",CA$4&lt;&gt;""),CA$4&amp;"; ","")&amp;IF(AND(CB126="✓",CB$4&lt;&gt;""),CB$4&amp;"; ","")&amp;IF(AND(CC126="✓",CC$4&lt;&gt;""),CC$4&amp;"; ","")&amp;IF(AND(CD126="✓",CD$4&lt;&gt;""),CD$4&amp;"; ","")&amp;IF(AND(CE126="✓",CE$4&lt;&gt;""),CE$4&amp;"; ","")&amp;IF(AND(CF126="✓",CF$4&lt;&gt;""),CF$4&amp;"; ","")&amp;IF(AND(CG126="✓",CG$4&lt;&gt;""),CG$4&amp;"; ","")&amp;IF(AND(CH126="✓",CH$4&lt;&gt;""),CH$4&amp;"; ","")&amp;IF(AND(CI126="✓",CI$4&lt;&gt;""),CI$4&amp;"; ","")&amp;IF(AND(CJ126="✓",CJ$4&lt;&gt;""),CJ$4&amp;"; ","")&amp;IF(AND(CK126="✓",CK$4&lt;&gt;""),CK$4&amp;"; ","")&amp;IF(AND(CL126="✓",CL$4&lt;&gt;""),CL$4&amp;"; ","")&amp;IF(AND(CM126="✓",CM$4&lt;&gt;""),CM$4&amp;"; ","")&amp;IF(AND(CN126="✓",CN$4&lt;&gt;""),CN$4&amp;"; ","")&amp;IF(AND(CO126="✓",CO$4&lt;&gt;""),CO$4&amp;"; ","")</f>
        <v/>
      </c>
      <c r="CQ126" s="104" t="str">
        <f aca="false">IF($CP126="","",LEFT($CP126,LEN($CP126)-2))</f>
        <v/>
      </c>
      <c r="CR126" s="234" t="str">
        <f aca="false">IF($A126="","",COUNTIF($D126:$CO126,"✓"))</f>
        <v/>
      </c>
    </row>
    <row r="127" customFormat="false" ht="21.75" hidden="false" customHeight="true" outlineLevel="0" collapsed="false">
      <c r="A127" s="231" t="str">
        <f aca="false">IF(03_能力總表_Master!$A127="","",03_能力總表_Master!$A127)</f>
        <v/>
      </c>
      <c r="B127" s="166" t="str">
        <f aca="false">IF(03_能力總表_Master!$A127="","",03_能力總表_Master!$B127)</f>
        <v/>
      </c>
      <c r="C127" s="95" t="str">
        <f aca="false">IF(03_能力總表_Master!$A127="","",03_能力總表_Master!$E127)</f>
        <v/>
      </c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32"/>
      <c r="AQ127" s="232"/>
      <c r="AR127" s="232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232"/>
      <c r="BH127" s="232"/>
      <c r="BI127" s="232"/>
      <c r="BJ127" s="232"/>
      <c r="BK127" s="232"/>
      <c r="BL127" s="232"/>
      <c r="BM127" s="232"/>
      <c r="BN127" s="232"/>
      <c r="BO127" s="232"/>
      <c r="BP127" s="232"/>
      <c r="BQ127" s="232"/>
      <c r="BR127" s="232"/>
      <c r="BS127" s="232"/>
      <c r="BT127" s="232"/>
      <c r="BU127" s="232"/>
      <c r="BV127" s="232"/>
      <c r="BW127" s="232"/>
      <c r="BX127" s="232"/>
      <c r="BY127" s="232"/>
      <c r="BZ127" s="232"/>
      <c r="CA127" s="232"/>
      <c r="CB127" s="232"/>
      <c r="CC127" s="232"/>
      <c r="CD127" s="232"/>
      <c r="CE127" s="232"/>
      <c r="CF127" s="232"/>
      <c r="CG127" s="232"/>
      <c r="CH127" s="232"/>
      <c r="CI127" s="232"/>
      <c r="CJ127" s="232"/>
      <c r="CK127" s="232"/>
      <c r="CL127" s="232"/>
      <c r="CM127" s="232"/>
      <c r="CN127" s="232"/>
      <c r="CO127" s="232"/>
      <c r="CP127" s="233" t="str">
        <f aca="false">IF(AND(D127="✓",D$4&lt;&gt;""),D$4&amp;"; ","")&amp;IF(AND(E127="✓",E$4&lt;&gt;""),E$4&amp;"; ","")&amp;IF(AND(F127="✓",F$4&lt;&gt;""),F$4&amp;"; ","")&amp;IF(AND(G127="✓",G$4&lt;&gt;""),G$4&amp;"; ","")&amp;IF(AND(H127="✓",H$4&lt;&gt;""),H$4&amp;"; ","")&amp;IF(AND(I127="✓",I$4&lt;&gt;""),I$4&amp;"; ","")&amp;IF(AND(J127="✓",J$4&lt;&gt;""),J$4&amp;"; ","")&amp;IF(AND(K127="✓",K$4&lt;&gt;""),K$4&amp;"; ","")&amp;IF(AND(L127="✓",L$4&lt;&gt;""),L$4&amp;"; ","")&amp;IF(AND(M127="✓",M$4&lt;&gt;""),M$4&amp;"; ","")&amp;IF(AND(N127="✓",N$4&lt;&gt;""),N$4&amp;"; ","")&amp;IF(AND(O127="✓",O$4&lt;&gt;""),O$4&amp;"; ","")&amp;IF(AND(P127="✓",P$4&lt;&gt;""),P$4&amp;"; ","")&amp;IF(AND(Q127="✓",Q$4&lt;&gt;""),Q$4&amp;"; ","")&amp;IF(AND(R127="✓",R$4&lt;&gt;""),R$4&amp;"; ","")&amp;IF(AND(S127="✓",S$4&lt;&gt;""),S$4&amp;"; ","")&amp;IF(AND(T127="✓",T$4&lt;&gt;""),T$4&amp;"; ","")&amp;IF(AND(U127="✓",U$4&lt;&gt;""),U$4&amp;"; ","")&amp;IF(AND(V127="✓",V$4&lt;&gt;""),V$4&amp;"; ","")&amp;IF(AND(W127="✓",W$4&lt;&gt;""),W$4&amp;"; ","")&amp;IF(AND(X127="✓",X$4&lt;&gt;""),X$4&amp;"; ","")&amp;IF(AND(Y127="✓",Y$4&lt;&gt;""),Y$4&amp;"; ","")&amp;IF(AND(Z127="✓",Z$4&lt;&gt;""),Z$4&amp;"; ","")&amp;IF(AND(AA127="✓",AA$4&lt;&gt;""),AA$4&amp;"; ","")&amp;IF(AND(AB127="✓",AB$4&lt;&gt;""),AB$4&amp;"; ","")&amp;IF(AND(AC127="✓",AC$4&lt;&gt;""),AC$4&amp;"; ","")&amp;IF(AND(AD127="✓",AD$4&lt;&gt;""),AD$4&amp;"; ","")&amp;IF(AND(AE127="✓",AE$4&lt;&gt;""),AE$4&amp;"; ","")&amp;IF(AND(AF127="✓",AF$4&lt;&gt;""),AF$4&amp;"; ","")&amp;IF(AND(AG127="✓",AG$4&lt;&gt;""),AG$4&amp;"; ","")&amp;IF(AND(AH127="✓",AH$4&lt;&gt;""),AH$4&amp;"; ","")&amp;IF(AND(AI127="✓",AI$4&lt;&gt;""),AI$4&amp;"; ","")&amp;IF(AND(AJ127="✓",AJ$4&lt;&gt;""),AJ$4&amp;"; ","")&amp;IF(AND(AK127="✓",AK$4&lt;&gt;""),AK$4&amp;"; ","")&amp;IF(AND(AL127="✓",AL$4&lt;&gt;""),AL$4&amp;"; ","")&amp;IF(AND(AM127="✓",AM$4&lt;&gt;""),AM$4&amp;"; ","")&amp;IF(AND(AN127="✓",AN$4&lt;&gt;""),AN$4&amp;"; ","")&amp;IF(AND(AO127="✓",AO$4&lt;&gt;""),AO$4&amp;"; ","")&amp;IF(AND(AP127="✓",AP$4&lt;&gt;""),AP$4&amp;"; ","")&amp;IF(AND(AQ127="✓",AQ$4&lt;&gt;""),AQ$4&amp;"; ","")&amp;IF(AND(AR127="✓",AR$4&lt;&gt;""),AR$4&amp;"; ","")&amp;IF(AND(AS127="✓",AS$4&lt;&gt;""),AS$4&amp;"; ","")&amp;IF(AND(AT127="✓",AT$4&lt;&gt;""),AT$4&amp;"; ","")&amp;IF(AND(AU127="✓",AU$4&lt;&gt;""),AU$4&amp;"; ","")&amp;IF(AND(AV127="✓",AV$4&lt;&gt;""),AV$4&amp;"; ","")&amp;IF(AND(AW127="✓",AW$4&lt;&gt;""),AW$4&amp;"; ","")&amp;IF(AND(AX127="✓",AX$4&lt;&gt;""),AX$4&amp;"; ","")&amp;IF(AND(AY127="✓",AY$4&lt;&gt;""),AY$4&amp;"; ","")&amp;IF(AND(AZ127="✓",AZ$4&lt;&gt;""),AZ$4&amp;"; ","")&amp;IF(AND(BA127="✓",BA$4&lt;&gt;""),BA$4&amp;"; ","")&amp;IF(AND(BB127="✓",BB$4&lt;&gt;""),BB$4&amp;"; ","")&amp;IF(AND(BC127="✓",BC$4&lt;&gt;""),BC$4&amp;"; ","")&amp;IF(AND(BD127="✓",BD$4&lt;&gt;""),BD$4&amp;"; ","")&amp;IF(AND(BE127="✓",BE$4&lt;&gt;""),BE$4&amp;"; ","")&amp;IF(AND(BF127="✓",BF$4&lt;&gt;""),BF$4&amp;"; ","")&amp;IF(AND(BG127="✓",BG$4&lt;&gt;""),BG$4&amp;"; ","")&amp;IF(AND(BH127="✓",BH$4&lt;&gt;""),BH$4&amp;"; ","")&amp;IF(AND(BI127="✓",BI$4&lt;&gt;""),BI$4&amp;"; ","")&amp;IF(AND(BJ127="✓",BJ$4&lt;&gt;""),BJ$4&amp;"; ","")&amp;IF(AND(BK127="✓",BK$4&lt;&gt;""),BK$4&amp;"; ","")&amp;IF(AND(BL127="✓",BL$4&lt;&gt;""),BL$4&amp;"; ","")&amp;IF(AND(BM127="✓",BM$4&lt;&gt;""),BM$4&amp;"; ","")&amp;IF(AND(BN127="✓",BN$4&lt;&gt;""),BN$4&amp;"; ","")&amp;IF(AND(BO127="✓",BO$4&lt;&gt;""),BO$4&amp;"; ","")&amp;IF(AND(BP127="✓",BP$4&lt;&gt;""),BP$4&amp;"; ","")&amp;IF(AND(BQ127="✓",BQ$4&lt;&gt;""),BQ$4&amp;"; ","")&amp;IF(AND(BR127="✓",BR$4&lt;&gt;""),BR$4&amp;"; ","")&amp;IF(AND(BS127="✓",BS$4&lt;&gt;""),BS$4&amp;"; ","")&amp;IF(AND(BT127="✓",BT$4&lt;&gt;""),BT$4&amp;"; ","")&amp;IF(AND(BU127="✓",BU$4&lt;&gt;""),BU$4&amp;"; ","")&amp;IF(AND(BV127="✓",BV$4&lt;&gt;""),BV$4&amp;"; ","")&amp;IF(AND(BW127="✓",BW$4&lt;&gt;""),BW$4&amp;"; ","")&amp;IF(AND(BX127="✓",BX$4&lt;&gt;""),BX$4&amp;"; ","")&amp;IF(AND(BY127="✓",BY$4&lt;&gt;""),BY$4&amp;"; ","")&amp;IF(AND(BZ127="✓",BZ$4&lt;&gt;""),BZ$4&amp;"; ","")&amp;IF(AND(CA127="✓",CA$4&lt;&gt;""),CA$4&amp;"; ","")&amp;IF(AND(CB127="✓",CB$4&lt;&gt;""),CB$4&amp;"; ","")&amp;IF(AND(CC127="✓",CC$4&lt;&gt;""),CC$4&amp;"; ","")&amp;IF(AND(CD127="✓",CD$4&lt;&gt;""),CD$4&amp;"; ","")&amp;IF(AND(CE127="✓",CE$4&lt;&gt;""),CE$4&amp;"; ","")&amp;IF(AND(CF127="✓",CF$4&lt;&gt;""),CF$4&amp;"; ","")&amp;IF(AND(CG127="✓",CG$4&lt;&gt;""),CG$4&amp;"; ","")&amp;IF(AND(CH127="✓",CH$4&lt;&gt;""),CH$4&amp;"; ","")&amp;IF(AND(CI127="✓",CI$4&lt;&gt;""),CI$4&amp;"; ","")&amp;IF(AND(CJ127="✓",CJ$4&lt;&gt;""),CJ$4&amp;"; ","")&amp;IF(AND(CK127="✓",CK$4&lt;&gt;""),CK$4&amp;"; ","")&amp;IF(AND(CL127="✓",CL$4&lt;&gt;""),CL$4&amp;"; ","")&amp;IF(AND(CM127="✓",CM$4&lt;&gt;""),CM$4&amp;"; ","")&amp;IF(AND(CN127="✓",CN$4&lt;&gt;""),CN$4&amp;"; ","")&amp;IF(AND(CO127="✓",CO$4&lt;&gt;""),CO$4&amp;"; ","")</f>
        <v/>
      </c>
      <c r="CQ127" s="104" t="str">
        <f aca="false">IF($CP127="","",LEFT($CP127,LEN($CP127)-2))</f>
        <v/>
      </c>
      <c r="CR127" s="234" t="str">
        <f aca="false">IF($A127="","",COUNTIF($D127:$CO127,"✓"))</f>
        <v/>
      </c>
    </row>
    <row r="128" customFormat="false" ht="21.75" hidden="false" customHeight="true" outlineLevel="0" collapsed="false">
      <c r="A128" s="231" t="str">
        <f aca="false">IF(03_能力總表_Master!$A128="","",03_能力總表_Master!$A128)</f>
        <v/>
      </c>
      <c r="B128" s="166" t="str">
        <f aca="false">IF(03_能力總表_Master!$A128="","",03_能力總表_Master!$B128)</f>
        <v/>
      </c>
      <c r="C128" s="95" t="str">
        <f aca="false">IF(03_能力總表_Master!$A128="","",03_能力總表_Master!$E128)</f>
        <v/>
      </c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32"/>
      <c r="AQ128" s="232"/>
      <c r="AR128" s="232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232"/>
      <c r="BH128" s="232"/>
      <c r="BI128" s="232"/>
      <c r="BJ128" s="232"/>
      <c r="BK128" s="232"/>
      <c r="BL128" s="232"/>
      <c r="BM128" s="232"/>
      <c r="BN128" s="232"/>
      <c r="BO128" s="232"/>
      <c r="BP128" s="232"/>
      <c r="BQ128" s="232"/>
      <c r="BR128" s="232"/>
      <c r="BS128" s="232"/>
      <c r="BT128" s="232"/>
      <c r="BU128" s="232"/>
      <c r="BV128" s="232"/>
      <c r="BW128" s="232"/>
      <c r="BX128" s="232"/>
      <c r="BY128" s="232"/>
      <c r="BZ128" s="232"/>
      <c r="CA128" s="232"/>
      <c r="CB128" s="232"/>
      <c r="CC128" s="232"/>
      <c r="CD128" s="232"/>
      <c r="CE128" s="232"/>
      <c r="CF128" s="232"/>
      <c r="CG128" s="232"/>
      <c r="CH128" s="232"/>
      <c r="CI128" s="232"/>
      <c r="CJ128" s="232"/>
      <c r="CK128" s="232"/>
      <c r="CL128" s="232"/>
      <c r="CM128" s="232"/>
      <c r="CN128" s="232"/>
      <c r="CO128" s="232"/>
      <c r="CP128" s="233" t="str">
        <f aca="false">IF(AND(D128="✓",D$4&lt;&gt;""),D$4&amp;"; ","")&amp;IF(AND(E128="✓",E$4&lt;&gt;""),E$4&amp;"; ","")&amp;IF(AND(F128="✓",F$4&lt;&gt;""),F$4&amp;"; ","")&amp;IF(AND(G128="✓",G$4&lt;&gt;""),G$4&amp;"; ","")&amp;IF(AND(H128="✓",H$4&lt;&gt;""),H$4&amp;"; ","")&amp;IF(AND(I128="✓",I$4&lt;&gt;""),I$4&amp;"; ","")&amp;IF(AND(J128="✓",J$4&lt;&gt;""),J$4&amp;"; ","")&amp;IF(AND(K128="✓",K$4&lt;&gt;""),K$4&amp;"; ","")&amp;IF(AND(L128="✓",L$4&lt;&gt;""),L$4&amp;"; ","")&amp;IF(AND(M128="✓",M$4&lt;&gt;""),M$4&amp;"; ","")&amp;IF(AND(N128="✓",N$4&lt;&gt;""),N$4&amp;"; ","")&amp;IF(AND(O128="✓",O$4&lt;&gt;""),O$4&amp;"; ","")&amp;IF(AND(P128="✓",P$4&lt;&gt;""),P$4&amp;"; ","")&amp;IF(AND(Q128="✓",Q$4&lt;&gt;""),Q$4&amp;"; ","")&amp;IF(AND(R128="✓",R$4&lt;&gt;""),R$4&amp;"; ","")&amp;IF(AND(S128="✓",S$4&lt;&gt;""),S$4&amp;"; ","")&amp;IF(AND(T128="✓",T$4&lt;&gt;""),T$4&amp;"; ","")&amp;IF(AND(U128="✓",U$4&lt;&gt;""),U$4&amp;"; ","")&amp;IF(AND(V128="✓",V$4&lt;&gt;""),V$4&amp;"; ","")&amp;IF(AND(W128="✓",W$4&lt;&gt;""),W$4&amp;"; ","")&amp;IF(AND(X128="✓",X$4&lt;&gt;""),X$4&amp;"; ","")&amp;IF(AND(Y128="✓",Y$4&lt;&gt;""),Y$4&amp;"; ","")&amp;IF(AND(Z128="✓",Z$4&lt;&gt;""),Z$4&amp;"; ","")&amp;IF(AND(AA128="✓",AA$4&lt;&gt;""),AA$4&amp;"; ","")&amp;IF(AND(AB128="✓",AB$4&lt;&gt;""),AB$4&amp;"; ","")&amp;IF(AND(AC128="✓",AC$4&lt;&gt;""),AC$4&amp;"; ","")&amp;IF(AND(AD128="✓",AD$4&lt;&gt;""),AD$4&amp;"; ","")&amp;IF(AND(AE128="✓",AE$4&lt;&gt;""),AE$4&amp;"; ","")&amp;IF(AND(AF128="✓",AF$4&lt;&gt;""),AF$4&amp;"; ","")&amp;IF(AND(AG128="✓",AG$4&lt;&gt;""),AG$4&amp;"; ","")&amp;IF(AND(AH128="✓",AH$4&lt;&gt;""),AH$4&amp;"; ","")&amp;IF(AND(AI128="✓",AI$4&lt;&gt;""),AI$4&amp;"; ","")&amp;IF(AND(AJ128="✓",AJ$4&lt;&gt;""),AJ$4&amp;"; ","")&amp;IF(AND(AK128="✓",AK$4&lt;&gt;""),AK$4&amp;"; ","")&amp;IF(AND(AL128="✓",AL$4&lt;&gt;""),AL$4&amp;"; ","")&amp;IF(AND(AM128="✓",AM$4&lt;&gt;""),AM$4&amp;"; ","")&amp;IF(AND(AN128="✓",AN$4&lt;&gt;""),AN$4&amp;"; ","")&amp;IF(AND(AO128="✓",AO$4&lt;&gt;""),AO$4&amp;"; ","")&amp;IF(AND(AP128="✓",AP$4&lt;&gt;""),AP$4&amp;"; ","")&amp;IF(AND(AQ128="✓",AQ$4&lt;&gt;""),AQ$4&amp;"; ","")&amp;IF(AND(AR128="✓",AR$4&lt;&gt;""),AR$4&amp;"; ","")&amp;IF(AND(AS128="✓",AS$4&lt;&gt;""),AS$4&amp;"; ","")&amp;IF(AND(AT128="✓",AT$4&lt;&gt;""),AT$4&amp;"; ","")&amp;IF(AND(AU128="✓",AU$4&lt;&gt;""),AU$4&amp;"; ","")&amp;IF(AND(AV128="✓",AV$4&lt;&gt;""),AV$4&amp;"; ","")&amp;IF(AND(AW128="✓",AW$4&lt;&gt;""),AW$4&amp;"; ","")&amp;IF(AND(AX128="✓",AX$4&lt;&gt;""),AX$4&amp;"; ","")&amp;IF(AND(AY128="✓",AY$4&lt;&gt;""),AY$4&amp;"; ","")&amp;IF(AND(AZ128="✓",AZ$4&lt;&gt;""),AZ$4&amp;"; ","")&amp;IF(AND(BA128="✓",BA$4&lt;&gt;""),BA$4&amp;"; ","")&amp;IF(AND(BB128="✓",BB$4&lt;&gt;""),BB$4&amp;"; ","")&amp;IF(AND(BC128="✓",BC$4&lt;&gt;""),BC$4&amp;"; ","")&amp;IF(AND(BD128="✓",BD$4&lt;&gt;""),BD$4&amp;"; ","")&amp;IF(AND(BE128="✓",BE$4&lt;&gt;""),BE$4&amp;"; ","")&amp;IF(AND(BF128="✓",BF$4&lt;&gt;""),BF$4&amp;"; ","")&amp;IF(AND(BG128="✓",BG$4&lt;&gt;""),BG$4&amp;"; ","")&amp;IF(AND(BH128="✓",BH$4&lt;&gt;""),BH$4&amp;"; ","")&amp;IF(AND(BI128="✓",BI$4&lt;&gt;""),BI$4&amp;"; ","")&amp;IF(AND(BJ128="✓",BJ$4&lt;&gt;""),BJ$4&amp;"; ","")&amp;IF(AND(BK128="✓",BK$4&lt;&gt;""),BK$4&amp;"; ","")&amp;IF(AND(BL128="✓",BL$4&lt;&gt;""),BL$4&amp;"; ","")&amp;IF(AND(BM128="✓",BM$4&lt;&gt;""),BM$4&amp;"; ","")&amp;IF(AND(BN128="✓",BN$4&lt;&gt;""),BN$4&amp;"; ","")&amp;IF(AND(BO128="✓",BO$4&lt;&gt;""),BO$4&amp;"; ","")&amp;IF(AND(BP128="✓",BP$4&lt;&gt;""),BP$4&amp;"; ","")&amp;IF(AND(BQ128="✓",BQ$4&lt;&gt;""),BQ$4&amp;"; ","")&amp;IF(AND(BR128="✓",BR$4&lt;&gt;""),BR$4&amp;"; ","")&amp;IF(AND(BS128="✓",BS$4&lt;&gt;""),BS$4&amp;"; ","")&amp;IF(AND(BT128="✓",BT$4&lt;&gt;""),BT$4&amp;"; ","")&amp;IF(AND(BU128="✓",BU$4&lt;&gt;""),BU$4&amp;"; ","")&amp;IF(AND(BV128="✓",BV$4&lt;&gt;""),BV$4&amp;"; ","")&amp;IF(AND(BW128="✓",BW$4&lt;&gt;""),BW$4&amp;"; ","")&amp;IF(AND(BX128="✓",BX$4&lt;&gt;""),BX$4&amp;"; ","")&amp;IF(AND(BY128="✓",BY$4&lt;&gt;""),BY$4&amp;"; ","")&amp;IF(AND(BZ128="✓",BZ$4&lt;&gt;""),BZ$4&amp;"; ","")&amp;IF(AND(CA128="✓",CA$4&lt;&gt;""),CA$4&amp;"; ","")&amp;IF(AND(CB128="✓",CB$4&lt;&gt;""),CB$4&amp;"; ","")&amp;IF(AND(CC128="✓",CC$4&lt;&gt;""),CC$4&amp;"; ","")&amp;IF(AND(CD128="✓",CD$4&lt;&gt;""),CD$4&amp;"; ","")&amp;IF(AND(CE128="✓",CE$4&lt;&gt;""),CE$4&amp;"; ","")&amp;IF(AND(CF128="✓",CF$4&lt;&gt;""),CF$4&amp;"; ","")&amp;IF(AND(CG128="✓",CG$4&lt;&gt;""),CG$4&amp;"; ","")&amp;IF(AND(CH128="✓",CH$4&lt;&gt;""),CH$4&amp;"; ","")&amp;IF(AND(CI128="✓",CI$4&lt;&gt;""),CI$4&amp;"; ","")&amp;IF(AND(CJ128="✓",CJ$4&lt;&gt;""),CJ$4&amp;"; ","")&amp;IF(AND(CK128="✓",CK$4&lt;&gt;""),CK$4&amp;"; ","")&amp;IF(AND(CL128="✓",CL$4&lt;&gt;""),CL$4&amp;"; ","")&amp;IF(AND(CM128="✓",CM$4&lt;&gt;""),CM$4&amp;"; ","")&amp;IF(AND(CN128="✓",CN$4&lt;&gt;""),CN$4&amp;"; ","")&amp;IF(AND(CO128="✓",CO$4&lt;&gt;""),CO$4&amp;"; ","")</f>
        <v/>
      </c>
      <c r="CQ128" s="104" t="str">
        <f aca="false">IF($CP128="","",LEFT($CP128,LEN($CP128)-2))</f>
        <v/>
      </c>
      <c r="CR128" s="234" t="str">
        <f aca="false">IF($A128="","",COUNTIF($D128:$CO128,"✓"))</f>
        <v/>
      </c>
    </row>
    <row r="129" customFormat="false" ht="21.75" hidden="false" customHeight="true" outlineLevel="0" collapsed="false">
      <c r="A129" s="231" t="str">
        <f aca="false">IF(03_能力總表_Master!$A129="","",03_能力總表_Master!$A129)</f>
        <v/>
      </c>
      <c r="B129" s="166" t="str">
        <f aca="false">IF(03_能力總表_Master!$A129="","",03_能力總表_Master!$B129)</f>
        <v/>
      </c>
      <c r="C129" s="95" t="str">
        <f aca="false">IF(03_能力總表_Master!$A129="","",03_能力總表_Master!$E129)</f>
        <v/>
      </c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32"/>
      <c r="AQ129" s="232"/>
      <c r="AR129" s="232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232"/>
      <c r="BH129" s="232"/>
      <c r="BI129" s="232"/>
      <c r="BJ129" s="232"/>
      <c r="BK129" s="232"/>
      <c r="BL129" s="232"/>
      <c r="BM129" s="232"/>
      <c r="BN129" s="232"/>
      <c r="BO129" s="232"/>
      <c r="BP129" s="232"/>
      <c r="BQ129" s="232"/>
      <c r="BR129" s="232"/>
      <c r="BS129" s="232"/>
      <c r="BT129" s="232"/>
      <c r="BU129" s="232"/>
      <c r="BV129" s="232"/>
      <c r="BW129" s="232"/>
      <c r="BX129" s="232"/>
      <c r="BY129" s="232"/>
      <c r="BZ129" s="232"/>
      <c r="CA129" s="232"/>
      <c r="CB129" s="232"/>
      <c r="CC129" s="232"/>
      <c r="CD129" s="232"/>
      <c r="CE129" s="232"/>
      <c r="CF129" s="232"/>
      <c r="CG129" s="232"/>
      <c r="CH129" s="232"/>
      <c r="CI129" s="232"/>
      <c r="CJ129" s="232"/>
      <c r="CK129" s="232"/>
      <c r="CL129" s="232"/>
      <c r="CM129" s="232"/>
      <c r="CN129" s="232"/>
      <c r="CO129" s="232"/>
      <c r="CP129" s="233" t="str">
        <f aca="false">IF(AND(D129="✓",D$4&lt;&gt;""),D$4&amp;"; ","")&amp;IF(AND(E129="✓",E$4&lt;&gt;""),E$4&amp;"; ","")&amp;IF(AND(F129="✓",F$4&lt;&gt;""),F$4&amp;"; ","")&amp;IF(AND(G129="✓",G$4&lt;&gt;""),G$4&amp;"; ","")&amp;IF(AND(H129="✓",H$4&lt;&gt;""),H$4&amp;"; ","")&amp;IF(AND(I129="✓",I$4&lt;&gt;""),I$4&amp;"; ","")&amp;IF(AND(J129="✓",J$4&lt;&gt;""),J$4&amp;"; ","")&amp;IF(AND(K129="✓",K$4&lt;&gt;""),K$4&amp;"; ","")&amp;IF(AND(L129="✓",L$4&lt;&gt;""),L$4&amp;"; ","")&amp;IF(AND(M129="✓",M$4&lt;&gt;""),M$4&amp;"; ","")&amp;IF(AND(N129="✓",N$4&lt;&gt;""),N$4&amp;"; ","")&amp;IF(AND(O129="✓",O$4&lt;&gt;""),O$4&amp;"; ","")&amp;IF(AND(P129="✓",P$4&lt;&gt;""),P$4&amp;"; ","")&amp;IF(AND(Q129="✓",Q$4&lt;&gt;""),Q$4&amp;"; ","")&amp;IF(AND(R129="✓",R$4&lt;&gt;""),R$4&amp;"; ","")&amp;IF(AND(S129="✓",S$4&lt;&gt;""),S$4&amp;"; ","")&amp;IF(AND(T129="✓",T$4&lt;&gt;""),T$4&amp;"; ","")&amp;IF(AND(U129="✓",U$4&lt;&gt;""),U$4&amp;"; ","")&amp;IF(AND(V129="✓",V$4&lt;&gt;""),V$4&amp;"; ","")&amp;IF(AND(W129="✓",W$4&lt;&gt;""),W$4&amp;"; ","")&amp;IF(AND(X129="✓",X$4&lt;&gt;""),X$4&amp;"; ","")&amp;IF(AND(Y129="✓",Y$4&lt;&gt;""),Y$4&amp;"; ","")&amp;IF(AND(Z129="✓",Z$4&lt;&gt;""),Z$4&amp;"; ","")&amp;IF(AND(AA129="✓",AA$4&lt;&gt;""),AA$4&amp;"; ","")&amp;IF(AND(AB129="✓",AB$4&lt;&gt;""),AB$4&amp;"; ","")&amp;IF(AND(AC129="✓",AC$4&lt;&gt;""),AC$4&amp;"; ","")&amp;IF(AND(AD129="✓",AD$4&lt;&gt;""),AD$4&amp;"; ","")&amp;IF(AND(AE129="✓",AE$4&lt;&gt;""),AE$4&amp;"; ","")&amp;IF(AND(AF129="✓",AF$4&lt;&gt;""),AF$4&amp;"; ","")&amp;IF(AND(AG129="✓",AG$4&lt;&gt;""),AG$4&amp;"; ","")&amp;IF(AND(AH129="✓",AH$4&lt;&gt;""),AH$4&amp;"; ","")&amp;IF(AND(AI129="✓",AI$4&lt;&gt;""),AI$4&amp;"; ","")&amp;IF(AND(AJ129="✓",AJ$4&lt;&gt;""),AJ$4&amp;"; ","")&amp;IF(AND(AK129="✓",AK$4&lt;&gt;""),AK$4&amp;"; ","")&amp;IF(AND(AL129="✓",AL$4&lt;&gt;""),AL$4&amp;"; ","")&amp;IF(AND(AM129="✓",AM$4&lt;&gt;""),AM$4&amp;"; ","")&amp;IF(AND(AN129="✓",AN$4&lt;&gt;""),AN$4&amp;"; ","")&amp;IF(AND(AO129="✓",AO$4&lt;&gt;""),AO$4&amp;"; ","")&amp;IF(AND(AP129="✓",AP$4&lt;&gt;""),AP$4&amp;"; ","")&amp;IF(AND(AQ129="✓",AQ$4&lt;&gt;""),AQ$4&amp;"; ","")&amp;IF(AND(AR129="✓",AR$4&lt;&gt;""),AR$4&amp;"; ","")&amp;IF(AND(AS129="✓",AS$4&lt;&gt;""),AS$4&amp;"; ","")&amp;IF(AND(AT129="✓",AT$4&lt;&gt;""),AT$4&amp;"; ","")&amp;IF(AND(AU129="✓",AU$4&lt;&gt;""),AU$4&amp;"; ","")&amp;IF(AND(AV129="✓",AV$4&lt;&gt;""),AV$4&amp;"; ","")&amp;IF(AND(AW129="✓",AW$4&lt;&gt;""),AW$4&amp;"; ","")&amp;IF(AND(AX129="✓",AX$4&lt;&gt;""),AX$4&amp;"; ","")&amp;IF(AND(AY129="✓",AY$4&lt;&gt;""),AY$4&amp;"; ","")&amp;IF(AND(AZ129="✓",AZ$4&lt;&gt;""),AZ$4&amp;"; ","")&amp;IF(AND(BA129="✓",BA$4&lt;&gt;""),BA$4&amp;"; ","")&amp;IF(AND(BB129="✓",BB$4&lt;&gt;""),BB$4&amp;"; ","")&amp;IF(AND(BC129="✓",BC$4&lt;&gt;""),BC$4&amp;"; ","")&amp;IF(AND(BD129="✓",BD$4&lt;&gt;""),BD$4&amp;"; ","")&amp;IF(AND(BE129="✓",BE$4&lt;&gt;""),BE$4&amp;"; ","")&amp;IF(AND(BF129="✓",BF$4&lt;&gt;""),BF$4&amp;"; ","")&amp;IF(AND(BG129="✓",BG$4&lt;&gt;""),BG$4&amp;"; ","")&amp;IF(AND(BH129="✓",BH$4&lt;&gt;""),BH$4&amp;"; ","")&amp;IF(AND(BI129="✓",BI$4&lt;&gt;""),BI$4&amp;"; ","")&amp;IF(AND(BJ129="✓",BJ$4&lt;&gt;""),BJ$4&amp;"; ","")&amp;IF(AND(BK129="✓",BK$4&lt;&gt;""),BK$4&amp;"; ","")&amp;IF(AND(BL129="✓",BL$4&lt;&gt;""),BL$4&amp;"; ","")&amp;IF(AND(BM129="✓",BM$4&lt;&gt;""),BM$4&amp;"; ","")&amp;IF(AND(BN129="✓",BN$4&lt;&gt;""),BN$4&amp;"; ","")&amp;IF(AND(BO129="✓",BO$4&lt;&gt;""),BO$4&amp;"; ","")&amp;IF(AND(BP129="✓",BP$4&lt;&gt;""),BP$4&amp;"; ","")&amp;IF(AND(BQ129="✓",BQ$4&lt;&gt;""),BQ$4&amp;"; ","")&amp;IF(AND(BR129="✓",BR$4&lt;&gt;""),BR$4&amp;"; ","")&amp;IF(AND(BS129="✓",BS$4&lt;&gt;""),BS$4&amp;"; ","")&amp;IF(AND(BT129="✓",BT$4&lt;&gt;""),BT$4&amp;"; ","")&amp;IF(AND(BU129="✓",BU$4&lt;&gt;""),BU$4&amp;"; ","")&amp;IF(AND(BV129="✓",BV$4&lt;&gt;""),BV$4&amp;"; ","")&amp;IF(AND(BW129="✓",BW$4&lt;&gt;""),BW$4&amp;"; ","")&amp;IF(AND(BX129="✓",BX$4&lt;&gt;""),BX$4&amp;"; ","")&amp;IF(AND(BY129="✓",BY$4&lt;&gt;""),BY$4&amp;"; ","")&amp;IF(AND(BZ129="✓",BZ$4&lt;&gt;""),BZ$4&amp;"; ","")&amp;IF(AND(CA129="✓",CA$4&lt;&gt;""),CA$4&amp;"; ","")&amp;IF(AND(CB129="✓",CB$4&lt;&gt;""),CB$4&amp;"; ","")&amp;IF(AND(CC129="✓",CC$4&lt;&gt;""),CC$4&amp;"; ","")&amp;IF(AND(CD129="✓",CD$4&lt;&gt;""),CD$4&amp;"; ","")&amp;IF(AND(CE129="✓",CE$4&lt;&gt;""),CE$4&amp;"; ","")&amp;IF(AND(CF129="✓",CF$4&lt;&gt;""),CF$4&amp;"; ","")&amp;IF(AND(CG129="✓",CG$4&lt;&gt;""),CG$4&amp;"; ","")&amp;IF(AND(CH129="✓",CH$4&lt;&gt;""),CH$4&amp;"; ","")&amp;IF(AND(CI129="✓",CI$4&lt;&gt;""),CI$4&amp;"; ","")&amp;IF(AND(CJ129="✓",CJ$4&lt;&gt;""),CJ$4&amp;"; ","")&amp;IF(AND(CK129="✓",CK$4&lt;&gt;""),CK$4&amp;"; ","")&amp;IF(AND(CL129="✓",CL$4&lt;&gt;""),CL$4&amp;"; ","")&amp;IF(AND(CM129="✓",CM$4&lt;&gt;""),CM$4&amp;"; ","")&amp;IF(AND(CN129="✓",CN$4&lt;&gt;""),CN$4&amp;"; ","")&amp;IF(AND(CO129="✓",CO$4&lt;&gt;""),CO$4&amp;"; ","")</f>
        <v/>
      </c>
      <c r="CQ129" s="104" t="str">
        <f aca="false">IF($CP129="","",LEFT($CP129,LEN($CP129)-2))</f>
        <v/>
      </c>
      <c r="CR129" s="234" t="str">
        <f aca="false">IF($A129="","",COUNTIF($D129:$CO129,"✓"))</f>
        <v/>
      </c>
    </row>
    <row r="130" customFormat="false" ht="21.75" hidden="false" customHeight="true" outlineLevel="0" collapsed="false">
      <c r="A130" s="231" t="str">
        <f aca="false">IF(03_能力總表_Master!$A130="","",03_能力總表_Master!$A130)</f>
        <v/>
      </c>
      <c r="B130" s="166" t="str">
        <f aca="false">IF(03_能力總表_Master!$A130="","",03_能力總表_Master!$B130)</f>
        <v/>
      </c>
      <c r="C130" s="95" t="str">
        <f aca="false">IF(03_能力總表_Master!$A130="","",03_能力總表_Master!$E130)</f>
        <v/>
      </c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32"/>
      <c r="AQ130" s="232"/>
      <c r="AR130" s="232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232"/>
      <c r="BH130" s="232"/>
      <c r="BI130" s="232"/>
      <c r="BJ130" s="232"/>
      <c r="BK130" s="232"/>
      <c r="BL130" s="232"/>
      <c r="BM130" s="232"/>
      <c r="BN130" s="232"/>
      <c r="BO130" s="232"/>
      <c r="BP130" s="232"/>
      <c r="BQ130" s="232"/>
      <c r="BR130" s="232"/>
      <c r="BS130" s="232"/>
      <c r="BT130" s="232"/>
      <c r="BU130" s="232"/>
      <c r="BV130" s="232"/>
      <c r="BW130" s="232"/>
      <c r="BX130" s="232"/>
      <c r="BY130" s="232"/>
      <c r="BZ130" s="232"/>
      <c r="CA130" s="232"/>
      <c r="CB130" s="232"/>
      <c r="CC130" s="232"/>
      <c r="CD130" s="232"/>
      <c r="CE130" s="232"/>
      <c r="CF130" s="232"/>
      <c r="CG130" s="232"/>
      <c r="CH130" s="232"/>
      <c r="CI130" s="232"/>
      <c r="CJ130" s="232"/>
      <c r="CK130" s="232"/>
      <c r="CL130" s="232"/>
      <c r="CM130" s="232"/>
      <c r="CN130" s="232"/>
      <c r="CO130" s="232"/>
      <c r="CP130" s="233" t="str">
        <f aca="false">IF(AND(D130="✓",D$4&lt;&gt;""),D$4&amp;"; ","")&amp;IF(AND(E130="✓",E$4&lt;&gt;""),E$4&amp;"; ","")&amp;IF(AND(F130="✓",F$4&lt;&gt;""),F$4&amp;"; ","")&amp;IF(AND(G130="✓",G$4&lt;&gt;""),G$4&amp;"; ","")&amp;IF(AND(H130="✓",H$4&lt;&gt;""),H$4&amp;"; ","")&amp;IF(AND(I130="✓",I$4&lt;&gt;""),I$4&amp;"; ","")&amp;IF(AND(J130="✓",J$4&lt;&gt;""),J$4&amp;"; ","")&amp;IF(AND(K130="✓",K$4&lt;&gt;""),K$4&amp;"; ","")&amp;IF(AND(L130="✓",L$4&lt;&gt;""),L$4&amp;"; ","")&amp;IF(AND(M130="✓",M$4&lt;&gt;""),M$4&amp;"; ","")&amp;IF(AND(N130="✓",N$4&lt;&gt;""),N$4&amp;"; ","")&amp;IF(AND(O130="✓",O$4&lt;&gt;""),O$4&amp;"; ","")&amp;IF(AND(P130="✓",P$4&lt;&gt;""),P$4&amp;"; ","")&amp;IF(AND(Q130="✓",Q$4&lt;&gt;""),Q$4&amp;"; ","")&amp;IF(AND(R130="✓",R$4&lt;&gt;""),R$4&amp;"; ","")&amp;IF(AND(S130="✓",S$4&lt;&gt;""),S$4&amp;"; ","")&amp;IF(AND(T130="✓",T$4&lt;&gt;""),T$4&amp;"; ","")&amp;IF(AND(U130="✓",U$4&lt;&gt;""),U$4&amp;"; ","")&amp;IF(AND(V130="✓",V$4&lt;&gt;""),V$4&amp;"; ","")&amp;IF(AND(W130="✓",W$4&lt;&gt;""),W$4&amp;"; ","")&amp;IF(AND(X130="✓",X$4&lt;&gt;""),X$4&amp;"; ","")&amp;IF(AND(Y130="✓",Y$4&lt;&gt;""),Y$4&amp;"; ","")&amp;IF(AND(Z130="✓",Z$4&lt;&gt;""),Z$4&amp;"; ","")&amp;IF(AND(AA130="✓",AA$4&lt;&gt;""),AA$4&amp;"; ","")&amp;IF(AND(AB130="✓",AB$4&lt;&gt;""),AB$4&amp;"; ","")&amp;IF(AND(AC130="✓",AC$4&lt;&gt;""),AC$4&amp;"; ","")&amp;IF(AND(AD130="✓",AD$4&lt;&gt;""),AD$4&amp;"; ","")&amp;IF(AND(AE130="✓",AE$4&lt;&gt;""),AE$4&amp;"; ","")&amp;IF(AND(AF130="✓",AF$4&lt;&gt;""),AF$4&amp;"; ","")&amp;IF(AND(AG130="✓",AG$4&lt;&gt;""),AG$4&amp;"; ","")&amp;IF(AND(AH130="✓",AH$4&lt;&gt;""),AH$4&amp;"; ","")&amp;IF(AND(AI130="✓",AI$4&lt;&gt;""),AI$4&amp;"; ","")&amp;IF(AND(AJ130="✓",AJ$4&lt;&gt;""),AJ$4&amp;"; ","")&amp;IF(AND(AK130="✓",AK$4&lt;&gt;""),AK$4&amp;"; ","")&amp;IF(AND(AL130="✓",AL$4&lt;&gt;""),AL$4&amp;"; ","")&amp;IF(AND(AM130="✓",AM$4&lt;&gt;""),AM$4&amp;"; ","")&amp;IF(AND(AN130="✓",AN$4&lt;&gt;""),AN$4&amp;"; ","")&amp;IF(AND(AO130="✓",AO$4&lt;&gt;""),AO$4&amp;"; ","")&amp;IF(AND(AP130="✓",AP$4&lt;&gt;""),AP$4&amp;"; ","")&amp;IF(AND(AQ130="✓",AQ$4&lt;&gt;""),AQ$4&amp;"; ","")&amp;IF(AND(AR130="✓",AR$4&lt;&gt;""),AR$4&amp;"; ","")&amp;IF(AND(AS130="✓",AS$4&lt;&gt;""),AS$4&amp;"; ","")&amp;IF(AND(AT130="✓",AT$4&lt;&gt;""),AT$4&amp;"; ","")&amp;IF(AND(AU130="✓",AU$4&lt;&gt;""),AU$4&amp;"; ","")&amp;IF(AND(AV130="✓",AV$4&lt;&gt;""),AV$4&amp;"; ","")&amp;IF(AND(AW130="✓",AW$4&lt;&gt;""),AW$4&amp;"; ","")&amp;IF(AND(AX130="✓",AX$4&lt;&gt;""),AX$4&amp;"; ","")&amp;IF(AND(AY130="✓",AY$4&lt;&gt;""),AY$4&amp;"; ","")&amp;IF(AND(AZ130="✓",AZ$4&lt;&gt;""),AZ$4&amp;"; ","")&amp;IF(AND(BA130="✓",BA$4&lt;&gt;""),BA$4&amp;"; ","")&amp;IF(AND(BB130="✓",BB$4&lt;&gt;""),BB$4&amp;"; ","")&amp;IF(AND(BC130="✓",BC$4&lt;&gt;""),BC$4&amp;"; ","")&amp;IF(AND(BD130="✓",BD$4&lt;&gt;""),BD$4&amp;"; ","")&amp;IF(AND(BE130="✓",BE$4&lt;&gt;""),BE$4&amp;"; ","")&amp;IF(AND(BF130="✓",BF$4&lt;&gt;""),BF$4&amp;"; ","")&amp;IF(AND(BG130="✓",BG$4&lt;&gt;""),BG$4&amp;"; ","")&amp;IF(AND(BH130="✓",BH$4&lt;&gt;""),BH$4&amp;"; ","")&amp;IF(AND(BI130="✓",BI$4&lt;&gt;""),BI$4&amp;"; ","")&amp;IF(AND(BJ130="✓",BJ$4&lt;&gt;""),BJ$4&amp;"; ","")&amp;IF(AND(BK130="✓",BK$4&lt;&gt;""),BK$4&amp;"; ","")&amp;IF(AND(BL130="✓",BL$4&lt;&gt;""),BL$4&amp;"; ","")&amp;IF(AND(BM130="✓",BM$4&lt;&gt;""),BM$4&amp;"; ","")&amp;IF(AND(BN130="✓",BN$4&lt;&gt;""),BN$4&amp;"; ","")&amp;IF(AND(BO130="✓",BO$4&lt;&gt;""),BO$4&amp;"; ","")&amp;IF(AND(BP130="✓",BP$4&lt;&gt;""),BP$4&amp;"; ","")&amp;IF(AND(BQ130="✓",BQ$4&lt;&gt;""),BQ$4&amp;"; ","")&amp;IF(AND(BR130="✓",BR$4&lt;&gt;""),BR$4&amp;"; ","")&amp;IF(AND(BS130="✓",BS$4&lt;&gt;""),BS$4&amp;"; ","")&amp;IF(AND(BT130="✓",BT$4&lt;&gt;""),BT$4&amp;"; ","")&amp;IF(AND(BU130="✓",BU$4&lt;&gt;""),BU$4&amp;"; ","")&amp;IF(AND(BV130="✓",BV$4&lt;&gt;""),BV$4&amp;"; ","")&amp;IF(AND(BW130="✓",BW$4&lt;&gt;""),BW$4&amp;"; ","")&amp;IF(AND(BX130="✓",BX$4&lt;&gt;""),BX$4&amp;"; ","")&amp;IF(AND(BY130="✓",BY$4&lt;&gt;""),BY$4&amp;"; ","")&amp;IF(AND(BZ130="✓",BZ$4&lt;&gt;""),BZ$4&amp;"; ","")&amp;IF(AND(CA130="✓",CA$4&lt;&gt;""),CA$4&amp;"; ","")&amp;IF(AND(CB130="✓",CB$4&lt;&gt;""),CB$4&amp;"; ","")&amp;IF(AND(CC130="✓",CC$4&lt;&gt;""),CC$4&amp;"; ","")&amp;IF(AND(CD130="✓",CD$4&lt;&gt;""),CD$4&amp;"; ","")&amp;IF(AND(CE130="✓",CE$4&lt;&gt;""),CE$4&amp;"; ","")&amp;IF(AND(CF130="✓",CF$4&lt;&gt;""),CF$4&amp;"; ","")&amp;IF(AND(CG130="✓",CG$4&lt;&gt;""),CG$4&amp;"; ","")&amp;IF(AND(CH130="✓",CH$4&lt;&gt;""),CH$4&amp;"; ","")&amp;IF(AND(CI130="✓",CI$4&lt;&gt;""),CI$4&amp;"; ","")&amp;IF(AND(CJ130="✓",CJ$4&lt;&gt;""),CJ$4&amp;"; ","")&amp;IF(AND(CK130="✓",CK$4&lt;&gt;""),CK$4&amp;"; ","")&amp;IF(AND(CL130="✓",CL$4&lt;&gt;""),CL$4&amp;"; ","")&amp;IF(AND(CM130="✓",CM$4&lt;&gt;""),CM$4&amp;"; ","")&amp;IF(AND(CN130="✓",CN$4&lt;&gt;""),CN$4&amp;"; ","")&amp;IF(AND(CO130="✓",CO$4&lt;&gt;""),CO$4&amp;"; ","")</f>
        <v/>
      </c>
      <c r="CQ130" s="104" t="str">
        <f aca="false">IF($CP130="","",LEFT($CP130,LEN($CP130)-2))</f>
        <v/>
      </c>
      <c r="CR130" s="234" t="str">
        <f aca="false">IF($A130="","",COUNTIF($D130:$CO130,"✓"))</f>
        <v/>
      </c>
    </row>
    <row r="131" customFormat="false" ht="21.75" hidden="false" customHeight="true" outlineLevel="0" collapsed="false">
      <c r="A131" s="231" t="str">
        <f aca="false">IF(03_能力總表_Master!$A131="","",03_能力總表_Master!$A131)</f>
        <v/>
      </c>
      <c r="B131" s="166" t="str">
        <f aca="false">IF(03_能力總表_Master!$A131="","",03_能力總表_Master!$B131)</f>
        <v/>
      </c>
      <c r="C131" s="95" t="str">
        <f aca="false">IF(03_能力總表_Master!$A131="","",03_能力總表_Master!$E131)</f>
        <v/>
      </c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32"/>
      <c r="AQ131" s="232"/>
      <c r="AR131" s="232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232"/>
      <c r="BH131" s="232"/>
      <c r="BI131" s="232"/>
      <c r="BJ131" s="232"/>
      <c r="BK131" s="232"/>
      <c r="BL131" s="232"/>
      <c r="BM131" s="232"/>
      <c r="BN131" s="232"/>
      <c r="BO131" s="232"/>
      <c r="BP131" s="232"/>
      <c r="BQ131" s="232"/>
      <c r="BR131" s="232"/>
      <c r="BS131" s="232"/>
      <c r="BT131" s="232"/>
      <c r="BU131" s="232"/>
      <c r="BV131" s="232"/>
      <c r="BW131" s="232"/>
      <c r="BX131" s="232"/>
      <c r="BY131" s="232"/>
      <c r="BZ131" s="232"/>
      <c r="CA131" s="232"/>
      <c r="CB131" s="232"/>
      <c r="CC131" s="232"/>
      <c r="CD131" s="232"/>
      <c r="CE131" s="232"/>
      <c r="CF131" s="232"/>
      <c r="CG131" s="232"/>
      <c r="CH131" s="232"/>
      <c r="CI131" s="232"/>
      <c r="CJ131" s="232"/>
      <c r="CK131" s="232"/>
      <c r="CL131" s="232"/>
      <c r="CM131" s="232"/>
      <c r="CN131" s="232"/>
      <c r="CO131" s="232"/>
      <c r="CP131" s="233" t="str">
        <f aca="false">IF(AND(D131="✓",D$4&lt;&gt;""),D$4&amp;"; ","")&amp;IF(AND(E131="✓",E$4&lt;&gt;""),E$4&amp;"; ","")&amp;IF(AND(F131="✓",F$4&lt;&gt;""),F$4&amp;"; ","")&amp;IF(AND(G131="✓",G$4&lt;&gt;""),G$4&amp;"; ","")&amp;IF(AND(H131="✓",H$4&lt;&gt;""),H$4&amp;"; ","")&amp;IF(AND(I131="✓",I$4&lt;&gt;""),I$4&amp;"; ","")&amp;IF(AND(J131="✓",J$4&lt;&gt;""),J$4&amp;"; ","")&amp;IF(AND(K131="✓",K$4&lt;&gt;""),K$4&amp;"; ","")&amp;IF(AND(L131="✓",L$4&lt;&gt;""),L$4&amp;"; ","")&amp;IF(AND(M131="✓",M$4&lt;&gt;""),M$4&amp;"; ","")&amp;IF(AND(N131="✓",N$4&lt;&gt;""),N$4&amp;"; ","")&amp;IF(AND(O131="✓",O$4&lt;&gt;""),O$4&amp;"; ","")&amp;IF(AND(P131="✓",P$4&lt;&gt;""),P$4&amp;"; ","")&amp;IF(AND(Q131="✓",Q$4&lt;&gt;""),Q$4&amp;"; ","")&amp;IF(AND(R131="✓",R$4&lt;&gt;""),R$4&amp;"; ","")&amp;IF(AND(S131="✓",S$4&lt;&gt;""),S$4&amp;"; ","")&amp;IF(AND(T131="✓",T$4&lt;&gt;""),T$4&amp;"; ","")&amp;IF(AND(U131="✓",U$4&lt;&gt;""),U$4&amp;"; ","")&amp;IF(AND(V131="✓",V$4&lt;&gt;""),V$4&amp;"; ","")&amp;IF(AND(W131="✓",W$4&lt;&gt;""),W$4&amp;"; ","")&amp;IF(AND(X131="✓",X$4&lt;&gt;""),X$4&amp;"; ","")&amp;IF(AND(Y131="✓",Y$4&lt;&gt;""),Y$4&amp;"; ","")&amp;IF(AND(Z131="✓",Z$4&lt;&gt;""),Z$4&amp;"; ","")&amp;IF(AND(AA131="✓",AA$4&lt;&gt;""),AA$4&amp;"; ","")&amp;IF(AND(AB131="✓",AB$4&lt;&gt;""),AB$4&amp;"; ","")&amp;IF(AND(AC131="✓",AC$4&lt;&gt;""),AC$4&amp;"; ","")&amp;IF(AND(AD131="✓",AD$4&lt;&gt;""),AD$4&amp;"; ","")&amp;IF(AND(AE131="✓",AE$4&lt;&gt;""),AE$4&amp;"; ","")&amp;IF(AND(AF131="✓",AF$4&lt;&gt;""),AF$4&amp;"; ","")&amp;IF(AND(AG131="✓",AG$4&lt;&gt;""),AG$4&amp;"; ","")&amp;IF(AND(AH131="✓",AH$4&lt;&gt;""),AH$4&amp;"; ","")&amp;IF(AND(AI131="✓",AI$4&lt;&gt;""),AI$4&amp;"; ","")&amp;IF(AND(AJ131="✓",AJ$4&lt;&gt;""),AJ$4&amp;"; ","")&amp;IF(AND(AK131="✓",AK$4&lt;&gt;""),AK$4&amp;"; ","")&amp;IF(AND(AL131="✓",AL$4&lt;&gt;""),AL$4&amp;"; ","")&amp;IF(AND(AM131="✓",AM$4&lt;&gt;""),AM$4&amp;"; ","")&amp;IF(AND(AN131="✓",AN$4&lt;&gt;""),AN$4&amp;"; ","")&amp;IF(AND(AO131="✓",AO$4&lt;&gt;""),AO$4&amp;"; ","")&amp;IF(AND(AP131="✓",AP$4&lt;&gt;""),AP$4&amp;"; ","")&amp;IF(AND(AQ131="✓",AQ$4&lt;&gt;""),AQ$4&amp;"; ","")&amp;IF(AND(AR131="✓",AR$4&lt;&gt;""),AR$4&amp;"; ","")&amp;IF(AND(AS131="✓",AS$4&lt;&gt;""),AS$4&amp;"; ","")&amp;IF(AND(AT131="✓",AT$4&lt;&gt;""),AT$4&amp;"; ","")&amp;IF(AND(AU131="✓",AU$4&lt;&gt;""),AU$4&amp;"; ","")&amp;IF(AND(AV131="✓",AV$4&lt;&gt;""),AV$4&amp;"; ","")&amp;IF(AND(AW131="✓",AW$4&lt;&gt;""),AW$4&amp;"; ","")&amp;IF(AND(AX131="✓",AX$4&lt;&gt;""),AX$4&amp;"; ","")&amp;IF(AND(AY131="✓",AY$4&lt;&gt;""),AY$4&amp;"; ","")&amp;IF(AND(AZ131="✓",AZ$4&lt;&gt;""),AZ$4&amp;"; ","")&amp;IF(AND(BA131="✓",BA$4&lt;&gt;""),BA$4&amp;"; ","")&amp;IF(AND(BB131="✓",BB$4&lt;&gt;""),BB$4&amp;"; ","")&amp;IF(AND(BC131="✓",BC$4&lt;&gt;""),BC$4&amp;"; ","")&amp;IF(AND(BD131="✓",BD$4&lt;&gt;""),BD$4&amp;"; ","")&amp;IF(AND(BE131="✓",BE$4&lt;&gt;""),BE$4&amp;"; ","")&amp;IF(AND(BF131="✓",BF$4&lt;&gt;""),BF$4&amp;"; ","")&amp;IF(AND(BG131="✓",BG$4&lt;&gt;""),BG$4&amp;"; ","")&amp;IF(AND(BH131="✓",BH$4&lt;&gt;""),BH$4&amp;"; ","")&amp;IF(AND(BI131="✓",BI$4&lt;&gt;""),BI$4&amp;"; ","")&amp;IF(AND(BJ131="✓",BJ$4&lt;&gt;""),BJ$4&amp;"; ","")&amp;IF(AND(BK131="✓",BK$4&lt;&gt;""),BK$4&amp;"; ","")&amp;IF(AND(BL131="✓",BL$4&lt;&gt;""),BL$4&amp;"; ","")&amp;IF(AND(BM131="✓",BM$4&lt;&gt;""),BM$4&amp;"; ","")&amp;IF(AND(BN131="✓",BN$4&lt;&gt;""),BN$4&amp;"; ","")&amp;IF(AND(BO131="✓",BO$4&lt;&gt;""),BO$4&amp;"; ","")&amp;IF(AND(BP131="✓",BP$4&lt;&gt;""),BP$4&amp;"; ","")&amp;IF(AND(BQ131="✓",BQ$4&lt;&gt;""),BQ$4&amp;"; ","")&amp;IF(AND(BR131="✓",BR$4&lt;&gt;""),BR$4&amp;"; ","")&amp;IF(AND(BS131="✓",BS$4&lt;&gt;""),BS$4&amp;"; ","")&amp;IF(AND(BT131="✓",BT$4&lt;&gt;""),BT$4&amp;"; ","")&amp;IF(AND(BU131="✓",BU$4&lt;&gt;""),BU$4&amp;"; ","")&amp;IF(AND(BV131="✓",BV$4&lt;&gt;""),BV$4&amp;"; ","")&amp;IF(AND(BW131="✓",BW$4&lt;&gt;""),BW$4&amp;"; ","")&amp;IF(AND(BX131="✓",BX$4&lt;&gt;""),BX$4&amp;"; ","")&amp;IF(AND(BY131="✓",BY$4&lt;&gt;""),BY$4&amp;"; ","")&amp;IF(AND(BZ131="✓",BZ$4&lt;&gt;""),BZ$4&amp;"; ","")&amp;IF(AND(CA131="✓",CA$4&lt;&gt;""),CA$4&amp;"; ","")&amp;IF(AND(CB131="✓",CB$4&lt;&gt;""),CB$4&amp;"; ","")&amp;IF(AND(CC131="✓",CC$4&lt;&gt;""),CC$4&amp;"; ","")&amp;IF(AND(CD131="✓",CD$4&lt;&gt;""),CD$4&amp;"; ","")&amp;IF(AND(CE131="✓",CE$4&lt;&gt;""),CE$4&amp;"; ","")&amp;IF(AND(CF131="✓",CF$4&lt;&gt;""),CF$4&amp;"; ","")&amp;IF(AND(CG131="✓",CG$4&lt;&gt;""),CG$4&amp;"; ","")&amp;IF(AND(CH131="✓",CH$4&lt;&gt;""),CH$4&amp;"; ","")&amp;IF(AND(CI131="✓",CI$4&lt;&gt;""),CI$4&amp;"; ","")&amp;IF(AND(CJ131="✓",CJ$4&lt;&gt;""),CJ$4&amp;"; ","")&amp;IF(AND(CK131="✓",CK$4&lt;&gt;""),CK$4&amp;"; ","")&amp;IF(AND(CL131="✓",CL$4&lt;&gt;""),CL$4&amp;"; ","")&amp;IF(AND(CM131="✓",CM$4&lt;&gt;""),CM$4&amp;"; ","")&amp;IF(AND(CN131="✓",CN$4&lt;&gt;""),CN$4&amp;"; ","")&amp;IF(AND(CO131="✓",CO$4&lt;&gt;""),CO$4&amp;"; ","")</f>
        <v/>
      </c>
      <c r="CQ131" s="104" t="str">
        <f aca="false">IF($CP131="","",LEFT($CP131,LEN($CP131)-2))</f>
        <v/>
      </c>
      <c r="CR131" s="234" t="str">
        <f aca="false">IF($A131="","",COUNTIF($D131:$CO131,"✓"))</f>
        <v/>
      </c>
    </row>
    <row r="132" customFormat="false" ht="21.75" hidden="false" customHeight="true" outlineLevel="0" collapsed="false">
      <c r="A132" s="231" t="str">
        <f aca="false">IF(03_能力總表_Master!$A132="","",03_能力總表_Master!$A132)</f>
        <v/>
      </c>
      <c r="B132" s="166" t="str">
        <f aca="false">IF(03_能力總表_Master!$A132="","",03_能力總表_Master!$B132)</f>
        <v/>
      </c>
      <c r="C132" s="95" t="str">
        <f aca="false">IF(03_能力總表_Master!$A132="","",03_能力總表_Master!$E132)</f>
        <v/>
      </c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32"/>
      <c r="AQ132" s="232"/>
      <c r="AR132" s="232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232"/>
      <c r="BH132" s="232"/>
      <c r="BI132" s="232"/>
      <c r="BJ132" s="232"/>
      <c r="BK132" s="232"/>
      <c r="BL132" s="232"/>
      <c r="BM132" s="232"/>
      <c r="BN132" s="232"/>
      <c r="BO132" s="232"/>
      <c r="BP132" s="232"/>
      <c r="BQ132" s="232"/>
      <c r="BR132" s="232"/>
      <c r="BS132" s="232"/>
      <c r="BT132" s="232"/>
      <c r="BU132" s="232"/>
      <c r="BV132" s="232"/>
      <c r="BW132" s="232"/>
      <c r="BX132" s="232"/>
      <c r="BY132" s="232"/>
      <c r="BZ132" s="232"/>
      <c r="CA132" s="232"/>
      <c r="CB132" s="232"/>
      <c r="CC132" s="232"/>
      <c r="CD132" s="232"/>
      <c r="CE132" s="232"/>
      <c r="CF132" s="232"/>
      <c r="CG132" s="232"/>
      <c r="CH132" s="232"/>
      <c r="CI132" s="232"/>
      <c r="CJ132" s="232"/>
      <c r="CK132" s="232"/>
      <c r="CL132" s="232"/>
      <c r="CM132" s="232"/>
      <c r="CN132" s="232"/>
      <c r="CO132" s="232"/>
      <c r="CP132" s="233" t="str">
        <f aca="false">IF(AND(D132="✓",D$4&lt;&gt;""),D$4&amp;"; ","")&amp;IF(AND(E132="✓",E$4&lt;&gt;""),E$4&amp;"; ","")&amp;IF(AND(F132="✓",F$4&lt;&gt;""),F$4&amp;"; ","")&amp;IF(AND(G132="✓",G$4&lt;&gt;""),G$4&amp;"; ","")&amp;IF(AND(H132="✓",H$4&lt;&gt;""),H$4&amp;"; ","")&amp;IF(AND(I132="✓",I$4&lt;&gt;""),I$4&amp;"; ","")&amp;IF(AND(J132="✓",J$4&lt;&gt;""),J$4&amp;"; ","")&amp;IF(AND(K132="✓",K$4&lt;&gt;""),K$4&amp;"; ","")&amp;IF(AND(L132="✓",L$4&lt;&gt;""),L$4&amp;"; ","")&amp;IF(AND(M132="✓",M$4&lt;&gt;""),M$4&amp;"; ","")&amp;IF(AND(N132="✓",N$4&lt;&gt;""),N$4&amp;"; ","")&amp;IF(AND(O132="✓",O$4&lt;&gt;""),O$4&amp;"; ","")&amp;IF(AND(P132="✓",P$4&lt;&gt;""),P$4&amp;"; ","")&amp;IF(AND(Q132="✓",Q$4&lt;&gt;""),Q$4&amp;"; ","")&amp;IF(AND(R132="✓",R$4&lt;&gt;""),R$4&amp;"; ","")&amp;IF(AND(S132="✓",S$4&lt;&gt;""),S$4&amp;"; ","")&amp;IF(AND(T132="✓",T$4&lt;&gt;""),T$4&amp;"; ","")&amp;IF(AND(U132="✓",U$4&lt;&gt;""),U$4&amp;"; ","")&amp;IF(AND(V132="✓",V$4&lt;&gt;""),V$4&amp;"; ","")&amp;IF(AND(W132="✓",W$4&lt;&gt;""),W$4&amp;"; ","")&amp;IF(AND(X132="✓",X$4&lt;&gt;""),X$4&amp;"; ","")&amp;IF(AND(Y132="✓",Y$4&lt;&gt;""),Y$4&amp;"; ","")&amp;IF(AND(Z132="✓",Z$4&lt;&gt;""),Z$4&amp;"; ","")&amp;IF(AND(AA132="✓",AA$4&lt;&gt;""),AA$4&amp;"; ","")&amp;IF(AND(AB132="✓",AB$4&lt;&gt;""),AB$4&amp;"; ","")&amp;IF(AND(AC132="✓",AC$4&lt;&gt;""),AC$4&amp;"; ","")&amp;IF(AND(AD132="✓",AD$4&lt;&gt;""),AD$4&amp;"; ","")&amp;IF(AND(AE132="✓",AE$4&lt;&gt;""),AE$4&amp;"; ","")&amp;IF(AND(AF132="✓",AF$4&lt;&gt;""),AF$4&amp;"; ","")&amp;IF(AND(AG132="✓",AG$4&lt;&gt;""),AG$4&amp;"; ","")&amp;IF(AND(AH132="✓",AH$4&lt;&gt;""),AH$4&amp;"; ","")&amp;IF(AND(AI132="✓",AI$4&lt;&gt;""),AI$4&amp;"; ","")&amp;IF(AND(AJ132="✓",AJ$4&lt;&gt;""),AJ$4&amp;"; ","")&amp;IF(AND(AK132="✓",AK$4&lt;&gt;""),AK$4&amp;"; ","")&amp;IF(AND(AL132="✓",AL$4&lt;&gt;""),AL$4&amp;"; ","")&amp;IF(AND(AM132="✓",AM$4&lt;&gt;""),AM$4&amp;"; ","")&amp;IF(AND(AN132="✓",AN$4&lt;&gt;""),AN$4&amp;"; ","")&amp;IF(AND(AO132="✓",AO$4&lt;&gt;""),AO$4&amp;"; ","")&amp;IF(AND(AP132="✓",AP$4&lt;&gt;""),AP$4&amp;"; ","")&amp;IF(AND(AQ132="✓",AQ$4&lt;&gt;""),AQ$4&amp;"; ","")&amp;IF(AND(AR132="✓",AR$4&lt;&gt;""),AR$4&amp;"; ","")&amp;IF(AND(AS132="✓",AS$4&lt;&gt;""),AS$4&amp;"; ","")&amp;IF(AND(AT132="✓",AT$4&lt;&gt;""),AT$4&amp;"; ","")&amp;IF(AND(AU132="✓",AU$4&lt;&gt;""),AU$4&amp;"; ","")&amp;IF(AND(AV132="✓",AV$4&lt;&gt;""),AV$4&amp;"; ","")&amp;IF(AND(AW132="✓",AW$4&lt;&gt;""),AW$4&amp;"; ","")&amp;IF(AND(AX132="✓",AX$4&lt;&gt;""),AX$4&amp;"; ","")&amp;IF(AND(AY132="✓",AY$4&lt;&gt;""),AY$4&amp;"; ","")&amp;IF(AND(AZ132="✓",AZ$4&lt;&gt;""),AZ$4&amp;"; ","")&amp;IF(AND(BA132="✓",BA$4&lt;&gt;""),BA$4&amp;"; ","")&amp;IF(AND(BB132="✓",BB$4&lt;&gt;""),BB$4&amp;"; ","")&amp;IF(AND(BC132="✓",BC$4&lt;&gt;""),BC$4&amp;"; ","")&amp;IF(AND(BD132="✓",BD$4&lt;&gt;""),BD$4&amp;"; ","")&amp;IF(AND(BE132="✓",BE$4&lt;&gt;""),BE$4&amp;"; ","")&amp;IF(AND(BF132="✓",BF$4&lt;&gt;""),BF$4&amp;"; ","")&amp;IF(AND(BG132="✓",BG$4&lt;&gt;""),BG$4&amp;"; ","")&amp;IF(AND(BH132="✓",BH$4&lt;&gt;""),BH$4&amp;"; ","")&amp;IF(AND(BI132="✓",BI$4&lt;&gt;""),BI$4&amp;"; ","")&amp;IF(AND(BJ132="✓",BJ$4&lt;&gt;""),BJ$4&amp;"; ","")&amp;IF(AND(BK132="✓",BK$4&lt;&gt;""),BK$4&amp;"; ","")&amp;IF(AND(BL132="✓",BL$4&lt;&gt;""),BL$4&amp;"; ","")&amp;IF(AND(BM132="✓",BM$4&lt;&gt;""),BM$4&amp;"; ","")&amp;IF(AND(BN132="✓",BN$4&lt;&gt;""),BN$4&amp;"; ","")&amp;IF(AND(BO132="✓",BO$4&lt;&gt;""),BO$4&amp;"; ","")&amp;IF(AND(BP132="✓",BP$4&lt;&gt;""),BP$4&amp;"; ","")&amp;IF(AND(BQ132="✓",BQ$4&lt;&gt;""),BQ$4&amp;"; ","")&amp;IF(AND(BR132="✓",BR$4&lt;&gt;""),BR$4&amp;"; ","")&amp;IF(AND(BS132="✓",BS$4&lt;&gt;""),BS$4&amp;"; ","")&amp;IF(AND(BT132="✓",BT$4&lt;&gt;""),BT$4&amp;"; ","")&amp;IF(AND(BU132="✓",BU$4&lt;&gt;""),BU$4&amp;"; ","")&amp;IF(AND(BV132="✓",BV$4&lt;&gt;""),BV$4&amp;"; ","")&amp;IF(AND(BW132="✓",BW$4&lt;&gt;""),BW$4&amp;"; ","")&amp;IF(AND(BX132="✓",BX$4&lt;&gt;""),BX$4&amp;"; ","")&amp;IF(AND(BY132="✓",BY$4&lt;&gt;""),BY$4&amp;"; ","")&amp;IF(AND(BZ132="✓",BZ$4&lt;&gt;""),BZ$4&amp;"; ","")&amp;IF(AND(CA132="✓",CA$4&lt;&gt;""),CA$4&amp;"; ","")&amp;IF(AND(CB132="✓",CB$4&lt;&gt;""),CB$4&amp;"; ","")&amp;IF(AND(CC132="✓",CC$4&lt;&gt;""),CC$4&amp;"; ","")&amp;IF(AND(CD132="✓",CD$4&lt;&gt;""),CD$4&amp;"; ","")&amp;IF(AND(CE132="✓",CE$4&lt;&gt;""),CE$4&amp;"; ","")&amp;IF(AND(CF132="✓",CF$4&lt;&gt;""),CF$4&amp;"; ","")&amp;IF(AND(CG132="✓",CG$4&lt;&gt;""),CG$4&amp;"; ","")&amp;IF(AND(CH132="✓",CH$4&lt;&gt;""),CH$4&amp;"; ","")&amp;IF(AND(CI132="✓",CI$4&lt;&gt;""),CI$4&amp;"; ","")&amp;IF(AND(CJ132="✓",CJ$4&lt;&gt;""),CJ$4&amp;"; ","")&amp;IF(AND(CK132="✓",CK$4&lt;&gt;""),CK$4&amp;"; ","")&amp;IF(AND(CL132="✓",CL$4&lt;&gt;""),CL$4&amp;"; ","")&amp;IF(AND(CM132="✓",CM$4&lt;&gt;""),CM$4&amp;"; ","")&amp;IF(AND(CN132="✓",CN$4&lt;&gt;""),CN$4&amp;"; ","")&amp;IF(AND(CO132="✓",CO$4&lt;&gt;""),CO$4&amp;"; ","")</f>
        <v/>
      </c>
      <c r="CQ132" s="104" t="str">
        <f aca="false">IF($CP132="","",LEFT($CP132,LEN($CP132)-2))</f>
        <v/>
      </c>
      <c r="CR132" s="234" t="str">
        <f aca="false">IF($A132="","",COUNTIF($D132:$CO132,"✓"))</f>
        <v/>
      </c>
    </row>
    <row r="133" customFormat="false" ht="21.75" hidden="false" customHeight="true" outlineLevel="0" collapsed="false">
      <c r="A133" s="231" t="str">
        <f aca="false">IF(03_能力總表_Master!$A133="","",03_能力總表_Master!$A133)</f>
        <v/>
      </c>
      <c r="B133" s="166" t="str">
        <f aca="false">IF(03_能力總表_Master!$A133="","",03_能力總表_Master!$B133)</f>
        <v/>
      </c>
      <c r="C133" s="95" t="str">
        <f aca="false">IF(03_能力總表_Master!$A133="","",03_能力總表_Master!$E133)</f>
        <v/>
      </c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32"/>
      <c r="AQ133" s="232"/>
      <c r="AR133" s="232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232"/>
      <c r="BH133" s="232"/>
      <c r="BI133" s="232"/>
      <c r="BJ133" s="232"/>
      <c r="BK133" s="232"/>
      <c r="BL133" s="232"/>
      <c r="BM133" s="232"/>
      <c r="BN133" s="232"/>
      <c r="BO133" s="232"/>
      <c r="BP133" s="232"/>
      <c r="BQ133" s="232"/>
      <c r="BR133" s="232"/>
      <c r="BS133" s="232"/>
      <c r="BT133" s="232"/>
      <c r="BU133" s="232"/>
      <c r="BV133" s="232"/>
      <c r="BW133" s="232"/>
      <c r="BX133" s="232"/>
      <c r="BY133" s="232"/>
      <c r="BZ133" s="232"/>
      <c r="CA133" s="232"/>
      <c r="CB133" s="232"/>
      <c r="CC133" s="232"/>
      <c r="CD133" s="232"/>
      <c r="CE133" s="232"/>
      <c r="CF133" s="232"/>
      <c r="CG133" s="232"/>
      <c r="CH133" s="232"/>
      <c r="CI133" s="232"/>
      <c r="CJ133" s="232"/>
      <c r="CK133" s="232"/>
      <c r="CL133" s="232"/>
      <c r="CM133" s="232"/>
      <c r="CN133" s="232"/>
      <c r="CO133" s="232"/>
      <c r="CP133" s="233" t="str">
        <f aca="false">IF(AND(D133="✓",D$4&lt;&gt;""),D$4&amp;"; ","")&amp;IF(AND(E133="✓",E$4&lt;&gt;""),E$4&amp;"; ","")&amp;IF(AND(F133="✓",F$4&lt;&gt;""),F$4&amp;"; ","")&amp;IF(AND(G133="✓",G$4&lt;&gt;""),G$4&amp;"; ","")&amp;IF(AND(H133="✓",H$4&lt;&gt;""),H$4&amp;"; ","")&amp;IF(AND(I133="✓",I$4&lt;&gt;""),I$4&amp;"; ","")&amp;IF(AND(J133="✓",J$4&lt;&gt;""),J$4&amp;"; ","")&amp;IF(AND(K133="✓",K$4&lt;&gt;""),K$4&amp;"; ","")&amp;IF(AND(L133="✓",L$4&lt;&gt;""),L$4&amp;"; ","")&amp;IF(AND(M133="✓",M$4&lt;&gt;""),M$4&amp;"; ","")&amp;IF(AND(N133="✓",N$4&lt;&gt;""),N$4&amp;"; ","")&amp;IF(AND(O133="✓",O$4&lt;&gt;""),O$4&amp;"; ","")&amp;IF(AND(P133="✓",P$4&lt;&gt;""),P$4&amp;"; ","")&amp;IF(AND(Q133="✓",Q$4&lt;&gt;""),Q$4&amp;"; ","")&amp;IF(AND(R133="✓",R$4&lt;&gt;""),R$4&amp;"; ","")&amp;IF(AND(S133="✓",S$4&lt;&gt;""),S$4&amp;"; ","")&amp;IF(AND(T133="✓",T$4&lt;&gt;""),T$4&amp;"; ","")&amp;IF(AND(U133="✓",U$4&lt;&gt;""),U$4&amp;"; ","")&amp;IF(AND(V133="✓",V$4&lt;&gt;""),V$4&amp;"; ","")&amp;IF(AND(W133="✓",W$4&lt;&gt;""),W$4&amp;"; ","")&amp;IF(AND(X133="✓",X$4&lt;&gt;""),X$4&amp;"; ","")&amp;IF(AND(Y133="✓",Y$4&lt;&gt;""),Y$4&amp;"; ","")&amp;IF(AND(Z133="✓",Z$4&lt;&gt;""),Z$4&amp;"; ","")&amp;IF(AND(AA133="✓",AA$4&lt;&gt;""),AA$4&amp;"; ","")&amp;IF(AND(AB133="✓",AB$4&lt;&gt;""),AB$4&amp;"; ","")&amp;IF(AND(AC133="✓",AC$4&lt;&gt;""),AC$4&amp;"; ","")&amp;IF(AND(AD133="✓",AD$4&lt;&gt;""),AD$4&amp;"; ","")&amp;IF(AND(AE133="✓",AE$4&lt;&gt;""),AE$4&amp;"; ","")&amp;IF(AND(AF133="✓",AF$4&lt;&gt;""),AF$4&amp;"; ","")&amp;IF(AND(AG133="✓",AG$4&lt;&gt;""),AG$4&amp;"; ","")&amp;IF(AND(AH133="✓",AH$4&lt;&gt;""),AH$4&amp;"; ","")&amp;IF(AND(AI133="✓",AI$4&lt;&gt;""),AI$4&amp;"; ","")&amp;IF(AND(AJ133="✓",AJ$4&lt;&gt;""),AJ$4&amp;"; ","")&amp;IF(AND(AK133="✓",AK$4&lt;&gt;""),AK$4&amp;"; ","")&amp;IF(AND(AL133="✓",AL$4&lt;&gt;""),AL$4&amp;"; ","")&amp;IF(AND(AM133="✓",AM$4&lt;&gt;""),AM$4&amp;"; ","")&amp;IF(AND(AN133="✓",AN$4&lt;&gt;""),AN$4&amp;"; ","")&amp;IF(AND(AO133="✓",AO$4&lt;&gt;""),AO$4&amp;"; ","")&amp;IF(AND(AP133="✓",AP$4&lt;&gt;""),AP$4&amp;"; ","")&amp;IF(AND(AQ133="✓",AQ$4&lt;&gt;""),AQ$4&amp;"; ","")&amp;IF(AND(AR133="✓",AR$4&lt;&gt;""),AR$4&amp;"; ","")&amp;IF(AND(AS133="✓",AS$4&lt;&gt;""),AS$4&amp;"; ","")&amp;IF(AND(AT133="✓",AT$4&lt;&gt;""),AT$4&amp;"; ","")&amp;IF(AND(AU133="✓",AU$4&lt;&gt;""),AU$4&amp;"; ","")&amp;IF(AND(AV133="✓",AV$4&lt;&gt;""),AV$4&amp;"; ","")&amp;IF(AND(AW133="✓",AW$4&lt;&gt;""),AW$4&amp;"; ","")&amp;IF(AND(AX133="✓",AX$4&lt;&gt;""),AX$4&amp;"; ","")&amp;IF(AND(AY133="✓",AY$4&lt;&gt;""),AY$4&amp;"; ","")&amp;IF(AND(AZ133="✓",AZ$4&lt;&gt;""),AZ$4&amp;"; ","")&amp;IF(AND(BA133="✓",BA$4&lt;&gt;""),BA$4&amp;"; ","")&amp;IF(AND(BB133="✓",BB$4&lt;&gt;""),BB$4&amp;"; ","")&amp;IF(AND(BC133="✓",BC$4&lt;&gt;""),BC$4&amp;"; ","")&amp;IF(AND(BD133="✓",BD$4&lt;&gt;""),BD$4&amp;"; ","")&amp;IF(AND(BE133="✓",BE$4&lt;&gt;""),BE$4&amp;"; ","")&amp;IF(AND(BF133="✓",BF$4&lt;&gt;""),BF$4&amp;"; ","")&amp;IF(AND(BG133="✓",BG$4&lt;&gt;""),BG$4&amp;"; ","")&amp;IF(AND(BH133="✓",BH$4&lt;&gt;""),BH$4&amp;"; ","")&amp;IF(AND(BI133="✓",BI$4&lt;&gt;""),BI$4&amp;"; ","")&amp;IF(AND(BJ133="✓",BJ$4&lt;&gt;""),BJ$4&amp;"; ","")&amp;IF(AND(BK133="✓",BK$4&lt;&gt;""),BK$4&amp;"; ","")&amp;IF(AND(BL133="✓",BL$4&lt;&gt;""),BL$4&amp;"; ","")&amp;IF(AND(BM133="✓",BM$4&lt;&gt;""),BM$4&amp;"; ","")&amp;IF(AND(BN133="✓",BN$4&lt;&gt;""),BN$4&amp;"; ","")&amp;IF(AND(BO133="✓",BO$4&lt;&gt;""),BO$4&amp;"; ","")&amp;IF(AND(BP133="✓",BP$4&lt;&gt;""),BP$4&amp;"; ","")&amp;IF(AND(BQ133="✓",BQ$4&lt;&gt;""),BQ$4&amp;"; ","")&amp;IF(AND(BR133="✓",BR$4&lt;&gt;""),BR$4&amp;"; ","")&amp;IF(AND(BS133="✓",BS$4&lt;&gt;""),BS$4&amp;"; ","")&amp;IF(AND(BT133="✓",BT$4&lt;&gt;""),BT$4&amp;"; ","")&amp;IF(AND(BU133="✓",BU$4&lt;&gt;""),BU$4&amp;"; ","")&amp;IF(AND(BV133="✓",BV$4&lt;&gt;""),BV$4&amp;"; ","")&amp;IF(AND(BW133="✓",BW$4&lt;&gt;""),BW$4&amp;"; ","")&amp;IF(AND(BX133="✓",BX$4&lt;&gt;""),BX$4&amp;"; ","")&amp;IF(AND(BY133="✓",BY$4&lt;&gt;""),BY$4&amp;"; ","")&amp;IF(AND(BZ133="✓",BZ$4&lt;&gt;""),BZ$4&amp;"; ","")&amp;IF(AND(CA133="✓",CA$4&lt;&gt;""),CA$4&amp;"; ","")&amp;IF(AND(CB133="✓",CB$4&lt;&gt;""),CB$4&amp;"; ","")&amp;IF(AND(CC133="✓",CC$4&lt;&gt;""),CC$4&amp;"; ","")&amp;IF(AND(CD133="✓",CD$4&lt;&gt;""),CD$4&amp;"; ","")&amp;IF(AND(CE133="✓",CE$4&lt;&gt;""),CE$4&amp;"; ","")&amp;IF(AND(CF133="✓",CF$4&lt;&gt;""),CF$4&amp;"; ","")&amp;IF(AND(CG133="✓",CG$4&lt;&gt;""),CG$4&amp;"; ","")&amp;IF(AND(CH133="✓",CH$4&lt;&gt;""),CH$4&amp;"; ","")&amp;IF(AND(CI133="✓",CI$4&lt;&gt;""),CI$4&amp;"; ","")&amp;IF(AND(CJ133="✓",CJ$4&lt;&gt;""),CJ$4&amp;"; ","")&amp;IF(AND(CK133="✓",CK$4&lt;&gt;""),CK$4&amp;"; ","")&amp;IF(AND(CL133="✓",CL$4&lt;&gt;""),CL$4&amp;"; ","")&amp;IF(AND(CM133="✓",CM$4&lt;&gt;""),CM$4&amp;"; ","")&amp;IF(AND(CN133="✓",CN$4&lt;&gt;""),CN$4&amp;"; ","")&amp;IF(AND(CO133="✓",CO$4&lt;&gt;""),CO$4&amp;"; ","")</f>
        <v/>
      </c>
      <c r="CQ133" s="104" t="str">
        <f aca="false">IF($CP133="","",LEFT($CP133,LEN($CP133)-2))</f>
        <v/>
      </c>
      <c r="CR133" s="234" t="str">
        <f aca="false">IF($A133="","",COUNTIF($D133:$CO133,"✓"))</f>
        <v/>
      </c>
    </row>
    <row r="134" customFormat="false" ht="21.75" hidden="false" customHeight="true" outlineLevel="0" collapsed="false">
      <c r="A134" s="231" t="str">
        <f aca="false">IF(03_能力總表_Master!$A134="","",03_能力總表_Master!$A134)</f>
        <v/>
      </c>
      <c r="B134" s="166" t="str">
        <f aca="false">IF(03_能力總表_Master!$A134="","",03_能力總表_Master!$B134)</f>
        <v/>
      </c>
      <c r="C134" s="95" t="str">
        <f aca="false">IF(03_能力總表_Master!$A134="","",03_能力總表_Master!$E134)</f>
        <v/>
      </c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32"/>
      <c r="AQ134" s="232"/>
      <c r="AR134" s="232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232"/>
      <c r="BH134" s="232"/>
      <c r="BI134" s="232"/>
      <c r="BJ134" s="232"/>
      <c r="BK134" s="232"/>
      <c r="BL134" s="232"/>
      <c r="BM134" s="232"/>
      <c r="BN134" s="232"/>
      <c r="BO134" s="232"/>
      <c r="BP134" s="232"/>
      <c r="BQ134" s="232"/>
      <c r="BR134" s="232"/>
      <c r="BS134" s="232"/>
      <c r="BT134" s="232"/>
      <c r="BU134" s="232"/>
      <c r="BV134" s="232"/>
      <c r="BW134" s="232"/>
      <c r="BX134" s="232"/>
      <c r="BY134" s="232"/>
      <c r="BZ134" s="232"/>
      <c r="CA134" s="232"/>
      <c r="CB134" s="232"/>
      <c r="CC134" s="232"/>
      <c r="CD134" s="232"/>
      <c r="CE134" s="232"/>
      <c r="CF134" s="232"/>
      <c r="CG134" s="232"/>
      <c r="CH134" s="232"/>
      <c r="CI134" s="232"/>
      <c r="CJ134" s="232"/>
      <c r="CK134" s="232"/>
      <c r="CL134" s="232"/>
      <c r="CM134" s="232"/>
      <c r="CN134" s="232"/>
      <c r="CO134" s="232"/>
      <c r="CP134" s="233" t="str">
        <f aca="false">IF(AND(D134="✓",D$4&lt;&gt;""),D$4&amp;"; ","")&amp;IF(AND(E134="✓",E$4&lt;&gt;""),E$4&amp;"; ","")&amp;IF(AND(F134="✓",F$4&lt;&gt;""),F$4&amp;"; ","")&amp;IF(AND(G134="✓",G$4&lt;&gt;""),G$4&amp;"; ","")&amp;IF(AND(H134="✓",H$4&lt;&gt;""),H$4&amp;"; ","")&amp;IF(AND(I134="✓",I$4&lt;&gt;""),I$4&amp;"; ","")&amp;IF(AND(J134="✓",J$4&lt;&gt;""),J$4&amp;"; ","")&amp;IF(AND(K134="✓",K$4&lt;&gt;""),K$4&amp;"; ","")&amp;IF(AND(L134="✓",L$4&lt;&gt;""),L$4&amp;"; ","")&amp;IF(AND(M134="✓",M$4&lt;&gt;""),M$4&amp;"; ","")&amp;IF(AND(N134="✓",N$4&lt;&gt;""),N$4&amp;"; ","")&amp;IF(AND(O134="✓",O$4&lt;&gt;""),O$4&amp;"; ","")&amp;IF(AND(P134="✓",P$4&lt;&gt;""),P$4&amp;"; ","")&amp;IF(AND(Q134="✓",Q$4&lt;&gt;""),Q$4&amp;"; ","")&amp;IF(AND(R134="✓",R$4&lt;&gt;""),R$4&amp;"; ","")&amp;IF(AND(S134="✓",S$4&lt;&gt;""),S$4&amp;"; ","")&amp;IF(AND(T134="✓",T$4&lt;&gt;""),T$4&amp;"; ","")&amp;IF(AND(U134="✓",U$4&lt;&gt;""),U$4&amp;"; ","")&amp;IF(AND(V134="✓",V$4&lt;&gt;""),V$4&amp;"; ","")&amp;IF(AND(W134="✓",W$4&lt;&gt;""),W$4&amp;"; ","")&amp;IF(AND(X134="✓",X$4&lt;&gt;""),X$4&amp;"; ","")&amp;IF(AND(Y134="✓",Y$4&lt;&gt;""),Y$4&amp;"; ","")&amp;IF(AND(Z134="✓",Z$4&lt;&gt;""),Z$4&amp;"; ","")&amp;IF(AND(AA134="✓",AA$4&lt;&gt;""),AA$4&amp;"; ","")&amp;IF(AND(AB134="✓",AB$4&lt;&gt;""),AB$4&amp;"; ","")&amp;IF(AND(AC134="✓",AC$4&lt;&gt;""),AC$4&amp;"; ","")&amp;IF(AND(AD134="✓",AD$4&lt;&gt;""),AD$4&amp;"; ","")&amp;IF(AND(AE134="✓",AE$4&lt;&gt;""),AE$4&amp;"; ","")&amp;IF(AND(AF134="✓",AF$4&lt;&gt;""),AF$4&amp;"; ","")&amp;IF(AND(AG134="✓",AG$4&lt;&gt;""),AG$4&amp;"; ","")&amp;IF(AND(AH134="✓",AH$4&lt;&gt;""),AH$4&amp;"; ","")&amp;IF(AND(AI134="✓",AI$4&lt;&gt;""),AI$4&amp;"; ","")&amp;IF(AND(AJ134="✓",AJ$4&lt;&gt;""),AJ$4&amp;"; ","")&amp;IF(AND(AK134="✓",AK$4&lt;&gt;""),AK$4&amp;"; ","")&amp;IF(AND(AL134="✓",AL$4&lt;&gt;""),AL$4&amp;"; ","")&amp;IF(AND(AM134="✓",AM$4&lt;&gt;""),AM$4&amp;"; ","")&amp;IF(AND(AN134="✓",AN$4&lt;&gt;""),AN$4&amp;"; ","")&amp;IF(AND(AO134="✓",AO$4&lt;&gt;""),AO$4&amp;"; ","")&amp;IF(AND(AP134="✓",AP$4&lt;&gt;""),AP$4&amp;"; ","")&amp;IF(AND(AQ134="✓",AQ$4&lt;&gt;""),AQ$4&amp;"; ","")&amp;IF(AND(AR134="✓",AR$4&lt;&gt;""),AR$4&amp;"; ","")&amp;IF(AND(AS134="✓",AS$4&lt;&gt;""),AS$4&amp;"; ","")&amp;IF(AND(AT134="✓",AT$4&lt;&gt;""),AT$4&amp;"; ","")&amp;IF(AND(AU134="✓",AU$4&lt;&gt;""),AU$4&amp;"; ","")&amp;IF(AND(AV134="✓",AV$4&lt;&gt;""),AV$4&amp;"; ","")&amp;IF(AND(AW134="✓",AW$4&lt;&gt;""),AW$4&amp;"; ","")&amp;IF(AND(AX134="✓",AX$4&lt;&gt;""),AX$4&amp;"; ","")&amp;IF(AND(AY134="✓",AY$4&lt;&gt;""),AY$4&amp;"; ","")&amp;IF(AND(AZ134="✓",AZ$4&lt;&gt;""),AZ$4&amp;"; ","")&amp;IF(AND(BA134="✓",BA$4&lt;&gt;""),BA$4&amp;"; ","")&amp;IF(AND(BB134="✓",BB$4&lt;&gt;""),BB$4&amp;"; ","")&amp;IF(AND(BC134="✓",BC$4&lt;&gt;""),BC$4&amp;"; ","")&amp;IF(AND(BD134="✓",BD$4&lt;&gt;""),BD$4&amp;"; ","")&amp;IF(AND(BE134="✓",BE$4&lt;&gt;""),BE$4&amp;"; ","")&amp;IF(AND(BF134="✓",BF$4&lt;&gt;""),BF$4&amp;"; ","")&amp;IF(AND(BG134="✓",BG$4&lt;&gt;""),BG$4&amp;"; ","")&amp;IF(AND(BH134="✓",BH$4&lt;&gt;""),BH$4&amp;"; ","")&amp;IF(AND(BI134="✓",BI$4&lt;&gt;""),BI$4&amp;"; ","")&amp;IF(AND(BJ134="✓",BJ$4&lt;&gt;""),BJ$4&amp;"; ","")&amp;IF(AND(BK134="✓",BK$4&lt;&gt;""),BK$4&amp;"; ","")&amp;IF(AND(BL134="✓",BL$4&lt;&gt;""),BL$4&amp;"; ","")&amp;IF(AND(BM134="✓",BM$4&lt;&gt;""),BM$4&amp;"; ","")&amp;IF(AND(BN134="✓",BN$4&lt;&gt;""),BN$4&amp;"; ","")&amp;IF(AND(BO134="✓",BO$4&lt;&gt;""),BO$4&amp;"; ","")&amp;IF(AND(BP134="✓",BP$4&lt;&gt;""),BP$4&amp;"; ","")&amp;IF(AND(BQ134="✓",BQ$4&lt;&gt;""),BQ$4&amp;"; ","")&amp;IF(AND(BR134="✓",BR$4&lt;&gt;""),BR$4&amp;"; ","")&amp;IF(AND(BS134="✓",BS$4&lt;&gt;""),BS$4&amp;"; ","")&amp;IF(AND(BT134="✓",BT$4&lt;&gt;""),BT$4&amp;"; ","")&amp;IF(AND(BU134="✓",BU$4&lt;&gt;""),BU$4&amp;"; ","")&amp;IF(AND(BV134="✓",BV$4&lt;&gt;""),BV$4&amp;"; ","")&amp;IF(AND(BW134="✓",BW$4&lt;&gt;""),BW$4&amp;"; ","")&amp;IF(AND(BX134="✓",BX$4&lt;&gt;""),BX$4&amp;"; ","")&amp;IF(AND(BY134="✓",BY$4&lt;&gt;""),BY$4&amp;"; ","")&amp;IF(AND(BZ134="✓",BZ$4&lt;&gt;""),BZ$4&amp;"; ","")&amp;IF(AND(CA134="✓",CA$4&lt;&gt;""),CA$4&amp;"; ","")&amp;IF(AND(CB134="✓",CB$4&lt;&gt;""),CB$4&amp;"; ","")&amp;IF(AND(CC134="✓",CC$4&lt;&gt;""),CC$4&amp;"; ","")&amp;IF(AND(CD134="✓",CD$4&lt;&gt;""),CD$4&amp;"; ","")&amp;IF(AND(CE134="✓",CE$4&lt;&gt;""),CE$4&amp;"; ","")&amp;IF(AND(CF134="✓",CF$4&lt;&gt;""),CF$4&amp;"; ","")&amp;IF(AND(CG134="✓",CG$4&lt;&gt;""),CG$4&amp;"; ","")&amp;IF(AND(CH134="✓",CH$4&lt;&gt;""),CH$4&amp;"; ","")&amp;IF(AND(CI134="✓",CI$4&lt;&gt;""),CI$4&amp;"; ","")&amp;IF(AND(CJ134="✓",CJ$4&lt;&gt;""),CJ$4&amp;"; ","")&amp;IF(AND(CK134="✓",CK$4&lt;&gt;""),CK$4&amp;"; ","")&amp;IF(AND(CL134="✓",CL$4&lt;&gt;""),CL$4&amp;"; ","")&amp;IF(AND(CM134="✓",CM$4&lt;&gt;""),CM$4&amp;"; ","")&amp;IF(AND(CN134="✓",CN$4&lt;&gt;""),CN$4&amp;"; ","")&amp;IF(AND(CO134="✓",CO$4&lt;&gt;""),CO$4&amp;"; ","")</f>
        <v/>
      </c>
      <c r="CQ134" s="104" t="str">
        <f aca="false">IF($CP134="","",LEFT($CP134,LEN($CP134)-2))</f>
        <v/>
      </c>
      <c r="CR134" s="234" t="str">
        <f aca="false">IF($A134="","",COUNTIF($D134:$CO134,"✓"))</f>
        <v/>
      </c>
    </row>
    <row r="135" customFormat="false" ht="21.75" hidden="false" customHeight="true" outlineLevel="0" collapsed="false">
      <c r="A135" s="231" t="str">
        <f aca="false">IF(03_能力總表_Master!$A135="","",03_能力總表_Master!$A135)</f>
        <v/>
      </c>
      <c r="B135" s="166" t="str">
        <f aca="false">IF(03_能力總表_Master!$A135="","",03_能力總表_Master!$B135)</f>
        <v/>
      </c>
      <c r="C135" s="95" t="str">
        <f aca="false">IF(03_能力總表_Master!$A135="","",03_能力總表_Master!$E135)</f>
        <v/>
      </c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32"/>
      <c r="AQ135" s="232"/>
      <c r="AR135" s="232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232"/>
      <c r="BH135" s="232"/>
      <c r="BI135" s="232"/>
      <c r="BJ135" s="232"/>
      <c r="BK135" s="232"/>
      <c r="BL135" s="232"/>
      <c r="BM135" s="232"/>
      <c r="BN135" s="232"/>
      <c r="BO135" s="232"/>
      <c r="BP135" s="232"/>
      <c r="BQ135" s="232"/>
      <c r="BR135" s="232"/>
      <c r="BS135" s="232"/>
      <c r="BT135" s="232"/>
      <c r="BU135" s="232"/>
      <c r="BV135" s="232"/>
      <c r="BW135" s="232"/>
      <c r="BX135" s="232"/>
      <c r="BY135" s="232"/>
      <c r="BZ135" s="232"/>
      <c r="CA135" s="232"/>
      <c r="CB135" s="232"/>
      <c r="CC135" s="232"/>
      <c r="CD135" s="232"/>
      <c r="CE135" s="232"/>
      <c r="CF135" s="232"/>
      <c r="CG135" s="232"/>
      <c r="CH135" s="232"/>
      <c r="CI135" s="232"/>
      <c r="CJ135" s="232"/>
      <c r="CK135" s="232"/>
      <c r="CL135" s="232"/>
      <c r="CM135" s="232"/>
      <c r="CN135" s="232"/>
      <c r="CO135" s="232"/>
      <c r="CP135" s="233" t="str">
        <f aca="false">IF(AND(D135="✓",D$4&lt;&gt;""),D$4&amp;"; ","")&amp;IF(AND(E135="✓",E$4&lt;&gt;""),E$4&amp;"; ","")&amp;IF(AND(F135="✓",F$4&lt;&gt;""),F$4&amp;"; ","")&amp;IF(AND(G135="✓",G$4&lt;&gt;""),G$4&amp;"; ","")&amp;IF(AND(H135="✓",H$4&lt;&gt;""),H$4&amp;"; ","")&amp;IF(AND(I135="✓",I$4&lt;&gt;""),I$4&amp;"; ","")&amp;IF(AND(J135="✓",J$4&lt;&gt;""),J$4&amp;"; ","")&amp;IF(AND(K135="✓",K$4&lt;&gt;""),K$4&amp;"; ","")&amp;IF(AND(L135="✓",L$4&lt;&gt;""),L$4&amp;"; ","")&amp;IF(AND(M135="✓",M$4&lt;&gt;""),M$4&amp;"; ","")&amp;IF(AND(N135="✓",N$4&lt;&gt;""),N$4&amp;"; ","")&amp;IF(AND(O135="✓",O$4&lt;&gt;""),O$4&amp;"; ","")&amp;IF(AND(P135="✓",P$4&lt;&gt;""),P$4&amp;"; ","")&amp;IF(AND(Q135="✓",Q$4&lt;&gt;""),Q$4&amp;"; ","")&amp;IF(AND(R135="✓",R$4&lt;&gt;""),R$4&amp;"; ","")&amp;IF(AND(S135="✓",S$4&lt;&gt;""),S$4&amp;"; ","")&amp;IF(AND(T135="✓",T$4&lt;&gt;""),T$4&amp;"; ","")&amp;IF(AND(U135="✓",U$4&lt;&gt;""),U$4&amp;"; ","")&amp;IF(AND(V135="✓",V$4&lt;&gt;""),V$4&amp;"; ","")&amp;IF(AND(W135="✓",W$4&lt;&gt;""),W$4&amp;"; ","")&amp;IF(AND(X135="✓",X$4&lt;&gt;""),X$4&amp;"; ","")&amp;IF(AND(Y135="✓",Y$4&lt;&gt;""),Y$4&amp;"; ","")&amp;IF(AND(Z135="✓",Z$4&lt;&gt;""),Z$4&amp;"; ","")&amp;IF(AND(AA135="✓",AA$4&lt;&gt;""),AA$4&amp;"; ","")&amp;IF(AND(AB135="✓",AB$4&lt;&gt;""),AB$4&amp;"; ","")&amp;IF(AND(AC135="✓",AC$4&lt;&gt;""),AC$4&amp;"; ","")&amp;IF(AND(AD135="✓",AD$4&lt;&gt;""),AD$4&amp;"; ","")&amp;IF(AND(AE135="✓",AE$4&lt;&gt;""),AE$4&amp;"; ","")&amp;IF(AND(AF135="✓",AF$4&lt;&gt;""),AF$4&amp;"; ","")&amp;IF(AND(AG135="✓",AG$4&lt;&gt;""),AG$4&amp;"; ","")&amp;IF(AND(AH135="✓",AH$4&lt;&gt;""),AH$4&amp;"; ","")&amp;IF(AND(AI135="✓",AI$4&lt;&gt;""),AI$4&amp;"; ","")&amp;IF(AND(AJ135="✓",AJ$4&lt;&gt;""),AJ$4&amp;"; ","")&amp;IF(AND(AK135="✓",AK$4&lt;&gt;""),AK$4&amp;"; ","")&amp;IF(AND(AL135="✓",AL$4&lt;&gt;""),AL$4&amp;"; ","")&amp;IF(AND(AM135="✓",AM$4&lt;&gt;""),AM$4&amp;"; ","")&amp;IF(AND(AN135="✓",AN$4&lt;&gt;""),AN$4&amp;"; ","")&amp;IF(AND(AO135="✓",AO$4&lt;&gt;""),AO$4&amp;"; ","")&amp;IF(AND(AP135="✓",AP$4&lt;&gt;""),AP$4&amp;"; ","")&amp;IF(AND(AQ135="✓",AQ$4&lt;&gt;""),AQ$4&amp;"; ","")&amp;IF(AND(AR135="✓",AR$4&lt;&gt;""),AR$4&amp;"; ","")&amp;IF(AND(AS135="✓",AS$4&lt;&gt;""),AS$4&amp;"; ","")&amp;IF(AND(AT135="✓",AT$4&lt;&gt;""),AT$4&amp;"; ","")&amp;IF(AND(AU135="✓",AU$4&lt;&gt;""),AU$4&amp;"; ","")&amp;IF(AND(AV135="✓",AV$4&lt;&gt;""),AV$4&amp;"; ","")&amp;IF(AND(AW135="✓",AW$4&lt;&gt;""),AW$4&amp;"; ","")&amp;IF(AND(AX135="✓",AX$4&lt;&gt;""),AX$4&amp;"; ","")&amp;IF(AND(AY135="✓",AY$4&lt;&gt;""),AY$4&amp;"; ","")&amp;IF(AND(AZ135="✓",AZ$4&lt;&gt;""),AZ$4&amp;"; ","")&amp;IF(AND(BA135="✓",BA$4&lt;&gt;""),BA$4&amp;"; ","")&amp;IF(AND(BB135="✓",BB$4&lt;&gt;""),BB$4&amp;"; ","")&amp;IF(AND(BC135="✓",BC$4&lt;&gt;""),BC$4&amp;"; ","")&amp;IF(AND(BD135="✓",BD$4&lt;&gt;""),BD$4&amp;"; ","")&amp;IF(AND(BE135="✓",BE$4&lt;&gt;""),BE$4&amp;"; ","")&amp;IF(AND(BF135="✓",BF$4&lt;&gt;""),BF$4&amp;"; ","")&amp;IF(AND(BG135="✓",BG$4&lt;&gt;""),BG$4&amp;"; ","")&amp;IF(AND(BH135="✓",BH$4&lt;&gt;""),BH$4&amp;"; ","")&amp;IF(AND(BI135="✓",BI$4&lt;&gt;""),BI$4&amp;"; ","")&amp;IF(AND(BJ135="✓",BJ$4&lt;&gt;""),BJ$4&amp;"; ","")&amp;IF(AND(BK135="✓",BK$4&lt;&gt;""),BK$4&amp;"; ","")&amp;IF(AND(BL135="✓",BL$4&lt;&gt;""),BL$4&amp;"; ","")&amp;IF(AND(BM135="✓",BM$4&lt;&gt;""),BM$4&amp;"; ","")&amp;IF(AND(BN135="✓",BN$4&lt;&gt;""),BN$4&amp;"; ","")&amp;IF(AND(BO135="✓",BO$4&lt;&gt;""),BO$4&amp;"; ","")&amp;IF(AND(BP135="✓",BP$4&lt;&gt;""),BP$4&amp;"; ","")&amp;IF(AND(BQ135="✓",BQ$4&lt;&gt;""),BQ$4&amp;"; ","")&amp;IF(AND(BR135="✓",BR$4&lt;&gt;""),BR$4&amp;"; ","")&amp;IF(AND(BS135="✓",BS$4&lt;&gt;""),BS$4&amp;"; ","")&amp;IF(AND(BT135="✓",BT$4&lt;&gt;""),BT$4&amp;"; ","")&amp;IF(AND(BU135="✓",BU$4&lt;&gt;""),BU$4&amp;"; ","")&amp;IF(AND(BV135="✓",BV$4&lt;&gt;""),BV$4&amp;"; ","")&amp;IF(AND(BW135="✓",BW$4&lt;&gt;""),BW$4&amp;"; ","")&amp;IF(AND(BX135="✓",BX$4&lt;&gt;""),BX$4&amp;"; ","")&amp;IF(AND(BY135="✓",BY$4&lt;&gt;""),BY$4&amp;"; ","")&amp;IF(AND(BZ135="✓",BZ$4&lt;&gt;""),BZ$4&amp;"; ","")&amp;IF(AND(CA135="✓",CA$4&lt;&gt;""),CA$4&amp;"; ","")&amp;IF(AND(CB135="✓",CB$4&lt;&gt;""),CB$4&amp;"; ","")&amp;IF(AND(CC135="✓",CC$4&lt;&gt;""),CC$4&amp;"; ","")&amp;IF(AND(CD135="✓",CD$4&lt;&gt;""),CD$4&amp;"; ","")&amp;IF(AND(CE135="✓",CE$4&lt;&gt;""),CE$4&amp;"; ","")&amp;IF(AND(CF135="✓",CF$4&lt;&gt;""),CF$4&amp;"; ","")&amp;IF(AND(CG135="✓",CG$4&lt;&gt;""),CG$4&amp;"; ","")&amp;IF(AND(CH135="✓",CH$4&lt;&gt;""),CH$4&amp;"; ","")&amp;IF(AND(CI135="✓",CI$4&lt;&gt;""),CI$4&amp;"; ","")&amp;IF(AND(CJ135="✓",CJ$4&lt;&gt;""),CJ$4&amp;"; ","")&amp;IF(AND(CK135="✓",CK$4&lt;&gt;""),CK$4&amp;"; ","")&amp;IF(AND(CL135="✓",CL$4&lt;&gt;""),CL$4&amp;"; ","")&amp;IF(AND(CM135="✓",CM$4&lt;&gt;""),CM$4&amp;"; ","")&amp;IF(AND(CN135="✓",CN$4&lt;&gt;""),CN$4&amp;"; ","")&amp;IF(AND(CO135="✓",CO$4&lt;&gt;""),CO$4&amp;"; ","")</f>
        <v/>
      </c>
      <c r="CQ135" s="104" t="str">
        <f aca="false">IF($CP135="","",LEFT($CP135,LEN($CP135)-2))</f>
        <v/>
      </c>
      <c r="CR135" s="234" t="str">
        <f aca="false">IF($A135="","",COUNTIF($D135:$CO135,"✓"))</f>
        <v/>
      </c>
    </row>
    <row r="136" customFormat="false" ht="21.75" hidden="false" customHeight="true" outlineLevel="0" collapsed="false">
      <c r="A136" s="231" t="str">
        <f aca="false">IF(03_能力總表_Master!$A136="","",03_能力總表_Master!$A136)</f>
        <v/>
      </c>
      <c r="B136" s="166" t="str">
        <f aca="false">IF(03_能力總表_Master!$A136="","",03_能力總表_Master!$B136)</f>
        <v/>
      </c>
      <c r="C136" s="95" t="str">
        <f aca="false">IF(03_能力總表_Master!$A136="","",03_能力總表_Master!$E136)</f>
        <v/>
      </c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32"/>
      <c r="AQ136" s="232"/>
      <c r="AR136" s="232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232"/>
      <c r="BH136" s="232"/>
      <c r="BI136" s="232"/>
      <c r="BJ136" s="232"/>
      <c r="BK136" s="232"/>
      <c r="BL136" s="232"/>
      <c r="BM136" s="232"/>
      <c r="BN136" s="232"/>
      <c r="BO136" s="232"/>
      <c r="BP136" s="232"/>
      <c r="BQ136" s="232"/>
      <c r="BR136" s="232"/>
      <c r="BS136" s="232"/>
      <c r="BT136" s="232"/>
      <c r="BU136" s="232"/>
      <c r="BV136" s="232"/>
      <c r="BW136" s="232"/>
      <c r="BX136" s="232"/>
      <c r="BY136" s="232"/>
      <c r="BZ136" s="232"/>
      <c r="CA136" s="232"/>
      <c r="CB136" s="232"/>
      <c r="CC136" s="232"/>
      <c r="CD136" s="232"/>
      <c r="CE136" s="232"/>
      <c r="CF136" s="232"/>
      <c r="CG136" s="232"/>
      <c r="CH136" s="232"/>
      <c r="CI136" s="232"/>
      <c r="CJ136" s="232"/>
      <c r="CK136" s="232"/>
      <c r="CL136" s="232"/>
      <c r="CM136" s="232"/>
      <c r="CN136" s="232"/>
      <c r="CO136" s="232"/>
      <c r="CP136" s="233" t="str">
        <f aca="false">IF(AND(D136="✓",D$4&lt;&gt;""),D$4&amp;"; ","")&amp;IF(AND(E136="✓",E$4&lt;&gt;""),E$4&amp;"; ","")&amp;IF(AND(F136="✓",F$4&lt;&gt;""),F$4&amp;"; ","")&amp;IF(AND(G136="✓",G$4&lt;&gt;""),G$4&amp;"; ","")&amp;IF(AND(H136="✓",H$4&lt;&gt;""),H$4&amp;"; ","")&amp;IF(AND(I136="✓",I$4&lt;&gt;""),I$4&amp;"; ","")&amp;IF(AND(J136="✓",J$4&lt;&gt;""),J$4&amp;"; ","")&amp;IF(AND(K136="✓",K$4&lt;&gt;""),K$4&amp;"; ","")&amp;IF(AND(L136="✓",L$4&lt;&gt;""),L$4&amp;"; ","")&amp;IF(AND(M136="✓",M$4&lt;&gt;""),M$4&amp;"; ","")&amp;IF(AND(N136="✓",N$4&lt;&gt;""),N$4&amp;"; ","")&amp;IF(AND(O136="✓",O$4&lt;&gt;""),O$4&amp;"; ","")&amp;IF(AND(P136="✓",P$4&lt;&gt;""),P$4&amp;"; ","")&amp;IF(AND(Q136="✓",Q$4&lt;&gt;""),Q$4&amp;"; ","")&amp;IF(AND(R136="✓",R$4&lt;&gt;""),R$4&amp;"; ","")&amp;IF(AND(S136="✓",S$4&lt;&gt;""),S$4&amp;"; ","")&amp;IF(AND(T136="✓",T$4&lt;&gt;""),T$4&amp;"; ","")&amp;IF(AND(U136="✓",U$4&lt;&gt;""),U$4&amp;"; ","")&amp;IF(AND(V136="✓",V$4&lt;&gt;""),V$4&amp;"; ","")&amp;IF(AND(W136="✓",W$4&lt;&gt;""),W$4&amp;"; ","")&amp;IF(AND(X136="✓",X$4&lt;&gt;""),X$4&amp;"; ","")&amp;IF(AND(Y136="✓",Y$4&lt;&gt;""),Y$4&amp;"; ","")&amp;IF(AND(Z136="✓",Z$4&lt;&gt;""),Z$4&amp;"; ","")&amp;IF(AND(AA136="✓",AA$4&lt;&gt;""),AA$4&amp;"; ","")&amp;IF(AND(AB136="✓",AB$4&lt;&gt;""),AB$4&amp;"; ","")&amp;IF(AND(AC136="✓",AC$4&lt;&gt;""),AC$4&amp;"; ","")&amp;IF(AND(AD136="✓",AD$4&lt;&gt;""),AD$4&amp;"; ","")&amp;IF(AND(AE136="✓",AE$4&lt;&gt;""),AE$4&amp;"; ","")&amp;IF(AND(AF136="✓",AF$4&lt;&gt;""),AF$4&amp;"; ","")&amp;IF(AND(AG136="✓",AG$4&lt;&gt;""),AG$4&amp;"; ","")&amp;IF(AND(AH136="✓",AH$4&lt;&gt;""),AH$4&amp;"; ","")&amp;IF(AND(AI136="✓",AI$4&lt;&gt;""),AI$4&amp;"; ","")&amp;IF(AND(AJ136="✓",AJ$4&lt;&gt;""),AJ$4&amp;"; ","")&amp;IF(AND(AK136="✓",AK$4&lt;&gt;""),AK$4&amp;"; ","")&amp;IF(AND(AL136="✓",AL$4&lt;&gt;""),AL$4&amp;"; ","")&amp;IF(AND(AM136="✓",AM$4&lt;&gt;""),AM$4&amp;"; ","")&amp;IF(AND(AN136="✓",AN$4&lt;&gt;""),AN$4&amp;"; ","")&amp;IF(AND(AO136="✓",AO$4&lt;&gt;""),AO$4&amp;"; ","")&amp;IF(AND(AP136="✓",AP$4&lt;&gt;""),AP$4&amp;"; ","")&amp;IF(AND(AQ136="✓",AQ$4&lt;&gt;""),AQ$4&amp;"; ","")&amp;IF(AND(AR136="✓",AR$4&lt;&gt;""),AR$4&amp;"; ","")&amp;IF(AND(AS136="✓",AS$4&lt;&gt;""),AS$4&amp;"; ","")&amp;IF(AND(AT136="✓",AT$4&lt;&gt;""),AT$4&amp;"; ","")&amp;IF(AND(AU136="✓",AU$4&lt;&gt;""),AU$4&amp;"; ","")&amp;IF(AND(AV136="✓",AV$4&lt;&gt;""),AV$4&amp;"; ","")&amp;IF(AND(AW136="✓",AW$4&lt;&gt;""),AW$4&amp;"; ","")&amp;IF(AND(AX136="✓",AX$4&lt;&gt;""),AX$4&amp;"; ","")&amp;IF(AND(AY136="✓",AY$4&lt;&gt;""),AY$4&amp;"; ","")&amp;IF(AND(AZ136="✓",AZ$4&lt;&gt;""),AZ$4&amp;"; ","")&amp;IF(AND(BA136="✓",BA$4&lt;&gt;""),BA$4&amp;"; ","")&amp;IF(AND(BB136="✓",BB$4&lt;&gt;""),BB$4&amp;"; ","")&amp;IF(AND(BC136="✓",BC$4&lt;&gt;""),BC$4&amp;"; ","")&amp;IF(AND(BD136="✓",BD$4&lt;&gt;""),BD$4&amp;"; ","")&amp;IF(AND(BE136="✓",BE$4&lt;&gt;""),BE$4&amp;"; ","")&amp;IF(AND(BF136="✓",BF$4&lt;&gt;""),BF$4&amp;"; ","")&amp;IF(AND(BG136="✓",BG$4&lt;&gt;""),BG$4&amp;"; ","")&amp;IF(AND(BH136="✓",BH$4&lt;&gt;""),BH$4&amp;"; ","")&amp;IF(AND(BI136="✓",BI$4&lt;&gt;""),BI$4&amp;"; ","")&amp;IF(AND(BJ136="✓",BJ$4&lt;&gt;""),BJ$4&amp;"; ","")&amp;IF(AND(BK136="✓",BK$4&lt;&gt;""),BK$4&amp;"; ","")&amp;IF(AND(BL136="✓",BL$4&lt;&gt;""),BL$4&amp;"; ","")&amp;IF(AND(BM136="✓",BM$4&lt;&gt;""),BM$4&amp;"; ","")&amp;IF(AND(BN136="✓",BN$4&lt;&gt;""),BN$4&amp;"; ","")&amp;IF(AND(BO136="✓",BO$4&lt;&gt;""),BO$4&amp;"; ","")&amp;IF(AND(BP136="✓",BP$4&lt;&gt;""),BP$4&amp;"; ","")&amp;IF(AND(BQ136="✓",BQ$4&lt;&gt;""),BQ$4&amp;"; ","")&amp;IF(AND(BR136="✓",BR$4&lt;&gt;""),BR$4&amp;"; ","")&amp;IF(AND(BS136="✓",BS$4&lt;&gt;""),BS$4&amp;"; ","")&amp;IF(AND(BT136="✓",BT$4&lt;&gt;""),BT$4&amp;"; ","")&amp;IF(AND(BU136="✓",BU$4&lt;&gt;""),BU$4&amp;"; ","")&amp;IF(AND(BV136="✓",BV$4&lt;&gt;""),BV$4&amp;"; ","")&amp;IF(AND(BW136="✓",BW$4&lt;&gt;""),BW$4&amp;"; ","")&amp;IF(AND(BX136="✓",BX$4&lt;&gt;""),BX$4&amp;"; ","")&amp;IF(AND(BY136="✓",BY$4&lt;&gt;""),BY$4&amp;"; ","")&amp;IF(AND(BZ136="✓",BZ$4&lt;&gt;""),BZ$4&amp;"; ","")&amp;IF(AND(CA136="✓",CA$4&lt;&gt;""),CA$4&amp;"; ","")&amp;IF(AND(CB136="✓",CB$4&lt;&gt;""),CB$4&amp;"; ","")&amp;IF(AND(CC136="✓",CC$4&lt;&gt;""),CC$4&amp;"; ","")&amp;IF(AND(CD136="✓",CD$4&lt;&gt;""),CD$4&amp;"; ","")&amp;IF(AND(CE136="✓",CE$4&lt;&gt;""),CE$4&amp;"; ","")&amp;IF(AND(CF136="✓",CF$4&lt;&gt;""),CF$4&amp;"; ","")&amp;IF(AND(CG136="✓",CG$4&lt;&gt;""),CG$4&amp;"; ","")&amp;IF(AND(CH136="✓",CH$4&lt;&gt;""),CH$4&amp;"; ","")&amp;IF(AND(CI136="✓",CI$4&lt;&gt;""),CI$4&amp;"; ","")&amp;IF(AND(CJ136="✓",CJ$4&lt;&gt;""),CJ$4&amp;"; ","")&amp;IF(AND(CK136="✓",CK$4&lt;&gt;""),CK$4&amp;"; ","")&amp;IF(AND(CL136="✓",CL$4&lt;&gt;""),CL$4&amp;"; ","")&amp;IF(AND(CM136="✓",CM$4&lt;&gt;""),CM$4&amp;"; ","")&amp;IF(AND(CN136="✓",CN$4&lt;&gt;""),CN$4&amp;"; ","")&amp;IF(AND(CO136="✓",CO$4&lt;&gt;""),CO$4&amp;"; ","")</f>
        <v/>
      </c>
      <c r="CQ136" s="104" t="str">
        <f aca="false">IF($CP136="","",LEFT($CP136,LEN($CP136)-2))</f>
        <v/>
      </c>
      <c r="CR136" s="234" t="str">
        <f aca="false">IF($A136="","",COUNTIF($D136:$CO136,"✓"))</f>
        <v/>
      </c>
    </row>
    <row r="137" customFormat="false" ht="21.75" hidden="false" customHeight="true" outlineLevel="0" collapsed="false">
      <c r="A137" s="231" t="str">
        <f aca="false">IF(03_能力總表_Master!$A137="","",03_能力總表_Master!$A137)</f>
        <v/>
      </c>
      <c r="B137" s="166" t="str">
        <f aca="false">IF(03_能力總表_Master!$A137="","",03_能力總表_Master!$B137)</f>
        <v/>
      </c>
      <c r="C137" s="95" t="str">
        <f aca="false">IF(03_能力總表_Master!$A137="","",03_能力總表_Master!$E137)</f>
        <v/>
      </c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32"/>
      <c r="AQ137" s="232"/>
      <c r="AR137" s="232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232"/>
      <c r="BH137" s="232"/>
      <c r="BI137" s="232"/>
      <c r="BJ137" s="232"/>
      <c r="BK137" s="232"/>
      <c r="BL137" s="232"/>
      <c r="BM137" s="232"/>
      <c r="BN137" s="232"/>
      <c r="BO137" s="232"/>
      <c r="BP137" s="232"/>
      <c r="BQ137" s="232"/>
      <c r="BR137" s="232"/>
      <c r="BS137" s="232"/>
      <c r="BT137" s="232"/>
      <c r="BU137" s="232"/>
      <c r="BV137" s="232"/>
      <c r="BW137" s="232"/>
      <c r="BX137" s="232"/>
      <c r="BY137" s="232"/>
      <c r="BZ137" s="232"/>
      <c r="CA137" s="232"/>
      <c r="CB137" s="232"/>
      <c r="CC137" s="232"/>
      <c r="CD137" s="232"/>
      <c r="CE137" s="232"/>
      <c r="CF137" s="232"/>
      <c r="CG137" s="232"/>
      <c r="CH137" s="232"/>
      <c r="CI137" s="232"/>
      <c r="CJ137" s="232"/>
      <c r="CK137" s="232"/>
      <c r="CL137" s="232"/>
      <c r="CM137" s="232"/>
      <c r="CN137" s="232"/>
      <c r="CO137" s="232"/>
      <c r="CP137" s="233" t="str">
        <f aca="false">IF(AND(D137="✓",D$4&lt;&gt;""),D$4&amp;"; ","")&amp;IF(AND(E137="✓",E$4&lt;&gt;""),E$4&amp;"; ","")&amp;IF(AND(F137="✓",F$4&lt;&gt;""),F$4&amp;"; ","")&amp;IF(AND(G137="✓",G$4&lt;&gt;""),G$4&amp;"; ","")&amp;IF(AND(H137="✓",H$4&lt;&gt;""),H$4&amp;"; ","")&amp;IF(AND(I137="✓",I$4&lt;&gt;""),I$4&amp;"; ","")&amp;IF(AND(J137="✓",J$4&lt;&gt;""),J$4&amp;"; ","")&amp;IF(AND(K137="✓",K$4&lt;&gt;""),K$4&amp;"; ","")&amp;IF(AND(L137="✓",L$4&lt;&gt;""),L$4&amp;"; ","")&amp;IF(AND(M137="✓",M$4&lt;&gt;""),M$4&amp;"; ","")&amp;IF(AND(N137="✓",N$4&lt;&gt;""),N$4&amp;"; ","")&amp;IF(AND(O137="✓",O$4&lt;&gt;""),O$4&amp;"; ","")&amp;IF(AND(P137="✓",P$4&lt;&gt;""),P$4&amp;"; ","")&amp;IF(AND(Q137="✓",Q$4&lt;&gt;""),Q$4&amp;"; ","")&amp;IF(AND(R137="✓",R$4&lt;&gt;""),R$4&amp;"; ","")&amp;IF(AND(S137="✓",S$4&lt;&gt;""),S$4&amp;"; ","")&amp;IF(AND(T137="✓",T$4&lt;&gt;""),T$4&amp;"; ","")&amp;IF(AND(U137="✓",U$4&lt;&gt;""),U$4&amp;"; ","")&amp;IF(AND(V137="✓",V$4&lt;&gt;""),V$4&amp;"; ","")&amp;IF(AND(W137="✓",W$4&lt;&gt;""),W$4&amp;"; ","")&amp;IF(AND(X137="✓",X$4&lt;&gt;""),X$4&amp;"; ","")&amp;IF(AND(Y137="✓",Y$4&lt;&gt;""),Y$4&amp;"; ","")&amp;IF(AND(Z137="✓",Z$4&lt;&gt;""),Z$4&amp;"; ","")&amp;IF(AND(AA137="✓",AA$4&lt;&gt;""),AA$4&amp;"; ","")&amp;IF(AND(AB137="✓",AB$4&lt;&gt;""),AB$4&amp;"; ","")&amp;IF(AND(AC137="✓",AC$4&lt;&gt;""),AC$4&amp;"; ","")&amp;IF(AND(AD137="✓",AD$4&lt;&gt;""),AD$4&amp;"; ","")&amp;IF(AND(AE137="✓",AE$4&lt;&gt;""),AE$4&amp;"; ","")&amp;IF(AND(AF137="✓",AF$4&lt;&gt;""),AF$4&amp;"; ","")&amp;IF(AND(AG137="✓",AG$4&lt;&gt;""),AG$4&amp;"; ","")&amp;IF(AND(AH137="✓",AH$4&lt;&gt;""),AH$4&amp;"; ","")&amp;IF(AND(AI137="✓",AI$4&lt;&gt;""),AI$4&amp;"; ","")&amp;IF(AND(AJ137="✓",AJ$4&lt;&gt;""),AJ$4&amp;"; ","")&amp;IF(AND(AK137="✓",AK$4&lt;&gt;""),AK$4&amp;"; ","")&amp;IF(AND(AL137="✓",AL$4&lt;&gt;""),AL$4&amp;"; ","")&amp;IF(AND(AM137="✓",AM$4&lt;&gt;""),AM$4&amp;"; ","")&amp;IF(AND(AN137="✓",AN$4&lt;&gt;""),AN$4&amp;"; ","")&amp;IF(AND(AO137="✓",AO$4&lt;&gt;""),AO$4&amp;"; ","")&amp;IF(AND(AP137="✓",AP$4&lt;&gt;""),AP$4&amp;"; ","")&amp;IF(AND(AQ137="✓",AQ$4&lt;&gt;""),AQ$4&amp;"; ","")&amp;IF(AND(AR137="✓",AR$4&lt;&gt;""),AR$4&amp;"; ","")&amp;IF(AND(AS137="✓",AS$4&lt;&gt;""),AS$4&amp;"; ","")&amp;IF(AND(AT137="✓",AT$4&lt;&gt;""),AT$4&amp;"; ","")&amp;IF(AND(AU137="✓",AU$4&lt;&gt;""),AU$4&amp;"; ","")&amp;IF(AND(AV137="✓",AV$4&lt;&gt;""),AV$4&amp;"; ","")&amp;IF(AND(AW137="✓",AW$4&lt;&gt;""),AW$4&amp;"; ","")&amp;IF(AND(AX137="✓",AX$4&lt;&gt;""),AX$4&amp;"; ","")&amp;IF(AND(AY137="✓",AY$4&lt;&gt;""),AY$4&amp;"; ","")&amp;IF(AND(AZ137="✓",AZ$4&lt;&gt;""),AZ$4&amp;"; ","")&amp;IF(AND(BA137="✓",BA$4&lt;&gt;""),BA$4&amp;"; ","")&amp;IF(AND(BB137="✓",BB$4&lt;&gt;""),BB$4&amp;"; ","")&amp;IF(AND(BC137="✓",BC$4&lt;&gt;""),BC$4&amp;"; ","")&amp;IF(AND(BD137="✓",BD$4&lt;&gt;""),BD$4&amp;"; ","")&amp;IF(AND(BE137="✓",BE$4&lt;&gt;""),BE$4&amp;"; ","")&amp;IF(AND(BF137="✓",BF$4&lt;&gt;""),BF$4&amp;"; ","")&amp;IF(AND(BG137="✓",BG$4&lt;&gt;""),BG$4&amp;"; ","")&amp;IF(AND(BH137="✓",BH$4&lt;&gt;""),BH$4&amp;"; ","")&amp;IF(AND(BI137="✓",BI$4&lt;&gt;""),BI$4&amp;"; ","")&amp;IF(AND(BJ137="✓",BJ$4&lt;&gt;""),BJ$4&amp;"; ","")&amp;IF(AND(BK137="✓",BK$4&lt;&gt;""),BK$4&amp;"; ","")&amp;IF(AND(BL137="✓",BL$4&lt;&gt;""),BL$4&amp;"; ","")&amp;IF(AND(BM137="✓",BM$4&lt;&gt;""),BM$4&amp;"; ","")&amp;IF(AND(BN137="✓",BN$4&lt;&gt;""),BN$4&amp;"; ","")&amp;IF(AND(BO137="✓",BO$4&lt;&gt;""),BO$4&amp;"; ","")&amp;IF(AND(BP137="✓",BP$4&lt;&gt;""),BP$4&amp;"; ","")&amp;IF(AND(BQ137="✓",BQ$4&lt;&gt;""),BQ$4&amp;"; ","")&amp;IF(AND(BR137="✓",BR$4&lt;&gt;""),BR$4&amp;"; ","")&amp;IF(AND(BS137="✓",BS$4&lt;&gt;""),BS$4&amp;"; ","")&amp;IF(AND(BT137="✓",BT$4&lt;&gt;""),BT$4&amp;"; ","")&amp;IF(AND(BU137="✓",BU$4&lt;&gt;""),BU$4&amp;"; ","")&amp;IF(AND(BV137="✓",BV$4&lt;&gt;""),BV$4&amp;"; ","")&amp;IF(AND(BW137="✓",BW$4&lt;&gt;""),BW$4&amp;"; ","")&amp;IF(AND(BX137="✓",BX$4&lt;&gt;""),BX$4&amp;"; ","")&amp;IF(AND(BY137="✓",BY$4&lt;&gt;""),BY$4&amp;"; ","")&amp;IF(AND(BZ137="✓",BZ$4&lt;&gt;""),BZ$4&amp;"; ","")&amp;IF(AND(CA137="✓",CA$4&lt;&gt;""),CA$4&amp;"; ","")&amp;IF(AND(CB137="✓",CB$4&lt;&gt;""),CB$4&amp;"; ","")&amp;IF(AND(CC137="✓",CC$4&lt;&gt;""),CC$4&amp;"; ","")&amp;IF(AND(CD137="✓",CD$4&lt;&gt;""),CD$4&amp;"; ","")&amp;IF(AND(CE137="✓",CE$4&lt;&gt;""),CE$4&amp;"; ","")&amp;IF(AND(CF137="✓",CF$4&lt;&gt;""),CF$4&amp;"; ","")&amp;IF(AND(CG137="✓",CG$4&lt;&gt;""),CG$4&amp;"; ","")&amp;IF(AND(CH137="✓",CH$4&lt;&gt;""),CH$4&amp;"; ","")&amp;IF(AND(CI137="✓",CI$4&lt;&gt;""),CI$4&amp;"; ","")&amp;IF(AND(CJ137="✓",CJ$4&lt;&gt;""),CJ$4&amp;"; ","")&amp;IF(AND(CK137="✓",CK$4&lt;&gt;""),CK$4&amp;"; ","")&amp;IF(AND(CL137="✓",CL$4&lt;&gt;""),CL$4&amp;"; ","")&amp;IF(AND(CM137="✓",CM$4&lt;&gt;""),CM$4&amp;"; ","")&amp;IF(AND(CN137="✓",CN$4&lt;&gt;""),CN$4&amp;"; ","")&amp;IF(AND(CO137="✓",CO$4&lt;&gt;""),CO$4&amp;"; ","")</f>
        <v/>
      </c>
      <c r="CQ137" s="104" t="str">
        <f aca="false">IF($CP137="","",LEFT($CP137,LEN($CP137)-2))</f>
        <v/>
      </c>
      <c r="CR137" s="234" t="str">
        <f aca="false">IF($A137="","",COUNTIF($D137:$CO137,"✓"))</f>
        <v/>
      </c>
    </row>
    <row r="138" customFormat="false" ht="21.75" hidden="false" customHeight="true" outlineLevel="0" collapsed="false">
      <c r="A138" s="231" t="str">
        <f aca="false">IF(03_能力總表_Master!$A138="","",03_能力總表_Master!$A138)</f>
        <v/>
      </c>
      <c r="B138" s="166" t="str">
        <f aca="false">IF(03_能力總表_Master!$A138="","",03_能力總表_Master!$B138)</f>
        <v/>
      </c>
      <c r="C138" s="95" t="str">
        <f aca="false">IF(03_能力總表_Master!$A138="","",03_能力總表_Master!$E138)</f>
        <v/>
      </c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32"/>
      <c r="AQ138" s="232"/>
      <c r="AR138" s="232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232"/>
      <c r="BH138" s="232"/>
      <c r="BI138" s="232"/>
      <c r="BJ138" s="232"/>
      <c r="BK138" s="232"/>
      <c r="BL138" s="232"/>
      <c r="BM138" s="232"/>
      <c r="BN138" s="232"/>
      <c r="BO138" s="232"/>
      <c r="BP138" s="232"/>
      <c r="BQ138" s="232"/>
      <c r="BR138" s="232"/>
      <c r="BS138" s="232"/>
      <c r="BT138" s="232"/>
      <c r="BU138" s="232"/>
      <c r="BV138" s="232"/>
      <c r="BW138" s="232"/>
      <c r="BX138" s="232"/>
      <c r="BY138" s="232"/>
      <c r="BZ138" s="232"/>
      <c r="CA138" s="232"/>
      <c r="CB138" s="232"/>
      <c r="CC138" s="232"/>
      <c r="CD138" s="232"/>
      <c r="CE138" s="232"/>
      <c r="CF138" s="232"/>
      <c r="CG138" s="232"/>
      <c r="CH138" s="232"/>
      <c r="CI138" s="232"/>
      <c r="CJ138" s="232"/>
      <c r="CK138" s="232"/>
      <c r="CL138" s="232"/>
      <c r="CM138" s="232"/>
      <c r="CN138" s="232"/>
      <c r="CO138" s="232"/>
      <c r="CP138" s="233" t="str">
        <f aca="false">IF(AND(D138="✓",D$4&lt;&gt;""),D$4&amp;"; ","")&amp;IF(AND(E138="✓",E$4&lt;&gt;""),E$4&amp;"; ","")&amp;IF(AND(F138="✓",F$4&lt;&gt;""),F$4&amp;"; ","")&amp;IF(AND(G138="✓",G$4&lt;&gt;""),G$4&amp;"; ","")&amp;IF(AND(H138="✓",H$4&lt;&gt;""),H$4&amp;"; ","")&amp;IF(AND(I138="✓",I$4&lt;&gt;""),I$4&amp;"; ","")&amp;IF(AND(J138="✓",J$4&lt;&gt;""),J$4&amp;"; ","")&amp;IF(AND(K138="✓",K$4&lt;&gt;""),K$4&amp;"; ","")&amp;IF(AND(L138="✓",L$4&lt;&gt;""),L$4&amp;"; ","")&amp;IF(AND(M138="✓",M$4&lt;&gt;""),M$4&amp;"; ","")&amp;IF(AND(N138="✓",N$4&lt;&gt;""),N$4&amp;"; ","")&amp;IF(AND(O138="✓",O$4&lt;&gt;""),O$4&amp;"; ","")&amp;IF(AND(P138="✓",P$4&lt;&gt;""),P$4&amp;"; ","")&amp;IF(AND(Q138="✓",Q$4&lt;&gt;""),Q$4&amp;"; ","")&amp;IF(AND(R138="✓",R$4&lt;&gt;""),R$4&amp;"; ","")&amp;IF(AND(S138="✓",S$4&lt;&gt;""),S$4&amp;"; ","")&amp;IF(AND(T138="✓",T$4&lt;&gt;""),T$4&amp;"; ","")&amp;IF(AND(U138="✓",U$4&lt;&gt;""),U$4&amp;"; ","")&amp;IF(AND(V138="✓",V$4&lt;&gt;""),V$4&amp;"; ","")&amp;IF(AND(W138="✓",W$4&lt;&gt;""),W$4&amp;"; ","")&amp;IF(AND(X138="✓",X$4&lt;&gt;""),X$4&amp;"; ","")&amp;IF(AND(Y138="✓",Y$4&lt;&gt;""),Y$4&amp;"; ","")&amp;IF(AND(Z138="✓",Z$4&lt;&gt;""),Z$4&amp;"; ","")&amp;IF(AND(AA138="✓",AA$4&lt;&gt;""),AA$4&amp;"; ","")&amp;IF(AND(AB138="✓",AB$4&lt;&gt;""),AB$4&amp;"; ","")&amp;IF(AND(AC138="✓",AC$4&lt;&gt;""),AC$4&amp;"; ","")&amp;IF(AND(AD138="✓",AD$4&lt;&gt;""),AD$4&amp;"; ","")&amp;IF(AND(AE138="✓",AE$4&lt;&gt;""),AE$4&amp;"; ","")&amp;IF(AND(AF138="✓",AF$4&lt;&gt;""),AF$4&amp;"; ","")&amp;IF(AND(AG138="✓",AG$4&lt;&gt;""),AG$4&amp;"; ","")&amp;IF(AND(AH138="✓",AH$4&lt;&gt;""),AH$4&amp;"; ","")&amp;IF(AND(AI138="✓",AI$4&lt;&gt;""),AI$4&amp;"; ","")&amp;IF(AND(AJ138="✓",AJ$4&lt;&gt;""),AJ$4&amp;"; ","")&amp;IF(AND(AK138="✓",AK$4&lt;&gt;""),AK$4&amp;"; ","")&amp;IF(AND(AL138="✓",AL$4&lt;&gt;""),AL$4&amp;"; ","")&amp;IF(AND(AM138="✓",AM$4&lt;&gt;""),AM$4&amp;"; ","")&amp;IF(AND(AN138="✓",AN$4&lt;&gt;""),AN$4&amp;"; ","")&amp;IF(AND(AO138="✓",AO$4&lt;&gt;""),AO$4&amp;"; ","")&amp;IF(AND(AP138="✓",AP$4&lt;&gt;""),AP$4&amp;"; ","")&amp;IF(AND(AQ138="✓",AQ$4&lt;&gt;""),AQ$4&amp;"; ","")&amp;IF(AND(AR138="✓",AR$4&lt;&gt;""),AR$4&amp;"; ","")&amp;IF(AND(AS138="✓",AS$4&lt;&gt;""),AS$4&amp;"; ","")&amp;IF(AND(AT138="✓",AT$4&lt;&gt;""),AT$4&amp;"; ","")&amp;IF(AND(AU138="✓",AU$4&lt;&gt;""),AU$4&amp;"; ","")&amp;IF(AND(AV138="✓",AV$4&lt;&gt;""),AV$4&amp;"; ","")&amp;IF(AND(AW138="✓",AW$4&lt;&gt;""),AW$4&amp;"; ","")&amp;IF(AND(AX138="✓",AX$4&lt;&gt;""),AX$4&amp;"; ","")&amp;IF(AND(AY138="✓",AY$4&lt;&gt;""),AY$4&amp;"; ","")&amp;IF(AND(AZ138="✓",AZ$4&lt;&gt;""),AZ$4&amp;"; ","")&amp;IF(AND(BA138="✓",BA$4&lt;&gt;""),BA$4&amp;"; ","")&amp;IF(AND(BB138="✓",BB$4&lt;&gt;""),BB$4&amp;"; ","")&amp;IF(AND(BC138="✓",BC$4&lt;&gt;""),BC$4&amp;"; ","")&amp;IF(AND(BD138="✓",BD$4&lt;&gt;""),BD$4&amp;"; ","")&amp;IF(AND(BE138="✓",BE$4&lt;&gt;""),BE$4&amp;"; ","")&amp;IF(AND(BF138="✓",BF$4&lt;&gt;""),BF$4&amp;"; ","")&amp;IF(AND(BG138="✓",BG$4&lt;&gt;""),BG$4&amp;"; ","")&amp;IF(AND(BH138="✓",BH$4&lt;&gt;""),BH$4&amp;"; ","")&amp;IF(AND(BI138="✓",BI$4&lt;&gt;""),BI$4&amp;"; ","")&amp;IF(AND(BJ138="✓",BJ$4&lt;&gt;""),BJ$4&amp;"; ","")&amp;IF(AND(BK138="✓",BK$4&lt;&gt;""),BK$4&amp;"; ","")&amp;IF(AND(BL138="✓",BL$4&lt;&gt;""),BL$4&amp;"; ","")&amp;IF(AND(BM138="✓",BM$4&lt;&gt;""),BM$4&amp;"; ","")&amp;IF(AND(BN138="✓",BN$4&lt;&gt;""),BN$4&amp;"; ","")&amp;IF(AND(BO138="✓",BO$4&lt;&gt;""),BO$4&amp;"; ","")&amp;IF(AND(BP138="✓",BP$4&lt;&gt;""),BP$4&amp;"; ","")&amp;IF(AND(BQ138="✓",BQ$4&lt;&gt;""),BQ$4&amp;"; ","")&amp;IF(AND(BR138="✓",BR$4&lt;&gt;""),BR$4&amp;"; ","")&amp;IF(AND(BS138="✓",BS$4&lt;&gt;""),BS$4&amp;"; ","")&amp;IF(AND(BT138="✓",BT$4&lt;&gt;""),BT$4&amp;"; ","")&amp;IF(AND(BU138="✓",BU$4&lt;&gt;""),BU$4&amp;"; ","")&amp;IF(AND(BV138="✓",BV$4&lt;&gt;""),BV$4&amp;"; ","")&amp;IF(AND(BW138="✓",BW$4&lt;&gt;""),BW$4&amp;"; ","")&amp;IF(AND(BX138="✓",BX$4&lt;&gt;""),BX$4&amp;"; ","")&amp;IF(AND(BY138="✓",BY$4&lt;&gt;""),BY$4&amp;"; ","")&amp;IF(AND(BZ138="✓",BZ$4&lt;&gt;""),BZ$4&amp;"; ","")&amp;IF(AND(CA138="✓",CA$4&lt;&gt;""),CA$4&amp;"; ","")&amp;IF(AND(CB138="✓",CB$4&lt;&gt;""),CB$4&amp;"; ","")&amp;IF(AND(CC138="✓",CC$4&lt;&gt;""),CC$4&amp;"; ","")&amp;IF(AND(CD138="✓",CD$4&lt;&gt;""),CD$4&amp;"; ","")&amp;IF(AND(CE138="✓",CE$4&lt;&gt;""),CE$4&amp;"; ","")&amp;IF(AND(CF138="✓",CF$4&lt;&gt;""),CF$4&amp;"; ","")&amp;IF(AND(CG138="✓",CG$4&lt;&gt;""),CG$4&amp;"; ","")&amp;IF(AND(CH138="✓",CH$4&lt;&gt;""),CH$4&amp;"; ","")&amp;IF(AND(CI138="✓",CI$4&lt;&gt;""),CI$4&amp;"; ","")&amp;IF(AND(CJ138="✓",CJ$4&lt;&gt;""),CJ$4&amp;"; ","")&amp;IF(AND(CK138="✓",CK$4&lt;&gt;""),CK$4&amp;"; ","")&amp;IF(AND(CL138="✓",CL$4&lt;&gt;""),CL$4&amp;"; ","")&amp;IF(AND(CM138="✓",CM$4&lt;&gt;""),CM$4&amp;"; ","")&amp;IF(AND(CN138="✓",CN$4&lt;&gt;""),CN$4&amp;"; ","")&amp;IF(AND(CO138="✓",CO$4&lt;&gt;""),CO$4&amp;"; ","")</f>
        <v/>
      </c>
      <c r="CQ138" s="104" t="str">
        <f aca="false">IF($CP138="","",LEFT($CP138,LEN($CP138)-2))</f>
        <v/>
      </c>
      <c r="CR138" s="234" t="str">
        <f aca="false">IF($A138="","",COUNTIF($D138:$CO138,"✓"))</f>
        <v/>
      </c>
    </row>
    <row r="139" customFormat="false" ht="21.75" hidden="false" customHeight="true" outlineLevel="0" collapsed="false">
      <c r="A139" s="231" t="str">
        <f aca="false">IF(03_能力總表_Master!$A139="","",03_能力總表_Master!$A139)</f>
        <v/>
      </c>
      <c r="B139" s="166" t="str">
        <f aca="false">IF(03_能力總表_Master!$A139="","",03_能力總表_Master!$B139)</f>
        <v/>
      </c>
      <c r="C139" s="95" t="str">
        <f aca="false">IF(03_能力總表_Master!$A139="","",03_能力總表_Master!$E139)</f>
        <v/>
      </c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32"/>
      <c r="AQ139" s="232"/>
      <c r="AR139" s="232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232"/>
      <c r="BH139" s="232"/>
      <c r="BI139" s="232"/>
      <c r="BJ139" s="232"/>
      <c r="BK139" s="232"/>
      <c r="BL139" s="232"/>
      <c r="BM139" s="232"/>
      <c r="BN139" s="232"/>
      <c r="BO139" s="232"/>
      <c r="BP139" s="232"/>
      <c r="BQ139" s="232"/>
      <c r="BR139" s="232"/>
      <c r="BS139" s="232"/>
      <c r="BT139" s="232"/>
      <c r="BU139" s="232"/>
      <c r="BV139" s="232"/>
      <c r="BW139" s="232"/>
      <c r="BX139" s="232"/>
      <c r="BY139" s="232"/>
      <c r="BZ139" s="232"/>
      <c r="CA139" s="232"/>
      <c r="CB139" s="232"/>
      <c r="CC139" s="232"/>
      <c r="CD139" s="232"/>
      <c r="CE139" s="232"/>
      <c r="CF139" s="232"/>
      <c r="CG139" s="232"/>
      <c r="CH139" s="232"/>
      <c r="CI139" s="232"/>
      <c r="CJ139" s="232"/>
      <c r="CK139" s="232"/>
      <c r="CL139" s="232"/>
      <c r="CM139" s="232"/>
      <c r="CN139" s="232"/>
      <c r="CO139" s="232"/>
      <c r="CP139" s="233" t="str">
        <f aca="false">IF(AND(D139="✓",D$4&lt;&gt;""),D$4&amp;"; ","")&amp;IF(AND(E139="✓",E$4&lt;&gt;""),E$4&amp;"; ","")&amp;IF(AND(F139="✓",F$4&lt;&gt;""),F$4&amp;"; ","")&amp;IF(AND(G139="✓",G$4&lt;&gt;""),G$4&amp;"; ","")&amp;IF(AND(H139="✓",H$4&lt;&gt;""),H$4&amp;"; ","")&amp;IF(AND(I139="✓",I$4&lt;&gt;""),I$4&amp;"; ","")&amp;IF(AND(J139="✓",J$4&lt;&gt;""),J$4&amp;"; ","")&amp;IF(AND(K139="✓",K$4&lt;&gt;""),K$4&amp;"; ","")&amp;IF(AND(L139="✓",L$4&lt;&gt;""),L$4&amp;"; ","")&amp;IF(AND(M139="✓",M$4&lt;&gt;""),M$4&amp;"; ","")&amp;IF(AND(N139="✓",N$4&lt;&gt;""),N$4&amp;"; ","")&amp;IF(AND(O139="✓",O$4&lt;&gt;""),O$4&amp;"; ","")&amp;IF(AND(P139="✓",P$4&lt;&gt;""),P$4&amp;"; ","")&amp;IF(AND(Q139="✓",Q$4&lt;&gt;""),Q$4&amp;"; ","")&amp;IF(AND(R139="✓",R$4&lt;&gt;""),R$4&amp;"; ","")&amp;IF(AND(S139="✓",S$4&lt;&gt;""),S$4&amp;"; ","")&amp;IF(AND(T139="✓",T$4&lt;&gt;""),T$4&amp;"; ","")&amp;IF(AND(U139="✓",U$4&lt;&gt;""),U$4&amp;"; ","")&amp;IF(AND(V139="✓",V$4&lt;&gt;""),V$4&amp;"; ","")&amp;IF(AND(W139="✓",W$4&lt;&gt;""),W$4&amp;"; ","")&amp;IF(AND(X139="✓",X$4&lt;&gt;""),X$4&amp;"; ","")&amp;IF(AND(Y139="✓",Y$4&lt;&gt;""),Y$4&amp;"; ","")&amp;IF(AND(Z139="✓",Z$4&lt;&gt;""),Z$4&amp;"; ","")&amp;IF(AND(AA139="✓",AA$4&lt;&gt;""),AA$4&amp;"; ","")&amp;IF(AND(AB139="✓",AB$4&lt;&gt;""),AB$4&amp;"; ","")&amp;IF(AND(AC139="✓",AC$4&lt;&gt;""),AC$4&amp;"; ","")&amp;IF(AND(AD139="✓",AD$4&lt;&gt;""),AD$4&amp;"; ","")&amp;IF(AND(AE139="✓",AE$4&lt;&gt;""),AE$4&amp;"; ","")&amp;IF(AND(AF139="✓",AF$4&lt;&gt;""),AF$4&amp;"; ","")&amp;IF(AND(AG139="✓",AG$4&lt;&gt;""),AG$4&amp;"; ","")&amp;IF(AND(AH139="✓",AH$4&lt;&gt;""),AH$4&amp;"; ","")&amp;IF(AND(AI139="✓",AI$4&lt;&gt;""),AI$4&amp;"; ","")&amp;IF(AND(AJ139="✓",AJ$4&lt;&gt;""),AJ$4&amp;"; ","")&amp;IF(AND(AK139="✓",AK$4&lt;&gt;""),AK$4&amp;"; ","")&amp;IF(AND(AL139="✓",AL$4&lt;&gt;""),AL$4&amp;"; ","")&amp;IF(AND(AM139="✓",AM$4&lt;&gt;""),AM$4&amp;"; ","")&amp;IF(AND(AN139="✓",AN$4&lt;&gt;""),AN$4&amp;"; ","")&amp;IF(AND(AO139="✓",AO$4&lt;&gt;""),AO$4&amp;"; ","")&amp;IF(AND(AP139="✓",AP$4&lt;&gt;""),AP$4&amp;"; ","")&amp;IF(AND(AQ139="✓",AQ$4&lt;&gt;""),AQ$4&amp;"; ","")&amp;IF(AND(AR139="✓",AR$4&lt;&gt;""),AR$4&amp;"; ","")&amp;IF(AND(AS139="✓",AS$4&lt;&gt;""),AS$4&amp;"; ","")&amp;IF(AND(AT139="✓",AT$4&lt;&gt;""),AT$4&amp;"; ","")&amp;IF(AND(AU139="✓",AU$4&lt;&gt;""),AU$4&amp;"; ","")&amp;IF(AND(AV139="✓",AV$4&lt;&gt;""),AV$4&amp;"; ","")&amp;IF(AND(AW139="✓",AW$4&lt;&gt;""),AW$4&amp;"; ","")&amp;IF(AND(AX139="✓",AX$4&lt;&gt;""),AX$4&amp;"; ","")&amp;IF(AND(AY139="✓",AY$4&lt;&gt;""),AY$4&amp;"; ","")&amp;IF(AND(AZ139="✓",AZ$4&lt;&gt;""),AZ$4&amp;"; ","")&amp;IF(AND(BA139="✓",BA$4&lt;&gt;""),BA$4&amp;"; ","")&amp;IF(AND(BB139="✓",BB$4&lt;&gt;""),BB$4&amp;"; ","")&amp;IF(AND(BC139="✓",BC$4&lt;&gt;""),BC$4&amp;"; ","")&amp;IF(AND(BD139="✓",BD$4&lt;&gt;""),BD$4&amp;"; ","")&amp;IF(AND(BE139="✓",BE$4&lt;&gt;""),BE$4&amp;"; ","")&amp;IF(AND(BF139="✓",BF$4&lt;&gt;""),BF$4&amp;"; ","")&amp;IF(AND(BG139="✓",BG$4&lt;&gt;""),BG$4&amp;"; ","")&amp;IF(AND(BH139="✓",BH$4&lt;&gt;""),BH$4&amp;"; ","")&amp;IF(AND(BI139="✓",BI$4&lt;&gt;""),BI$4&amp;"; ","")&amp;IF(AND(BJ139="✓",BJ$4&lt;&gt;""),BJ$4&amp;"; ","")&amp;IF(AND(BK139="✓",BK$4&lt;&gt;""),BK$4&amp;"; ","")&amp;IF(AND(BL139="✓",BL$4&lt;&gt;""),BL$4&amp;"; ","")&amp;IF(AND(BM139="✓",BM$4&lt;&gt;""),BM$4&amp;"; ","")&amp;IF(AND(BN139="✓",BN$4&lt;&gt;""),BN$4&amp;"; ","")&amp;IF(AND(BO139="✓",BO$4&lt;&gt;""),BO$4&amp;"; ","")&amp;IF(AND(BP139="✓",BP$4&lt;&gt;""),BP$4&amp;"; ","")&amp;IF(AND(BQ139="✓",BQ$4&lt;&gt;""),BQ$4&amp;"; ","")&amp;IF(AND(BR139="✓",BR$4&lt;&gt;""),BR$4&amp;"; ","")&amp;IF(AND(BS139="✓",BS$4&lt;&gt;""),BS$4&amp;"; ","")&amp;IF(AND(BT139="✓",BT$4&lt;&gt;""),BT$4&amp;"; ","")&amp;IF(AND(BU139="✓",BU$4&lt;&gt;""),BU$4&amp;"; ","")&amp;IF(AND(BV139="✓",BV$4&lt;&gt;""),BV$4&amp;"; ","")&amp;IF(AND(BW139="✓",BW$4&lt;&gt;""),BW$4&amp;"; ","")&amp;IF(AND(BX139="✓",BX$4&lt;&gt;""),BX$4&amp;"; ","")&amp;IF(AND(BY139="✓",BY$4&lt;&gt;""),BY$4&amp;"; ","")&amp;IF(AND(BZ139="✓",BZ$4&lt;&gt;""),BZ$4&amp;"; ","")&amp;IF(AND(CA139="✓",CA$4&lt;&gt;""),CA$4&amp;"; ","")&amp;IF(AND(CB139="✓",CB$4&lt;&gt;""),CB$4&amp;"; ","")&amp;IF(AND(CC139="✓",CC$4&lt;&gt;""),CC$4&amp;"; ","")&amp;IF(AND(CD139="✓",CD$4&lt;&gt;""),CD$4&amp;"; ","")&amp;IF(AND(CE139="✓",CE$4&lt;&gt;""),CE$4&amp;"; ","")&amp;IF(AND(CF139="✓",CF$4&lt;&gt;""),CF$4&amp;"; ","")&amp;IF(AND(CG139="✓",CG$4&lt;&gt;""),CG$4&amp;"; ","")&amp;IF(AND(CH139="✓",CH$4&lt;&gt;""),CH$4&amp;"; ","")&amp;IF(AND(CI139="✓",CI$4&lt;&gt;""),CI$4&amp;"; ","")&amp;IF(AND(CJ139="✓",CJ$4&lt;&gt;""),CJ$4&amp;"; ","")&amp;IF(AND(CK139="✓",CK$4&lt;&gt;""),CK$4&amp;"; ","")&amp;IF(AND(CL139="✓",CL$4&lt;&gt;""),CL$4&amp;"; ","")&amp;IF(AND(CM139="✓",CM$4&lt;&gt;""),CM$4&amp;"; ","")&amp;IF(AND(CN139="✓",CN$4&lt;&gt;""),CN$4&amp;"; ","")&amp;IF(AND(CO139="✓",CO$4&lt;&gt;""),CO$4&amp;"; ","")</f>
        <v/>
      </c>
      <c r="CQ139" s="104" t="str">
        <f aca="false">IF($CP139="","",LEFT($CP139,LEN($CP139)-2))</f>
        <v/>
      </c>
      <c r="CR139" s="234" t="str">
        <f aca="false">IF($A139="","",COUNTIF($D139:$CO139,"✓"))</f>
        <v/>
      </c>
    </row>
    <row r="140" customFormat="false" ht="21.75" hidden="false" customHeight="true" outlineLevel="0" collapsed="false">
      <c r="A140" s="231" t="str">
        <f aca="false">IF(03_能力總表_Master!$A140="","",03_能力總表_Master!$A140)</f>
        <v/>
      </c>
      <c r="B140" s="166" t="str">
        <f aca="false">IF(03_能力總表_Master!$A140="","",03_能力總表_Master!$B140)</f>
        <v/>
      </c>
      <c r="C140" s="95" t="str">
        <f aca="false">IF(03_能力總表_Master!$A140="","",03_能力總表_Master!$E140)</f>
        <v/>
      </c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32"/>
      <c r="AQ140" s="232"/>
      <c r="AR140" s="232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232"/>
      <c r="BH140" s="232"/>
      <c r="BI140" s="232"/>
      <c r="BJ140" s="232"/>
      <c r="BK140" s="232"/>
      <c r="BL140" s="232"/>
      <c r="BM140" s="232"/>
      <c r="BN140" s="232"/>
      <c r="BO140" s="232"/>
      <c r="BP140" s="232"/>
      <c r="BQ140" s="232"/>
      <c r="BR140" s="232"/>
      <c r="BS140" s="232"/>
      <c r="BT140" s="232"/>
      <c r="BU140" s="232"/>
      <c r="BV140" s="232"/>
      <c r="BW140" s="232"/>
      <c r="BX140" s="232"/>
      <c r="BY140" s="232"/>
      <c r="BZ140" s="232"/>
      <c r="CA140" s="232"/>
      <c r="CB140" s="232"/>
      <c r="CC140" s="232"/>
      <c r="CD140" s="232"/>
      <c r="CE140" s="232"/>
      <c r="CF140" s="232"/>
      <c r="CG140" s="232"/>
      <c r="CH140" s="232"/>
      <c r="CI140" s="232"/>
      <c r="CJ140" s="232"/>
      <c r="CK140" s="232"/>
      <c r="CL140" s="232"/>
      <c r="CM140" s="232"/>
      <c r="CN140" s="232"/>
      <c r="CO140" s="232"/>
      <c r="CP140" s="233" t="str">
        <f aca="false">IF(AND(D140="✓",D$4&lt;&gt;""),D$4&amp;"; ","")&amp;IF(AND(E140="✓",E$4&lt;&gt;""),E$4&amp;"; ","")&amp;IF(AND(F140="✓",F$4&lt;&gt;""),F$4&amp;"; ","")&amp;IF(AND(G140="✓",G$4&lt;&gt;""),G$4&amp;"; ","")&amp;IF(AND(H140="✓",H$4&lt;&gt;""),H$4&amp;"; ","")&amp;IF(AND(I140="✓",I$4&lt;&gt;""),I$4&amp;"; ","")&amp;IF(AND(J140="✓",J$4&lt;&gt;""),J$4&amp;"; ","")&amp;IF(AND(K140="✓",K$4&lt;&gt;""),K$4&amp;"; ","")&amp;IF(AND(L140="✓",L$4&lt;&gt;""),L$4&amp;"; ","")&amp;IF(AND(M140="✓",M$4&lt;&gt;""),M$4&amp;"; ","")&amp;IF(AND(N140="✓",N$4&lt;&gt;""),N$4&amp;"; ","")&amp;IF(AND(O140="✓",O$4&lt;&gt;""),O$4&amp;"; ","")&amp;IF(AND(P140="✓",P$4&lt;&gt;""),P$4&amp;"; ","")&amp;IF(AND(Q140="✓",Q$4&lt;&gt;""),Q$4&amp;"; ","")&amp;IF(AND(R140="✓",R$4&lt;&gt;""),R$4&amp;"; ","")&amp;IF(AND(S140="✓",S$4&lt;&gt;""),S$4&amp;"; ","")&amp;IF(AND(T140="✓",T$4&lt;&gt;""),T$4&amp;"; ","")&amp;IF(AND(U140="✓",U$4&lt;&gt;""),U$4&amp;"; ","")&amp;IF(AND(V140="✓",V$4&lt;&gt;""),V$4&amp;"; ","")&amp;IF(AND(W140="✓",W$4&lt;&gt;""),W$4&amp;"; ","")&amp;IF(AND(X140="✓",X$4&lt;&gt;""),X$4&amp;"; ","")&amp;IF(AND(Y140="✓",Y$4&lt;&gt;""),Y$4&amp;"; ","")&amp;IF(AND(Z140="✓",Z$4&lt;&gt;""),Z$4&amp;"; ","")&amp;IF(AND(AA140="✓",AA$4&lt;&gt;""),AA$4&amp;"; ","")&amp;IF(AND(AB140="✓",AB$4&lt;&gt;""),AB$4&amp;"; ","")&amp;IF(AND(AC140="✓",AC$4&lt;&gt;""),AC$4&amp;"; ","")&amp;IF(AND(AD140="✓",AD$4&lt;&gt;""),AD$4&amp;"; ","")&amp;IF(AND(AE140="✓",AE$4&lt;&gt;""),AE$4&amp;"; ","")&amp;IF(AND(AF140="✓",AF$4&lt;&gt;""),AF$4&amp;"; ","")&amp;IF(AND(AG140="✓",AG$4&lt;&gt;""),AG$4&amp;"; ","")&amp;IF(AND(AH140="✓",AH$4&lt;&gt;""),AH$4&amp;"; ","")&amp;IF(AND(AI140="✓",AI$4&lt;&gt;""),AI$4&amp;"; ","")&amp;IF(AND(AJ140="✓",AJ$4&lt;&gt;""),AJ$4&amp;"; ","")&amp;IF(AND(AK140="✓",AK$4&lt;&gt;""),AK$4&amp;"; ","")&amp;IF(AND(AL140="✓",AL$4&lt;&gt;""),AL$4&amp;"; ","")&amp;IF(AND(AM140="✓",AM$4&lt;&gt;""),AM$4&amp;"; ","")&amp;IF(AND(AN140="✓",AN$4&lt;&gt;""),AN$4&amp;"; ","")&amp;IF(AND(AO140="✓",AO$4&lt;&gt;""),AO$4&amp;"; ","")&amp;IF(AND(AP140="✓",AP$4&lt;&gt;""),AP$4&amp;"; ","")&amp;IF(AND(AQ140="✓",AQ$4&lt;&gt;""),AQ$4&amp;"; ","")&amp;IF(AND(AR140="✓",AR$4&lt;&gt;""),AR$4&amp;"; ","")&amp;IF(AND(AS140="✓",AS$4&lt;&gt;""),AS$4&amp;"; ","")&amp;IF(AND(AT140="✓",AT$4&lt;&gt;""),AT$4&amp;"; ","")&amp;IF(AND(AU140="✓",AU$4&lt;&gt;""),AU$4&amp;"; ","")&amp;IF(AND(AV140="✓",AV$4&lt;&gt;""),AV$4&amp;"; ","")&amp;IF(AND(AW140="✓",AW$4&lt;&gt;""),AW$4&amp;"; ","")&amp;IF(AND(AX140="✓",AX$4&lt;&gt;""),AX$4&amp;"; ","")&amp;IF(AND(AY140="✓",AY$4&lt;&gt;""),AY$4&amp;"; ","")&amp;IF(AND(AZ140="✓",AZ$4&lt;&gt;""),AZ$4&amp;"; ","")&amp;IF(AND(BA140="✓",BA$4&lt;&gt;""),BA$4&amp;"; ","")&amp;IF(AND(BB140="✓",BB$4&lt;&gt;""),BB$4&amp;"; ","")&amp;IF(AND(BC140="✓",BC$4&lt;&gt;""),BC$4&amp;"; ","")&amp;IF(AND(BD140="✓",BD$4&lt;&gt;""),BD$4&amp;"; ","")&amp;IF(AND(BE140="✓",BE$4&lt;&gt;""),BE$4&amp;"; ","")&amp;IF(AND(BF140="✓",BF$4&lt;&gt;""),BF$4&amp;"; ","")&amp;IF(AND(BG140="✓",BG$4&lt;&gt;""),BG$4&amp;"; ","")&amp;IF(AND(BH140="✓",BH$4&lt;&gt;""),BH$4&amp;"; ","")&amp;IF(AND(BI140="✓",BI$4&lt;&gt;""),BI$4&amp;"; ","")&amp;IF(AND(BJ140="✓",BJ$4&lt;&gt;""),BJ$4&amp;"; ","")&amp;IF(AND(BK140="✓",BK$4&lt;&gt;""),BK$4&amp;"; ","")&amp;IF(AND(BL140="✓",BL$4&lt;&gt;""),BL$4&amp;"; ","")&amp;IF(AND(BM140="✓",BM$4&lt;&gt;""),BM$4&amp;"; ","")&amp;IF(AND(BN140="✓",BN$4&lt;&gt;""),BN$4&amp;"; ","")&amp;IF(AND(BO140="✓",BO$4&lt;&gt;""),BO$4&amp;"; ","")&amp;IF(AND(BP140="✓",BP$4&lt;&gt;""),BP$4&amp;"; ","")&amp;IF(AND(BQ140="✓",BQ$4&lt;&gt;""),BQ$4&amp;"; ","")&amp;IF(AND(BR140="✓",BR$4&lt;&gt;""),BR$4&amp;"; ","")&amp;IF(AND(BS140="✓",BS$4&lt;&gt;""),BS$4&amp;"; ","")&amp;IF(AND(BT140="✓",BT$4&lt;&gt;""),BT$4&amp;"; ","")&amp;IF(AND(BU140="✓",BU$4&lt;&gt;""),BU$4&amp;"; ","")&amp;IF(AND(BV140="✓",BV$4&lt;&gt;""),BV$4&amp;"; ","")&amp;IF(AND(BW140="✓",BW$4&lt;&gt;""),BW$4&amp;"; ","")&amp;IF(AND(BX140="✓",BX$4&lt;&gt;""),BX$4&amp;"; ","")&amp;IF(AND(BY140="✓",BY$4&lt;&gt;""),BY$4&amp;"; ","")&amp;IF(AND(BZ140="✓",BZ$4&lt;&gt;""),BZ$4&amp;"; ","")&amp;IF(AND(CA140="✓",CA$4&lt;&gt;""),CA$4&amp;"; ","")&amp;IF(AND(CB140="✓",CB$4&lt;&gt;""),CB$4&amp;"; ","")&amp;IF(AND(CC140="✓",CC$4&lt;&gt;""),CC$4&amp;"; ","")&amp;IF(AND(CD140="✓",CD$4&lt;&gt;""),CD$4&amp;"; ","")&amp;IF(AND(CE140="✓",CE$4&lt;&gt;""),CE$4&amp;"; ","")&amp;IF(AND(CF140="✓",CF$4&lt;&gt;""),CF$4&amp;"; ","")&amp;IF(AND(CG140="✓",CG$4&lt;&gt;""),CG$4&amp;"; ","")&amp;IF(AND(CH140="✓",CH$4&lt;&gt;""),CH$4&amp;"; ","")&amp;IF(AND(CI140="✓",CI$4&lt;&gt;""),CI$4&amp;"; ","")&amp;IF(AND(CJ140="✓",CJ$4&lt;&gt;""),CJ$4&amp;"; ","")&amp;IF(AND(CK140="✓",CK$4&lt;&gt;""),CK$4&amp;"; ","")&amp;IF(AND(CL140="✓",CL$4&lt;&gt;""),CL$4&amp;"; ","")&amp;IF(AND(CM140="✓",CM$4&lt;&gt;""),CM$4&amp;"; ","")&amp;IF(AND(CN140="✓",CN$4&lt;&gt;""),CN$4&amp;"; ","")&amp;IF(AND(CO140="✓",CO$4&lt;&gt;""),CO$4&amp;"; ","")</f>
        <v/>
      </c>
      <c r="CQ140" s="104" t="str">
        <f aca="false">IF($CP140="","",LEFT($CP140,LEN($CP140)-2))</f>
        <v/>
      </c>
      <c r="CR140" s="234" t="str">
        <f aca="false">IF($A140="","",COUNTIF($D140:$CO140,"✓"))</f>
        <v/>
      </c>
    </row>
    <row r="141" customFormat="false" ht="21.75" hidden="false" customHeight="true" outlineLevel="0" collapsed="false">
      <c r="A141" s="231" t="str">
        <f aca="false">IF(03_能力總表_Master!$A141="","",03_能力總表_Master!$A141)</f>
        <v/>
      </c>
      <c r="B141" s="166" t="str">
        <f aca="false">IF(03_能力總表_Master!$A141="","",03_能力總表_Master!$B141)</f>
        <v/>
      </c>
      <c r="C141" s="95" t="str">
        <f aca="false">IF(03_能力總表_Master!$A141="","",03_能力總表_Master!$E141)</f>
        <v/>
      </c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32"/>
      <c r="AQ141" s="232"/>
      <c r="AR141" s="232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232"/>
      <c r="BH141" s="232"/>
      <c r="BI141" s="232"/>
      <c r="BJ141" s="232"/>
      <c r="BK141" s="232"/>
      <c r="BL141" s="232"/>
      <c r="BM141" s="232"/>
      <c r="BN141" s="232"/>
      <c r="BO141" s="232"/>
      <c r="BP141" s="232"/>
      <c r="BQ141" s="232"/>
      <c r="BR141" s="232"/>
      <c r="BS141" s="232"/>
      <c r="BT141" s="232"/>
      <c r="BU141" s="232"/>
      <c r="BV141" s="232"/>
      <c r="BW141" s="232"/>
      <c r="BX141" s="232"/>
      <c r="BY141" s="232"/>
      <c r="BZ141" s="232"/>
      <c r="CA141" s="232"/>
      <c r="CB141" s="232"/>
      <c r="CC141" s="232"/>
      <c r="CD141" s="232"/>
      <c r="CE141" s="232"/>
      <c r="CF141" s="232"/>
      <c r="CG141" s="232"/>
      <c r="CH141" s="232"/>
      <c r="CI141" s="232"/>
      <c r="CJ141" s="232"/>
      <c r="CK141" s="232"/>
      <c r="CL141" s="232"/>
      <c r="CM141" s="232"/>
      <c r="CN141" s="232"/>
      <c r="CO141" s="232"/>
      <c r="CP141" s="233" t="str">
        <f aca="false">IF(AND(D141="✓",D$4&lt;&gt;""),D$4&amp;"; ","")&amp;IF(AND(E141="✓",E$4&lt;&gt;""),E$4&amp;"; ","")&amp;IF(AND(F141="✓",F$4&lt;&gt;""),F$4&amp;"; ","")&amp;IF(AND(G141="✓",G$4&lt;&gt;""),G$4&amp;"; ","")&amp;IF(AND(H141="✓",H$4&lt;&gt;""),H$4&amp;"; ","")&amp;IF(AND(I141="✓",I$4&lt;&gt;""),I$4&amp;"; ","")&amp;IF(AND(J141="✓",J$4&lt;&gt;""),J$4&amp;"; ","")&amp;IF(AND(K141="✓",K$4&lt;&gt;""),K$4&amp;"; ","")&amp;IF(AND(L141="✓",L$4&lt;&gt;""),L$4&amp;"; ","")&amp;IF(AND(M141="✓",M$4&lt;&gt;""),M$4&amp;"; ","")&amp;IF(AND(N141="✓",N$4&lt;&gt;""),N$4&amp;"; ","")&amp;IF(AND(O141="✓",O$4&lt;&gt;""),O$4&amp;"; ","")&amp;IF(AND(P141="✓",P$4&lt;&gt;""),P$4&amp;"; ","")&amp;IF(AND(Q141="✓",Q$4&lt;&gt;""),Q$4&amp;"; ","")&amp;IF(AND(R141="✓",R$4&lt;&gt;""),R$4&amp;"; ","")&amp;IF(AND(S141="✓",S$4&lt;&gt;""),S$4&amp;"; ","")&amp;IF(AND(T141="✓",T$4&lt;&gt;""),T$4&amp;"; ","")&amp;IF(AND(U141="✓",U$4&lt;&gt;""),U$4&amp;"; ","")&amp;IF(AND(V141="✓",V$4&lt;&gt;""),V$4&amp;"; ","")&amp;IF(AND(W141="✓",W$4&lt;&gt;""),W$4&amp;"; ","")&amp;IF(AND(X141="✓",X$4&lt;&gt;""),X$4&amp;"; ","")&amp;IF(AND(Y141="✓",Y$4&lt;&gt;""),Y$4&amp;"; ","")&amp;IF(AND(Z141="✓",Z$4&lt;&gt;""),Z$4&amp;"; ","")&amp;IF(AND(AA141="✓",AA$4&lt;&gt;""),AA$4&amp;"; ","")&amp;IF(AND(AB141="✓",AB$4&lt;&gt;""),AB$4&amp;"; ","")&amp;IF(AND(AC141="✓",AC$4&lt;&gt;""),AC$4&amp;"; ","")&amp;IF(AND(AD141="✓",AD$4&lt;&gt;""),AD$4&amp;"; ","")&amp;IF(AND(AE141="✓",AE$4&lt;&gt;""),AE$4&amp;"; ","")&amp;IF(AND(AF141="✓",AF$4&lt;&gt;""),AF$4&amp;"; ","")&amp;IF(AND(AG141="✓",AG$4&lt;&gt;""),AG$4&amp;"; ","")&amp;IF(AND(AH141="✓",AH$4&lt;&gt;""),AH$4&amp;"; ","")&amp;IF(AND(AI141="✓",AI$4&lt;&gt;""),AI$4&amp;"; ","")&amp;IF(AND(AJ141="✓",AJ$4&lt;&gt;""),AJ$4&amp;"; ","")&amp;IF(AND(AK141="✓",AK$4&lt;&gt;""),AK$4&amp;"; ","")&amp;IF(AND(AL141="✓",AL$4&lt;&gt;""),AL$4&amp;"; ","")&amp;IF(AND(AM141="✓",AM$4&lt;&gt;""),AM$4&amp;"; ","")&amp;IF(AND(AN141="✓",AN$4&lt;&gt;""),AN$4&amp;"; ","")&amp;IF(AND(AO141="✓",AO$4&lt;&gt;""),AO$4&amp;"; ","")&amp;IF(AND(AP141="✓",AP$4&lt;&gt;""),AP$4&amp;"; ","")&amp;IF(AND(AQ141="✓",AQ$4&lt;&gt;""),AQ$4&amp;"; ","")&amp;IF(AND(AR141="✓",AR$4&lt;&gt;""),AR$4&amp;"; ","")&amp;IF(AND(AS141="✓",AS$4&lt;&gt;""),AS$4&amp;"; ","")&amp;IF(AND(AT141="✓",AT$4&lt;&gt;""),AT$4&amp;"; ","")&amp;IF(AND(AU141="✓",AU$4&lt;&gt;""),AU$4&amp;"; ","")&amp;IF(AND(AV141="✓",AV$4&lt;&gt;""),AV$4&amp;"; ","")&amp;IF(AND(AW141="✓",AW$4&lt;&gt;""),AW$4&amp;"; ","")&amp;IF(AND(AX141="✓",AX$4&lt;&gt;""),AX$4&amp;"; ","")&amp;IF(AND(AY141="✓",AY$4&lt;&gt;""),AY$4&amp;"; ","")&amp;IF(AND(AZ141="✓",AZ$4&lt;&gt;""),AZ$4&amp;"; ","")&amp;IF(AND(BA141="✓",BA$4&lt;&gt;""),BA$4&amp;"; ","")&amp;IF(AND(BB141="✓",BB$4&lt;&gt;""),BB$4&amp;"; ","")&amp;IF(AND(BC141="✓",BC$4&lt;&gt;""),BC$4&amp;"; ","")&amp;IF(AND(BD141="✓",BD$4&lt;&gt;""),BD$4&amp;"; ","")&amp;IF(AND(BE141="✓",BE$4&lt;&gt;""),BE$4&amp;"; ","")&amp;IF(AND(BF141="✓",BF$4&lt;&gt;""),BF$4&amp;"; ","")&amp;IF(AND(BG141="✓",BG$4&lt;&gt;""),BG$4&amp;"; ","")&amp;IF(AND(BH141="✓",BH$4&lt;&gt;""),BH$4&amp;"; ","")&amp;IF(AND(BI141="✓",BI$4&lt;&gt;""),BI$4&amp;"; ","")&amp;IF(AND(BJ141="✓",BJ$4&lt;&gt;""),BJ$4&amp;"; ","")&amp;IF(AND(BK141="✓",BK$4&lt;&gt;""),BK$4&amp;"; ","")&amp;IF(AND(BL141="✓",BL$4&lt;&gt;""),BL$4&amp;"; ","")&amp;IF(AND(BM141="✓",BM$4&lt;&gt;""),BM$4&amp;"; ","")&amp;IF(AND(BN141="✓",BN$4&lt;&gt;""),BN$4&amp;"; ","")&amp;IF(AND(BO141="✓",BO$4&lt;&gt;""),BO$4&amp;"; ","")&amp;IF(AND(BP141="✓",BP$4&lt;&gt;""),BP$4&amp;"; ","")&amp;IF(AND(BQ141="✓",BQ$4&lt;&gt;""),BQ$4&amp;"; ","")&amp;IF(AND(BR141="✓",BR$4&lt;&gt;""),BR$4&amp;"; ","")&amp;IF(AND(BS141="✓",BS$4&lt;&gt;""),BS$4&amp;"; ","")&amp;IF(AND(BT141="✓",BT$4&lt;&gt;""),BT$4&amp;"; ","")&amp;IF(AND(BU141="✓",BU$4&lt;&gt;""),BU$4&amp;"; ","")&amp;IF(AND(BV141="✓",BV$4&lt;&gt;""),BV$4&amp;"; ","")&amp;IF(AND(BW141="✓",BW$4&lt;&gt;""),BW$4&amp;"; ","")&amp;IF(AND(BX141="✓",BX$4&lt;&gt;""),BX$4&amp;"; ","")&amp;IF(AND(BY141="✓",BY$4&lt;&gt;""),BY$4&amp;"; ","")&amp;IF(AND(BZ141="✓",BZ$4&lt;&gt;""),BZ$4&amp;"; ","")&amp;IF(AND(CA141="✓",CA$4&lt;&gt;""),CA$4&amp;"; ","")&amp;IF(AND(CB141="✓",CB$4&lt;&gt;""),CB$4&amp;"; ","")&amp;IF(AND(CC141="✓",CC$4&lt;&gt;""),CC$4&amp;"; ","")&amp;IF(AND(CD141="✓",CD$4&lt;&gt;""),CD$4&amp;"; ","")&amp;IF(AND(CE141="✓",CE$4&lt;&gt;""),CE$4&amp;"; ","")&amp;IF(AND(CF141="✓",CF$4&lt;&gt;""),CF$4&amp;"; ","")&amp;IF(AND(CG141="✓",CG$4&lt;&gt;""),CG$4&amp;"; ","")&amp;IF(AND(CH141="✓",CH$4&lt;&gt;""),CH$4&amp;"; ","")&amp;IF(AND(CI141="✓",CI$4&lt;&gt;""),CI$4&amp;"; ","")&amp;IF(AND(CJ141="✓",CJ$4&lt;&gt;""),CJ$4&amp;"; ","")&amp;IF(AND(CK141="✓",CK$4&lt;&gt;""),CK$4&amp;"; ","")&amp;IF(AND(CL141="✓",CL$4&lt;&gt;""),CL$4&amp;"; ","")&amp;IF(AND(CM141="✓",CM$4&lt;&gt;""),CM$4&amp;"; ","")&amp;IF(AND(CN141="✓",CN$4&lt;&gt;""),CN$4&amp;"; ","")&amp;IF(AND(CO141="✓",CO$4&lt;&gt;""),CO$4&amp;"; ","")</f>
        <v/>
      </c>
      <c r="CQ141" s="104" t="str">
        <f aca="false">IF($CP141="","",LEFT($CP141,LEN($CP141)-2))</f>
        <v/>
      </c>
      <c r="CR141" s="234" t="str">
        <f aca="false">IF($A141="","",COUNTIF($D141:$CO141,"✓"))</f>
        <v/>
      </c>
    </row>
    <row r="142" customFormat="false" ht="21.75" hidden="false" customHeight="true" outlineLevel="0" collapsed="false">
      <c r="A142" s="231" t="str">
        <f aca="false">IF(03_能力總表_Master!$A142="","",03_能力總表_Master!$A142)</f>
        <v/>
      </c>
      <c r="B142" s="166" t="str">
        <f aca="false">IF(03_能力總表_Master!$A142="","",03_能力總表_Master!$B142)</f>
        <v/>
      </c>
      <c r="C142" s="95" t="str">
        <f aca="false">IF(03_能力總表_Master!$A142="","",03_能力總表_Master!$E142)</f>
        <v/>
      </c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32"/>
      <c r="AQ142" s="232"/>
      <c r="AR142" s="232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232"/>
      <c r="BH142" s="232"/>
      <c r="BI142" s="232"/>
      <c r="BJ142" s="232"/>
      <c r="BK142" s="232"/>
      <c r="BL142" s="232"/>
      <c r="BM142" s="232"/>
      <c r="BN142" s="232"/>
      <c r="BO142" s="232"/>
      <c r="BP142" s="232"/>
      <c r="BQ142" s="232"/>
      <c r="BR142" s="232"/>
      <c r="BS142" s="232"/>
      <c r="BT142" s="232"/>
      <c r="BU142" s="232"/>
      <c r="BV142" s="232"/>
      <c r="BW142" s="232"/>
      <c r="BX142" s="232"/>
      <c r="BY142" s="232"/>
      <c r="BZ142" s="232"/>
      <c r="CA142" s="232"/>
      <c r="CB142" s="232"/>
      <c r="CC142" s="232"/>
      <c r="CD142" s="232"/>
      <c r="CE142" s="232"/>
      <c r="CF142" s="232"/>
      <c r="CG142" s="232"/>
      <c r="CH142" s="232"/>
      <c r="CI142" s="232"/>
      <c r="CJ142" s="232"/>
      <c r="CK142" s="232"/>
      <c r="CL142" s="232"/>
      <c r="CM142" s="232"/>
      <c r="CN142" s="232"/>
      <c r="CO142" s="232"/>
      <c r="CP142" s="233" t="str">
        <f aca="false">IF(AND(D142="✓",D$4&lt;&gt;""),D$4&amp;"; ","")&amp;IF(AND(E142="✓",E$4&lt;&gt;""),E$4&amp;"; ","")&amp;IF(AND(F142="✓",F$4&lt;&gt;""),F$4&amp;"; ","")&amp;IF(AND(G142="✓",G$4&lt;&gt;""),G$4&amp;"; ","")&amp;IF(AND(H142="✓",H$4&lt;&gt;""),H$4&amp;"; ","")&amp;IF(AND(I142="✓",I$4&lt;&gt;""),I$4&amp;"; ","")&amp;IF(AND(J142="✓",J$4&lt;&gt;""),J$4&amp;"; ","")&amp;IF(AND(K142="✓",K$4&lt;&gt;""),K$4&amp;"; ","")&amp;IF(AND(L142="✓",L$4&lt;&gt;""),L$4&amp;"; ","")&amp;IF(AND(M142="✓",M$4&lt;&gt;""),M$4&amp;"; ","")&amp;IF(AND(N142="✓",N$4&lt;&gt;""),N$4&amp;"; ","")&amp;IF(AND(O142="✓",O$4&lt;&gt;""),O$4&amp;"; ","")&amp;IF(AND(P142="✓",P$4&lt;&gt;""),P$4&amp;"; ","")&amp;IF(AND(Q142="✓",Q$4&lt;&gt;""),Q$4&amp;"; ","")&amp;IF(AND(R142="✓",R$4&lt;&gt;""),R$4&amp;"; ","")&amp;IF(AND(S142="✓",S$4&lt;&gt;""),S$4&amp;"; ","")&amp;IF(AND(T142="✓",T$4&lt;&gt;""),T$4&amp;"; ","")&amp;IF(AND(U142="✓",U$4&lt;&gt;""),U$4&amp;"; ","")&amp;IF(AND(V142="✓",V$4&lt;&gt;""),V$4&amp;"; ","")&amp;IF(AND(W142="✓",W$4&lt;&gt;""),W$4&amp;"; ","")&amp;IF(AND(X142="✓",X$4&lt;&gt;""),X$4&amp;"; ","")&amp;IF(AND(Y142="✓",Y$4&lt;&gt;""),Y$4&amp;"; ","")&amp;IF(AND(Z142="✓",Z$4&lt;&gt;""),Z$4&amp;"; ","")&amp;IF(AND(AA142="✓",AA$4&lt;&gt;""),AA$4&amp;"; ","")&amp;IF(AND(AB142="✓",AB$4&lt;&gt;""),AB$4&amp;"; ","")&amp;IF(AND(AC142="✓",AC$4&lt;&gt;""),AC$4&amp;"; ","")&amp;IF(AND(AD142="✓",AD$4&lt;&gt;""),AD$4&amp;"; ","")&amp;IF(AND(AE142="✓",AE$4&lt;&gt;""),AE$4&amp;"; ","")&amp;IF(AND(AF142="✓",AF$4&lt;&gt;""),AF$4&amp;"; ","")&amp;IF(AND(AG142="✓",AG$4&lt;&gt;""),AG$4&amp;"; ","")&amp;IF(AND(AH142="✓",AH$4&lt;&gt;""),AH$4&amp;"; ","")&amp;IF(AND(AI142="✓",AI$4&lt;&gt;""),AI$4&amp;"; ","")&amp;IF(AND(AJ142="✓",AJ$4&lt;&gt;""),AJ$4&amp;"; ","")&amp;IF(AND(AK142="✓",AK$4&lt;&gt;""),AK$4&amp;"; ","")&amp;IF(AND(AL142="✓",AL$4&lt;&gt;""),AL$4&amp;"; ","")&amp;IF(AND(AM142="✓",AM$4&lt;&gt;""),AM$4&amp;"; ","")&amp;IF(AND(AN142="✓",AN$4&lt;&gt;""),AN$4&amp;"; ","")&amp;IF(AND(AO142="✓",AO$4&lt;&gt;""),AO$4&amp;"; ","")&amp;IF(AND(AP142="✓",AP$4&lt;&gt;""),AP$4&amp;"; ","")&amp;IF(AND(AQ142="✓",AQ$4&lt;&gt;""),AQ$4&amp;"; ","")&amp;IF(AND(AR142="✓",AR$4&lt;&gt;""),AR$4&amp;"; ","")&amp;IF(AND(AS142="✓",AS$4&lt;&gt;""),AS$4&amp;"; ","")&amp;IF(AND(AT142="✓",AT$4&lt;&gt;""),AT$4&amp;"; ","")&amp;IF(AND(AU142="✓",AU$4&lt;&gt;""),AU$4&amp;"; ","")&amp;IF(AND(AV142="✓",AV$4&lt;&gt;""),AV$4&amp;"; ","")&amp;IF(AND(AW142="✓",AW$4&lt;&gt;""),AW$4&amp;"; ","")&amp;IF(AND(AX142="✓",AX$4&lt;&gt;""),AX$4&amp;"; ","")&amp;IF(AND(AY142="✓",AY$4&lt;&gt;""),AY$4&amp;"; ","")&amp;IF(AND(AZ142="✓",AZ$4&lt;&gt;""),AZ$4&amp;"; ","")&amp;IF(AND(BA142="✓",BA$4&lt;&gt;""),BA$4&amp;"; ","")&amp;IF(AND(BB142="✓",BB$4&lt;&gt;""),BB$4&amp;"; ","")&amp;IF(AND(BC142="✓",BC$4&lt;&gt;""),BC$4&amp;"; ","")&amp;IF(AND(BD142="✓",BD$4&lt;&gt;""),BD$4&amp;"; ","")&amp;IF(AND(BE142="✓",BE$4&lt;&gt;""),BE$4&amp;"; ","")&amp;IF(AND(BF142="✓",BF$4&lt;&gt;""),BF$4&amp;"; ","")&amp;IF(AND(BG142="✓",BG$4&lt;&gt;""),BG$4&amp;"; ","")&amp;IF(AND(BH142="✓",BH$4&lt;&gt;""),BH$4&amp;"; ","")&amp;IF(AND(BI142="✓",BI$4&lt;&gt;""),BI$4&amp;"; ","")&amp;IF(AND(BJ142="✓",BJ$4&lt;&gt;""),BJ$4&amp;"; ","")&amp;IF(AND(BK142="✓",BK$4&lt;&gt;""),BK$4&amp;"; ","")&amp;IF(AND(BL142="✓",BL$4&lt;&gt;""),BL$4&amp;"; ","")&amp;IF(AND(BM142="✓",BM$4&lt;&gt;""),BM$4&amp;"; ","")&amp;IF(AND(BN142="✓",BN$4&lt;&gt;""),BN$4&amp;"; ","")&amp;IF(AND(BO142="✓",BO$4&lt;&gt;""),BO$4&amp;"; ","")&amp;IF(AND(BP142="✓",BP$4&lt;&gt;""),BP$4&amp;"; ","")&amp;IF(AND(BQ142="✓",BQ$4&lt;&gt;""),BQ$4&amp;"; ","")&amp;IF(AND(BR142="✓",BR$4&lt;&gt;""),BR$4&amp;"; ","")&amp;IF(AND(BS142="✓",BS$4&lt;&gt;""),BS$4&amp;"; ","")&amp;IF(AND(BT142="✓",BT$4&lt;&gt;""),BT$4&amp;"; ","")&amp;IF(AND(BU142="✓",BU$4&lt;&gt;""),BU$4&amp;"; ","")&amp;IF(AND(BV142="✓",BV$4&lt;&gt;""),BV$4&amp;"; ","")&amp;IF(AND(BW142="✓",BW$4&lt;&gt;""),BW$4&amp;"; ","")&amp;IF(AND(BX142="✓",BX$4&lt;&gt;""),BX$4&amp;"; ","")&amp;IF(AND(BY142="✓",BY$4&lt;&gt;""),BY$4&amp;"; ","")&amp;IF(AND(BZ142="✓",BZ$4&lt;&gt;""),BZ$4&amp;"; ","")&amp;IF(AND(CA142="✓",CA$4&lt;&gt;""),CA$4&amp;"; ","")&amp;IF(AND(CB142="✓",CB$4&lt;&gt;""),CB$4&amp;"; ","")&amp;IF(AND(CC142="✓",CC$4&lt;&gt;""),CC$4&amp;"; ","")&amp;IF(AND(CD142="✓",CD$4&lt;&gt;""),CD$4&amp;"; ","")&amp;IF(AND(CE142="✓",CE$4&lt;&gt;""),CE$4&amp;"; ","")&amp;IF(AND(CF142="✓",CF$4&lt;&gt;""),CF$4&amp;"; ","")&amp;IF(AND(CG142="✓",CG$4&lt;&gt;""),CG$4&amp;"; ","")&amp;IF(AND(CH142="✓",CH$4&lt;&gt;""),CH$4&amp;"; ","")&amp;IF(AND(CI142="✓",CI$4&lt;&gt;""),CI$4&amp;"; ","")&amp;IF(AND(CJ142="✓",CJ$4&lt;&gt;""),CJ$4&amp;"; ","")&amp;IF(AND(CK142="✓",CK$4&lt;&gt;""),CK$4&amp;"; ","")&amp;IF(AND(CL142="✓",CL$4&lt;&gt;""),CL$4&amp;"; ","")&amp;IF(AND(CM142="✓",CM$4&lt;&gt;""),CM$4&amp;"; ","")&amp;IF(AND(CN142="✓",CN$4&lt;&gt;""),CN$4&amp;"; ","")&amp;IF(AND(CO142="✓",CO$4&lt;&gt;""),CO$4&amp;"; ","")</f>
        <v/>
      </c>
      <c r="CQ142" s="104" t="str">
        <f aca="false">IF($CP142="","",LEFT($CP142,LEN($CP142)-2))</f>
        <v/>
      </c>
      <c r="CR142" s="234" t="str">
        <f aca="false">IF($A142="","",COUNTIF($D142:$CO142,"✓"))</f>
        <v/>
      </c>
    </row>
    <row r="143" customFormat="false" ht="21.75" hidden="false" customHeight="true" outlineLevel="0" collapsed="false">
      <c r="A143" s="231" t="str">
        <f aca="false">IF(03_能力總表_Master!$A143="","",03_能力總表_Master!$A143)</f>
        <v/>
      </c>
      <c r="B143" s="166" t="str">
        <f aca="false">IF(03_能力總表_Master!$A143="","",03_能力總表_Master!$B143)</f>
        <v/>
      </c>
      <c r="C143" s="95" t="str">
        <f aca="false">IF(03_能力總表_Master!$A143="","",03_能力總表_Master!$E143)</f>
        <v/>
      </c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32"/>
      <c r="AQ143" s="232"/>
      <c r="AR143" s="232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232"/>
      <c r="BH143" s="232"/>
      <c r="BI143" s="232"/>
      <c r="BJ143" s="232"/>
      <c r="BK143" s="232"/>
      <c r="BL143" s="232"/>
      <c r="BM143" s="232"/>
      <c r="BN143" s="232"/>
      <c r="BO143" s="232"/>
      <c r="BP143" s="232"/>
      <c r="BQ143" s="232"/>
      <c r="BR143" s="232"/>
      <c r="BS143" s="232"/>
      <c r="BT143" s="232"/>
      <c r="BU143" s="232"/>
      <c r="BV143" s="232"/>
      <c r="BW143" s="232"/>
      <c r="BX143" s="232"/>
      <c r="BY143" s="232"/>
      <c r="BZ143" s="232"/>
      <c r="CA143" s="232"/>
      <c r="CB143" s="232"/>
      <c r="CC143" s="232"/>
      <c r="CD143" s="232"/>
      <c r="CE143" s="232"/>
      <c r="CF143" s="232"/>
      <c r="CG143" s="232"/>
      <c r="CH143" s="232"/>
      <c r="CI143" s="232"/>
      <c r="CJ143" s="232"/>
      <c r="CK143" s="232"/>
      <c r="CL143" s="232"/>
      <c r="CM143" s="232"/>
      <c r="CN143" s="232"/>
      <c r="CO143" s="232"/>
      <c r="CP143" s="233" t="str">
        <f aca="false">IF(AND(D143="✓",D$4&lt;&gt;""),D$4&amp;"; ","")&amp;IF(AND(E143="✓",E$4&lt;&gt;""),E$4&amp;"; ","")&amp;IF(AND(F143="✓",F$4&lt;&gt;""),F$4&amp;"; ","")&amp;IF(AND(G143="✓",G$4&lt;&gt;""),G$4&amp;"; ","")&amp;IF(AND(H143="✓",H$4&lt;&gt;""),H$4&amp;"; ","")&amp;IF(AND(I143="✓",I$4&lt;&gt;""),I$4&amp;"; ","")&amp;IF(AND(J143="✓",J$4&lt;&gt;""),J$4&amp;"; ","")&amp;IF(AND(K143="✓",K$4&lt;&gt;""),K$4&amp;"; ","")&amp;IF(AND(L143="✓",L$4&lt;&gt;""),L$4&amp;"; ","")&amp;IF(AND(M143="✓",M$4&lt;&gt;""),M$4&amp;"; ","")&amp;IF(AND(N143="✓",N$4&lt;&gt;""),N$4&amp;"; ","")&amp;IF(AND(O143="✓",O$4&lt;&gt;""),O$4&amp;"; ","")&amp;IF(AND(P143="✓",P$4&lt;&gt;""),P$4&amp;"; ","")&amp;IF(AND(Q143="✓",Q$4&lt;&gt;""),Q$4&amp;"; ","")&amp;IF(AND(R143="✓",R$4&lt;&gt;""),R$4&amp;"; ","")&amp;IF(AND(S143="✓",S$4&lt;&gt;""),S$4&amp;"; ","")&amp;IF(AND(T143="✓",T$4&lt;&gt;""),T$4&amp;"; ","")&amp;IF(AND(U143="✓",U$4&lt;&gt;""),U$4&amp;"; ","")&amp;IF(AND(V143="✓",V$4&lt;&gt;""),V$4&amp;"; ","")&amp;IF(AND(W143="✓",W$4&lt;&gt;""),W$4&amp;"; ","")&amp;IF(AND(X143="✓",X$4&lt;&gt;""),X$4&amp;"; ","")&amp;IF(AND(Y143="✓",Y$4&lt;&gt;""),Y$4&amp;"; ","")&amp;IF(AND(Z143="✓",Z$4&lt;&gt;""),Z$4&amp;"; ","")&amp;IF(AND(AA143="✓",AA$4&lt;&gt;""),AA$4&amp;"; ","")&amp;IF(AND(AB143="✓",AB$4&lt;&gt;""),AB$4&amp;"; ","")&amp;IF(AND(AC143="✓",AC$4&lt;&gt;""),AC$4&amp;"; ","")&amp;IF(AND(AD143="✓",AD$4&lt;&gt;""),AD$4&amp;"; ","")&amp;IF(AND(AE143="✓",AE$4&lt;&gt;""),AE$4&amp;"; ","")&amp;IF(AND(AF143="✓",AF$4&lt;&gt;""),AF$4&amp;"; ","")&amp;IF(AND(AG143="✓",AG$4&lt;&gt;""),AG$4&amp;"; ","")&amp;IF(AND(AH143="✓",AH$4&lt;&gt;""),AH$4&amp;"; ","")&amp;IF(AND(AI143="✓",AI$4&lt;&gt;""),AI$4&amp;"; ","")&amp;IF(AND(AJ143="✓",AJ$4&lt;&gt;""),AJ$4&amp;"; ","")&amp;IF(AND(AK143="✓",AK$4&lt;&gt;""),AK$4&amp;"; ","")&amp;IF(AND(AL143="✓",AL$4&lt;&gt;""),AL$4&amp;"; ","")&amp;IF(AND(AM143="✓",AM$4&lt;&gt;""),AM$4&amp;"; ","")&amp;IF(AND(AN143="✓",AN$4&lt;&gt;""),AN$4&amp;"; ","")&amp;IF(AND(AO143="✓",AO$4&lt;&gt;""),AO$4&amp;"; ","")&amp;IF(AND(AP143="✓",AP$4&lt;&gt;""),AP$4&amp;"; ","")&amp;IF(AND(AQ143="✓",AQ$4&lt;&gt;""),AQ$4&amp;"; ","")&amp;IF(AND(AR143="✓",AR$4&lt;&gt;""),AR$4&amp;"; ","")&amp;IF(AND(AS143="✓",AS$4&lt;&gt;""),AS$4&amp;"; ","")&amp;IF(AND(AT143="✓",AT$4&lt;&gt;""),AT$4&amp;"; ","")&amp;IF(AND(AU143="✓",AU$4&lt;&gt;""),AU$4&amp;"; ","")&amp;IF(AND(AV143="✓",AV$4&lt;&gt;""),AV$4&amp;"; ","")&amp;IF(AND(AW143="✓",AW$4&lt;&gt;""),AW$4&amp;"; ","")&amp;IF(AND(AX143="✓",AX$4&lt;&gt;""),AX$4&amp;"; ","")&amp;IF(AND(AY143="✓",AY$4&lt;&gt;""),AY$4&amp;"; ","")&amp;IF(AND(AZ143="✓",AZ$4&lt;&gt;""),AZ$4&amp;"; ","")&amp;IF(AND(BA143="✓",BA$4&lt;&gt;""),BA$4&amp;"; ","")&amp;IF(AND(BB143="✓",BB$4&lt;&gt;""),BB$4&amp;"; ","")&amp;IF(AND(BC143="✓",BC$4&lt;&gt;""),BC$4&amp;"; ","")&amp;IF(AND(BD143="✓",BD$4&lt;&gt;""),BD$4&amp;"; ","")&amp;IF(AND(BE143="✓",BE$4&lt;&gt;""),BE$4&amp;"; ","")&amp;IF(AND(BF143="✓",BF$4&lt;&gt;""),BF$4&amp;"; ","")&amp;IF(AND(BG143="✓",BG$4&lt;&gt;""),BG$4&amp;"; ","")&amp;IF(AND(BH143="✓",BH$4&lt;&gt;""),BH$4&amp;"; ","")&amp;IF(AND(BI143="✓",BI$4&lt;&gt;""),BI$4&amp;"; ","")&amp;IF(AND(BJ143="✓",BJ$4&lt;&gt;""),BJ$4&amp;"; ","")&amp;IF(AND(BK143="✓",BK$4&lt;&gt;""),BK$4&amp;"; ","")&amp;IF(AND(BL143="✓",BL$4&lt;&gt;""),BL$4&amp;"; ","")&amp;IF(AND(BM143="✓",BM$4&lt;&gt;""),BM$4&amp;"; ","")&amp;IF(AND(BN143="✓",BN$4&lt;&gt;""),BN$4&amp;"; ","")&amp;IF(AND(BO143="✓",BO$4&lt;&gt;""),BO$4&amp;"; ","")&amp;IF(AND(BP143="✓",BP$4&lt;&gt;""),BP$4&amp;"; ","")&amp;IF(AND(BQ143="✓",BQ$4&lt;&gt;""),BQ$4&amp;"; ","")&amp;IF(AND(BR143="✓",BR$4&lt;&gt;""),BR$4&amp;"; ","")&amp;IF(AND(BS143="✓",BS$4&lt;&gt;""),BS$4&amp;"; ","")&amp;IF(AND(BT143="✓",BT$4&lt;&gt;""),BT$4&amp;"; ","")&amp;IF(AND(BU143="✓",BU$4&lt;&gt;""),BU$4&amp;"; ","")&amp;IF(AND(BV143="✓",BV$4&lt;&gt;""),BV$4&amp;"; ","")&amp;IF(AND(BW143="✓",BW$4&lt;&gt;""),BW$4&amp;"; ","")&amp;IF(AND(BX143="✓",BX$4&lt;&gt;""),BX$4&amp;"; ","")&amp;IF(AND(BY143="✓",BY$4&lt;&gt;""),BY$4&amp;"; ","")&amp;IF(AND(BZ143="✓",BZ$4&lt;&gt;""),BZ$4&amp;"; ","")&amp;IF(AND(CA143="✓",CA$4&lt;&gt;""),CA$4&amp;"; ","")&amp;IF(AND(CB143="✓",CB$4&lt;&gt;""),CB$4&amp;"; ","")&amp;IF(AND(CC143="✓",CC$4&lt;&gt;""),CC$4&amp;"; ","")&amp;IF(AND(CD143="✓",CD$4&lt;&gt;""),CD$4&amp;"; ","")&amp;IF(AND(CE143="✓",CE$4&lt;&gt;""),CE$4&amp;"; ","")&amp;IF(AND(CF143="✓",CF$4&lt;&gt;""),CF$4&amp;"; ","")&amp;IF(AND(CG143="✓",CG$4&lt;&gt;""),CG$4&amp;"; ","")&amp;IF(AND(CH143="✓",CH$4&lt;&gt;""),CH$4&amp;"; ","")&amp;IF(AND(CI143="✓",CI$4&lt;&gt;""),CI$4&amp;"; ","")&amp;IF(AND(CJ143="✓",CJ$4&lt;&gt;""),CJ$4&amp;"; ","")&amp;IF(AND(CK143="✓",CK$4&lt;&gt;""),CK$4&amp;"; ","")&amp;IF(AND(CL143="✓",CL$4&lt;&gt;""),CL$4&amp;"; ","")&amp;IF(AND(CM143="✓",CM$4&lt;&gt;""),CM$4&amp;"; ","")&amp;IF(AND(CN143="✓",CN$4&lt;&gt;""),CN$4&amp;"; ","")&amp;IF(AND(CO143="✓",CO$4&lt;&gt;""),CO$4&amp;"; ","")</f>
        <v/>
      </c>
      <c r="CQ143" s="104" t="str">
        <f aca="false">IF($CP143="","",LEFT($CP143,LEN($CP143)-2))</f>
        <v/>
      </c>
      <c r="CR143" s="234" t="str">
        <f aca="false">IF($A143="","",COUNTIF($D143:$CO143,"✓"))</f>
        <v/>
      </c>
    </row>
    <row r="144" customFormat="false" ht="21.75" hidden="false" customHeight="true" outlineLevel="0" collapsed="false">
      <c r="A144" s="231" t="str">
        <f aca="false">IF(03_能力總表_Master!$A144="","",03_能力總表_Master!$A144)</f>
        <v/>
      </c>
      <c r="B144" s="166" t="str">
        <f aca="false">IF(03_能力總表_Master!$A144="","",03_能力總表_Master!$B144)</f>
        <v/>
      </c>
      <c r="C144" s="95" t="str">
        <f aca="false">IF(03_能力總表_Master!$A144="","",03_能力總表_Master!$E144)</f>
        <v/>
      </c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32"/>
      <c r="AQ144" s="232"/>
      <c r="AR144" s="232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232"/>
      <c r="BH144" s="232"/>
      <c r="BI144" s="232"/>
      <c r="BJ144" s="232"/>
      <c r="BK144" s="232"/>
      <c r="BL144" s="232"/>
      <c r="BM144" s="232"/>
      <c r="BN144" s="232"/>
      <c r="BO144" s="232"/>
      <c r="BP144" s="232"/>
      <c r="BQ144" s="232"/>
      <c r="BR144" s="232"/>
      <c r="BS144" s="232"/>
      <c r="BT144" s="232"/>
      <c r="BU144" s="232"/>
      <c r="BV144" s="232"/>
      <c r="BW144" s="232"/>
      <c r="BX144" s="232"/>
      <c r="BY144" s="232"/>
      <c r="BZ144" s="232"/>
      <c r="CA144" s="232"/>
      <c r="CB144" s="232"/>
      <c r="CC144" s="232"/>
      <c r="CD144" s="232"/>
      <c r="CE144" s="232"/>
      <c r="CF144" s="232"/>
      <c r="CG144" s="232"/>
      <c r="CH144" s="232"/>
      <c r="CI144" s="232"/>
      <c r="CJ144" s="232"/>
      <c r="CK144" s="232"/>
      <c r="CL144" s="232"/>
      <c r="CM144" s="232"/>
      <c r="CN144" s="232"/>
      <c r="CO144" s="232"/>
      <c r="CP144" s="233" t="str">
        <f aca="false">IF(AND(D144="✓",D$4&lt;&gt;""),D$4&amp;"; ","")&amp;IF(AND(E144="✓",E$4&lt;&gt;""),E$4&amp;"; ","")&amp;IF(AND(F144="✓",F$4&lt;&gt;""),F$4&amp;"; ","")&amp;IF(AND(G144="✓",G$4&lt;&gt;""),G$4&amp;"; ","")&amp;IF(AND(H144="✓",H$4&lt;&gt;""),H$4&amp;"; ","")&amp;IF(AND(I144="✓",I$4&lt;&gt;""),I$4&amp;"; ","")&amp;IF(AND(J144="✓",J$4&lt;&gt;""),J$4&amp;"; ","")&amp;IF(AND(K144="✓",K$4&lt;&gt;""),K$4&amp;"; ","")&amp;IF(AND(L144="✓",L$4&lt;&gt;""),L$4&amp;"; ","")&amp;IF(AND(M144="✓",M$4&lt;&gt;""),M$4&amp;"; ","")&amp;IF(AND(N144="✓",N$4&lt;&gt;""),N$4&amp;"; ","")&amp;IF(AND(O144="✓",O$4&lt;&gt;""),O$4&amp;"; ","")&amp;IF(AND(P144="✓",P$4&lt;&gt;""),P$4&amp;"; ","")&amp;IF(AND(Q144="✓",Q$4&lt;&gt;""),Q$4&amp;"; ","")&amp;IF(AND(R144="✓",R$4&lt;&gt;""),R$4&amp;"; ","")&amp;IF(AND(S144="✓",S$4&lt;&gt;""),S$4&amp;"; ","")&amp;IF(AND(T144="✓",T$4&lt;&gt;""),T$4&amp;"; ","")&amp;IF(AND(U144="✓",U$4&lt;&gt;""),U$4&amp;"; ","")&amp;IF(AND(V144="✓",V$4&lt;&gt;""),V$4&amp;"; ","")&amp;IF(AND(W144="✓",W$4&lt;&gt;""),W$4&amp;"; ","")&amp;IF(AND(X144="✓",X$4&lt;&gt;""),X$4&amp;"; ","")&amp;IF(AND(Y144="✓",Y$4&lt;&gt;""),Y$4&amp;"; ","")&amp;IF(AND(Z144="✓",Z$4&lt;&gt;""),Z$4&amp;"; ","")&amp;IF(AND(AA144="✓",AA$4&lt;&gt;""),AA$4&amp;"; ","")&amp;IF(AND(AB144="✓",AB$4&lt;&gt;""),AB$4&amp;"; ","")&amp;IF(AND(AC144="✓",AC$4&lt;&gt;""),AC$4&amp;"; ","")&amp;IF(AND(AD144="✓",AD$4&lt;&gt;""),AD$4&amp;"; ","")&amp;IF(AND(AE144="✓",AE$4&lt;&gt;""),AE$4&amp;"; ","")&amp;IF(AND(AF144="✓",AF$4&lt;&gt;""),AF$4&amp;"; ","")&amp;IF(AND(AG144="✓",AG$4&lt;&gt;""),AG$4&amp;"; ","")&amp;IF(AND(AH144="✓",AH$4&lt;&gt;""),AH$4&amp;"; ","")&amp;IF(AND(AI144="✓",AI$4&lt;&gt;""),AI$4&amp;"; ","")&amp;IF(AND(AJ144="✓",AJ$4&lt;&gt;""),AJ$4&amp;"; ","")&amp;IF(AND(AK144="✓",AK$4&lt;&gt;""),AK$4&amp;"; ","")&amp;IF(AND(AL144="✓",AL$4&lt;&gt;""),AL$4&amp;"; ","")&amp;IF(AND(AM144="✓",AM$4&lt;&gt;""),AM$4&amp;"; ","")&amp;IF(AND(AN144="✓",AN$4&lt;&gt;""),AN$4&amp;"; ","")&amp;IF(AND(AO144="✓",AO$4&lt;&gt;""),AO$4&amp;"; ","")&amp;IF(AND(AP144="✓",AP$4&lt;&gt;""),AP$4&amp;"; ","")&amp;IF(AND(AQ144="✓",AQ$4&lt;&gt;""),AQ$4&amp;"; ","")&amp;IF(AND(AR144="✓",AR$4&lt;&gt;""),AR$4&amp;"; ","")&amp;IF(AND(AS144="✓",AS$4&lt;&gt;""),AS$4&amp;"; ","")&amp;IF(AND(AT144="✓",AT$4&lt;&gt;""),AT$4&amp;"; ","")&amp;IF(AND(AU144="✓",AU$4&lt;&gt;""),AU$4&amp;"; ","")&amp;IF(AND(AV144="✓",AV$4&lt;&gt;""),AV$4&amp;"; ","")&amp;IF(AND(AW144="✓",AW$4&lt;&gt;""),AW$4&amp;"; ","")&amp;IF(AND(AX144="✓",AX$4&lt;&gt;""),AX$4&amp;"; ","")&amp;IF(AND(AY144="✓",AY$4&lt;&gt;""),AY$4&amp;"; ","")&amp;IF(AND(AZ144="✓",AZ$4&lt;&gt;""),AZ$4&amp;"; ","")&amp;IF(AND(BA144="✓",BA$4&lt;&gt;""),BA$4&amp;"; ","")&amp;IF(AND(BB144="✓",BB$4&lt;&gt;""),BB$4&amp;"; ","")&amp;IF(AND(BC144="✓",BC$4&lt;&gt;""),BC$4&amp;"; ","")&amp;IF(AND(BD144="✓",BD$4&lt;&gt;""),BD$4&amp;"; ","")&amp;IF(AND(BE144="✓",BE$4&lt;&gt;""),BE$4&amp;"; ","")&amp;IF(AND(BF144="✓",BF$4&lt;&gt;""),BF$4&amp;"; ","")&amp;IF(AND(BG144="✓",BG$4&lt;&gt;""),BG$4&amp;"; ","")&amp;IF(AND(BH144="✓",BH$4&lt;&gt;""),BH$4&amp;"; ","")&amp;IF(AND(BI144="✓",BI$4&lt;&gt;""),BI$4&amp;"; ","")&amp;IF(AND(BJ144="✓",BJ$4&lt;&gt;""),BJ$4&amp;"; ","")&amp;IF(AND(BK144="✓",BK$4&lt;&gt;""),BK$4&amp;"; ","")&amp;IF(AND(BL144="✓",BL$4&lt;&gt;""),BL$4&amp;"; ","")&amp;IF(AND(BM144="✓",BM$4&lt;&gt;""),BM$4&amp;"; ","")&amp;IF(AND(BN144="✓",BN$4&lt;&gt;""),BN$4&amp;"; ","")&amp;IF(AND(BO144="✓",BO$4&lt;&gt;""),BO$4&amp;"; ","")&amp;IF(AND(BP144="✓",BP$4&lt;&gt;""),BP$4&amp;"; ","")&amp;IF(AND(BQ144="✓",BQ$4&lt;&gt;""),BQ$4&amp;"; ","")&amp;IF(AND(BR144="✓",BR$4&lt;&gt;""),BR$4&amp;"; ","")&amp;IF(AND(BS144="✓",BS$4&lt;&gt;""),BS$4&amp;"; ","")&amp;IF(AND(BT144="✓",BT$4&lt;&gt;""),BT$4&amp;"; ","")&amp;IF(AND(BU144="✓",BU$4&lt;&gt;""),BU$4&amp;"; ","")&amp;IF(AND(BV144="✓",BV$4&lt;&gt;""),BV$4&amp;"; ","")&amp;IF(AND(BW144="✓",BW$4&lt;&gt;""),BW$4&amp;"; ","")&amp;IF(AND(BX144="✓",BX$4&lt;&gt;""),BX$4&amp;"; ","")&amp;IF(AND(BY144="✓",BY$4&lt;&gt;""),BY$4&amp;"; ","")&amp;IF(AND(BZ144="✓",BZ$4&lt;&gt;""),BZ$4&amp;"; ","")&amp;IF(AND(CA144="✓",CA$4&lt;&gt;""),CA$4&amp;"; ","")&amp;IF(AND(CB144="✓",CB$4&lt;&gt;""),CB$4&amp;"; ","")&amp;IF(AND(CC144="✓",CC$4&lt;&gt;""),CC$4&amp;"; ","")&amp;IF(AND(CD144="✓",CD$4&lt;&gt;""),CD$4&amp;"; ","")&amp;IF(AND(CE144="✓",CE$4&lt;&gt;""),CE$4&amp;"; ","")&amp;IF(AND(CF144="✓",CF$4&lt;&gt;""),CF$4&amp;"; ","")&amp;IF(AND(CG144="✓",CG$4&lt;&gt;""),CG$4&amp;"; ","")&amp;IF(AND(CH144="✓",CH$4&lt;&gt;""),CH$4&amp;"; ","")&amp;IF(AND(CI144="✓",CI$4&lt;&gt;""),CI$4&amp;"; ","")&amp;IF(AND(CJ144="✓",CJ$4&lt;&gt;""),CJ$4&amp;"; ","")&amp;IF(AND(CK144="✓",CK$4&lt;&gt;""),CK$4&amp;"; ","")&amp;IF(AND(CL144="✓",CL$4&lt;&gt;""),CL$4&amp;"; ","")&amp;IF(AND(CM144="✓",CM$4&lt;&gt;""),CM$4&amp;"; ","")&amp;IF(AND(CN144="✓",CN$4&lt;&gt;""),CN$4&amp;"; ","")&amp;IF(AND(CO144="✓",CO$4&lt;&gt;""),CO$4&amp;"; ","")</f>
        <v/>
      </c>
      <c r="CQ144" s="104" t="str">
        <f aca="false">IF($CP144="","",LEFT($CP144,LEN($CP144)-2))</f>
        <v/>
      </c>
      <c r="CR144" s="234" t="str">
        <f aca="false">IF($A144="","",COUNTIF($D144:$CO144,"✓"))</f>
        <v/>
      </c>
    </row>
    <row r="145" customFormat="false" ht="21.75" hidden="false" customHeight="true" outlineLevel="0" collapsed="false">
      <c r="A145" s="231" t="str">
        <f aca="false">IF(03_能力總表_Master!$A145="","",03_能力總表_Master!$A145)</f>
        <v/>
      </c>
      <c r="B145" s="166" t="str">
        <f aca="false">IF(03_能力總表_Master!$A145="","",03_能力總表_Master!$B145)</f>
        <v/>
      </c>
      <c r="C145" s="95" t="str">
        <f aca="false">IF(03_能力總表_Master!$A145="","",03_能力總表_Master!$E145)</f>
        <v/>
      </c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32"/>
      <c r="AQ145" s="232"/>
      <c r="AR145" s="232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232"/>
      <c r="BH145" s="232"/>
      <c r="BI145" s="232"/>
      <c r="BJ145" s="232"/>
      <c r="BK145" s="232"/>
      <c r="BL145" s="232"/>
      <c r="BM145" s="232"/>
      <c r="BN145" s="232"/>
      <c r="BO145" s="232"/>
      <c r="BP145" s="232"/>
      <c r="BQ145" s="232"/>
      <c r="BR145" s="232"/>
      <c r="BS145" s="232"/>
      <c r="BT145" s="232"/>
      <c r="BU145" s="232"/>
      <c r="BV145" s="232"/>
      <c r="BW145" s="232"/>
      <c r="BX145" s="232"/>
      <c r="BY145" s="232"/>
      <c r="BZ145" s="232"/>
      <c r="CA145" s="232"/>
      <c r="CB145" s="232"/>
      <c r="CC145" s="232"/>
      <c r="CD145" s="232"/>
      <c r="CE145" s="232"/>
      <c r="CF145" s="232"/>
      <c r="CG145" s="232"/>
      <c r="CH145" s="232"/>
      <c r="CI145" s="232"/>
      <c r="CJ145" s="232"/>
      <c r="CK145" s="232"/>
      <c r="CL145" s="232"/>
      <c r="CM145" s="232"/>
      <c r="CN145" s="232"/>
      <c r="CO145" s="232"/>
      <c r="CP145" s="233" t="str">
        <f aca="false">IF(AND(D145="✓",D$4&lt;&gt;""),D$4&amp;"; ","")&amp;IF(AND(E145="✓",E$4&lt;&gt;""),E$4&amp;"; ","")&amp;IF(AND(F145="✓",F$4&lt;&gt;""),F$4&amp;"; ","")&amp;IF(AND(G145="✓",G$4&lt;&gt;""),G$4&amp;"; ","")&amp;IF(AND(H145="✓",H$4&lt;&gt;""),H$4&amp;"; ","")&amp;IF(AND(I145="✓",I$4&lt;&gt;""),I$4&amp;"; ","")&amp;IF(AND(J145="✓",J$4&lt;&gt;""),J$4&amp;"; ","")&amp;IF(AND(K145="✓",K$4&lt;&gt;""),K$4&amp;"; ","")&amp;IF(AND(L145="✓",L$4&lt;&gt;""),L$4&amp;"; ","")&amp;IF(AND(M145="✓",M$4&lt;&gt;""),M$4&amp;"; ","")&amp;IF(AND(N145="✓",N$4&lt;&gt;""),N$4&amp;"; ","")&amp;IF(AND(O145="✓",O$4&lt;&gt;""),O$4&amp;"; ","")&amp;IF(AND(P145="✓",P$4&lt;&gt;""),P$4&amp;"; ","")&amp;IF(AND(Q145="✓",Q$4&lt;&gt;""),Q$4&amp;"; ","")&amp;IF(AND(R145="✓",R$4&lt;&gt;""),R$4&amp;"; ","")&amp;IF(AND(S145="✓",S$4&lt;&gt;""),S$4&amp;"; ","")&amp;IF(AND(T145="✓",T$4&lt;&gt;""),T$4&amp;"; ","")&amp;IF(AND(U145="✓",U$4&lt;&gt;""),U$4&amp;"; ","")&amp;IF(AND(V145="✓",V$4&lt;&gt;""),V$4&amp;"; ","")&amp;IF(AND(W145="✓",W$4&lt;&gt;""),W$4&amp;"; ","")&amp;IF(AND(X145="✓",X$4&lt;&gt;""),X$4&amp;"; ","")&amp;IF(AND(Y145="✓",Y$4&lt;&gt;""),Y$4&amp;"; ","")&amp;IF(AND(Z145="✓",Z$4&lt;&gt;""),Z$4&amp;"; ","")&amp;IF(AND(AA145="✓",AA$4&lt;&gt;""),AA$4&amp;"; ","")&amp;IF(AND(AB145="✓",AB$4&lt;&gt;""),AB$4&amp;"; ","")&amp;IF(AND(AC145="✓",AC$4&lt;&gt;""),AC$4&amp;"; ","")&amp;IF(AND(AD145="✓",AD$4&lt;&gt;""),AD$4&amp;"; ","")&amp;IF(AND(AE145="✓",AE$4&lt;&gt;""),AE$4&amp;"; ","")&amp;IF(AND(AF145="✓",AF$4&lt;&gt;""),AF$4&amp;"; ","")&amp;IF(AND(AG145="✓",AG$4&lt;&gt;""),AG$4&amp;"; ","")&amp;IF(AND(AH145="✓",AH$4&lt;&gt;""),AH$4&amp;"; ","")&amp;IF(AND(AI145="✓",AI$4&lt;&gt;""),AI$4&amp;"; ","")&amp;IF(AND(AJ145="✓",AJ$4&lt;&gt;""),AJ$4&amp;"; ","")&amp;IF(AND(AK145="✓",AK$4&lt;&gt;""),AK$4&amp;"; ","")&amp;IF(AND(AL145="✓",AL$4&lt;&gt;""),AL$4&amp;"; ","")&amp;IF(AND(AM145="✓",AM$4&lt;&gt;""),AM$4&amp;"; ","")&amp;IF(AND(AN145="✓",AN$4&lt;&gt;""),AN$4&amp;"; ","")&amp;IF(AND(AO145="✓",AO$4&lt;&gt;""),AO$4&amp;"; ","")&amp;IF(AND(AP145="✓",AP$4&lt;&gt;""),AP$4&amp;"; ","")&amp;IF(AND(AQ145="✓",AQ$4&lt;&gt;""),AQ$4&amp;"; ","")&amp;IF(AND(AR145="✓",AR$4&lt;&gt;""),AR$4&amp;"; ","")&amp;IF(AND(AS145="✓",AS$4&lt;&gt;""),AS$4&amp;"; ","")&amp;IF(AND(AT145="✓",AT$4&lt;&gt;""),AT$4&amp;"; ","")&amp;IF(AND(AU145="✓",AU$4&lt;&gt;""),AU$4&amp;"; ","")&amp;IF(AND(AV145="✓",AV$4&lt;&gt;""),AV$4&amp;"; ","")&amp;IF(AND(AW145="✓",AW$4&lt;&gt;""),AW$4&amp;"; ","")&amp;IF(AND(AX145="✓",AX$4&lt;&gt;""),AX$4&amp;"; ","")&amp;IF(AND(AY145="✓",AY$4&lt;&gt;""),AY$4&amp;"; ","")&amp;IF(AND(AZ145="✓",AZ$4&lt;&gt;""),AZ$4&amp;"; ","")&amp;IF(AND(BA145="✓",BA$4&lt;&gt;""),BA$4&amp;"; ","")&amp;IF(AND(BB145="✓",BB$4&lt;&gt;""),BB$4&amp;"; ","")&amp;IF(AND(BC145="✓",BC$4&lt;&gt;""),BC$4&amp;"; ","")&amp;IF(AND(BD145="✓",BD$4&lt;&gt;""),BD$4&amp;"; ","")&amp;IF(AND(BE145="✓",BE$4&lt;&gt;""),BE$4&amp;"; ","")&amp;IF(AND(BF145="✓",BF$4&lt;&gt;""),BF$4&amp;"; ","")&amp;IF(AND(BG145="✓",BG$4&lt;&gt;""),BG$4&amp;"; ","")&amp;IF(AND(BH145="✓",BH$4&lt;&gt;""),BH$4&amp;"; ","")&amp;IF(AND(BI145="✓",BI$4&lt;&gt;""),BI$4&amp;"; ","")&amp;IF(AND(BJ145="✓",BJ$4&lt;&gt;""),BJ$4&amp;"; ","")&amp;IF(AND(BK145="✓",BK$4&lt;&gt;""),BK$4&amp;"; ","")&amp;IF(AND(BL145="✓",BL$4&lt;&gt;""),BL$4&amp;"; ","")&amp;IF(AND(BM145="✓",BM$4&lt;&gt;""),BM$4&amp;"; ","")&amp;IF(AND(BN145="✓",BN$4&lt;&gt;""),BN$4&amp;"; ","")&amp;IF(AND(BO145="✓",BO$4&lt;&gt;""),BO$4&amp;"; ","")&amp;IF(AND(BP145="✓",BP$4&lt;&gt;""),BP$4&amp;"; ","")&amp;IF(AND(BQ145="✓",BQ$4&lt;&gt;""),BQ$4&amp;"; ","")&amp;IF(AND(BR145="✓",BR$4&lt;&gt;""),BR$4&amp;"; ","")&amp;IF(AND(BS145="✓",BS$4&lt;&gt;""),BS$4&amp;"; ","")&amp;IF(AND(BT145="✓",BT$4&lt;&gt;""),BT$4&amp;"; ","")&amp;IF(AND(BU145="✓",BU$4&lt;&gt;""),BU$4&amp;"; ","")&amp;IF(AND(BV145="✓",BV$4&lt;&gt;""),BV$4&amp;"; ","")&amp;IF(AND(BW145="✓",BW$4&lt;&gt;""),BW$4&amp;"; ","")&amp;IF(AND(BX145="✓",BX$4&lt;&gt;""),BX$4&amp;"; ","")&amp;IF(AND(BY145="✓",BY$4&lt;&gt;""),BY$4&amp;"; ","")&amp;IF(AND(BZ145="✓",BZ$4&lt;&gt;""),BZ$4&amp;"; ","")&amp;IF(AND(CA145="✓",CA$4&lt;&gt;""),CA$4&amp;"; ","")&amp;IF(AND(CB145="✓",CB$4&lt;&gt;""),CB$4&amp;"; ","")&amp;IF(AND(CC145="✓",CC$4&lt;&gt;""),CC$4&amp;"; ","")&amp;IF(AND(CD145="✓",CD$4&lt;&gt;""),CD$4&amp;"; ","")&amp;IF(AND(CE145="✓",CE$4&lt;&gt;""),CE$4&amp;"; ","")&amp;IF(AND(CF145="✓",CF$4&lt;&gt;""),CF$4&amp;"; ","")&amp;IF(AND(CG145="✓",CG$4&lt;&gt;""),CG$4&amp;"; ","")&amp;IF(AND(CH145="✓",CH$4&lt;&gt;""),CH$4&amp;"; ","")&amp;IF(AND(CI145="✓",CI$4&lt;&gt;""),CI$4&amp;"; ","")&amp;IF(AND(CJ145="✓",CJ$4&lt;&gt;""),CJ$4&amp;"; ","")&amp;IF(AND(CK145="✓",CK$4&lt;&gt;""),CK$4&amp;"; ","")&amp;IF(AND(CL145="✓",CL$4&lt;&gt;""),CL$4&amp;"; ","")&amp;IF(AND(CM145="✓",CM$4&lt;&gt;""),CM$4&amp;"; ","")&amp;IF(AND(CN145="✓",CN$4&lt;&gt;""),CN$4&amp;"; ","")&amp;IF(AND(CO145="✓",CO$4&lt;&gt;""),CO$4&amp;"; ","")</f>
        <v/>
      </c>
      <c r="CQ145" s="104" t="str">
        <f aca="false">IF($CP145="","",LEFT($CP145,LEN($CP145)-2))</f>
        <v/>
      </c>
      <c r="CR145" s="234" t="str">
        <f aca="false">IF($A145="","",COUNTIF($D145:$CO145,"✓"))</f>
        <v/>
      </c>
    </row>
    <row r="146" customFormat="false" ht="21.75" hidden="false" customHeight="true" outlineLevel="0" collapsed="false">
      <c r="A146" s="231" t="str">
        <f aca="false">IF(03_能力總表_Master!$A146="","",03_能力總表_Master!$A146)</f>
        <v/>
      </c>
      <c r="B146" s="166" t="str">
        <f aca="false">IF(03_能力總表_Master!$A146="","",03_能力總表_Master!$B146)</f>
        <v/>
      </c>
      <c r="C146" s="95" t="str">
        <f aca="false">IF(03_能力總表_Master!$A146="","",03_能力總表_Master!$E146)</f>
        <v/>
      </c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32"/>
      <c r="AQ146" s="232"/>
      <c r="AR146" s="232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232"/>
      <c r="BH146" s="232"/>
      <c r="BI146" s="232"/>
      <c r="BJ146" s="232"/>
      <c r="BK146" s="232"/>
      <c r="BL146" s="232"/>
      <c r="BM146" s="232"/>
      <c r="BN146" s="232"/>
      <c r="BO146" s="232"/>
      <c r="BP146" s="232"/>
      <c r="BQ146" s="232"/>
      <c r="BR146" s="232"/>
      <c r="BS146" s="232"/>
      <c r="BT146" s="232"/>
      <c r="BU146" s="232"/>
      <c r="BV146" s="232"/>
      <c r="BW146" s="232"/>
      <c r="BX146" s="232"/>
      <c r="BY146" s="232"/>
      <c r="BZ146" s="232"/>
      <c r="CA146" s="232"/>
      <c r="CB146" s="232"/>
      <c r="CC146" s="232"/>
      <c r="CD146" s="232"/>
      <c r="CE146" s="232"/>
      <c r="CF146" s="232"/>
      <c r="CG146" s="232"/>
      <c r="CH146" s="232"/>
      <c r="CI146" s="232"/>
      <c r="CJ146" s="232"/>
      <c r="CK146" s="232"/>
      <c r="CL146" s="232"/>
      <c r="CM146" s="232"/>
      <c r="CN146" s="232"/>
      <c r="CO146" s="232"/>
      <c r="CP146" s="233" t="str">
        <f aca="false">IF(AND(D146="✓",D$4&lt;&gt;""),D$4&amp;"; ","")&amp;IF(AND(E146="✓",E$4&lt;&gt;""),E$4&amp;"; ","")&amp;IF(AND(F146="✓",F$4&lt;&gt;""),F$4&amp;"; ","")&amp;IF(AND(G146="✓",G$4&lt;&gt;""),G$4&amp;"; ","")&amp;IF(AND(H146="✓",H$4&lt;&gt;""),H$4&amp;"; ","")&amp;IF(AND(I146="✓",I$4&lt;&gt;""),I$4&amp;"; ","")&amp;IF(AND(J146="✓",J$4&lt;&gt;""),J$4&amp;"; ","")&amp;IF(AND(K146="✓",K$4&lt;&gt;""),K$4&amp;"; ","")&amp;IF(AND(L146="✓",L$4&lt;&gt;""),L$4&amp;"; ","")&amp;IF(AND(M146="✓",M$4&lt;&gt;""),M$4&amp;"; ","")&amp;IF(AND(N146="✓",N$4&lt;&gt;""),N$4&amp;"; ","")&amp;IF(AND(O146="✓",O$4&lt;&gt;""),O$4&amp;"; ","")&amp;IF(AND(P146="✓",P$4&lt;&gt;""),P$4&amp;"; ","")&amp;IF(AND(Q146="✓",Q$4&lt;&gt;""),Q$4&amp;"; ","")&amp;IF(AND(R146="✓",R$4&lt;&gt;""),R$4&amp;"; ","")&amp;IF(AND(S146="✓",S$4&lt;&gt;""),S$4&amp;"; ","")&amp;IF(AND(T146="✓",T$4&lt;&gt;""),T$4&amp;"; ","")&amp;IF(AND(U146="✓",U$4&lt;&gt;""),U$4&amp;"; ","")&amp;IF(AND(V146="✓",V$4&lt;&gt;""),V$4&amp;"; ","")&amp;IF(AND(W146="✓",W$4&lt;&gt;""),W$4&amp;"; ","")&amp;IF(AND(X146="✓",X$4&lt;&gt;""),X$4&amp;"; ","")&amp;IF(AND(Y146="✓",Y$4&lt;&gt;""),Y$4&amp;"; ","")&amp;IF(AND(Z146="✓",Z$4&lt;&gt;""),Z$4&amp;"; ","")&amp;IF(AND(AA146="✓",AA$4&lt;&gt;""),AA$4&amp;"; ","")&amp;IF(AND(AB146="✓",AB$4&lt;&gt;""),AB$4&amp;"; ","")&amp;IF(AND(AC146="✓",AC$4&lt;&gt;""),AC$4&amp;"; ","")&amp;IF(AND(AD146="✓",AD$4&lt;&gt;""),AD$4&amp;"; ","")&amp;IF(AND(AE146="✓",AE$4&lt;&gt;""),AE$4&amp;"; ","")&amp;IF(AND(AF146="✓",AF$4&lt;&gt;""),AF$4&amp;"; ","")&amp;IF(AND(AG146="✓",AG$4&lt;&gt;""),AG$4&amp;"; ","")&amp;IF(AND(AH146="✓",AH$4&lt;&gt;""),AH$4&amp;"; ","")&amp;IF(AND(AI146="✓",AI$4&lt;&gt;""),AI$4&amp;"; ","")&amp;IF(AND(AJ146="✓",AJ$4&lt;&gt;""),AJ$4&amp;"; ","")&amp;IF(AND(AK146="✓",AK$4&lt;&gt;""),AK$4&amp;"; ","")&amp;IF(AND(AL146="✓",AL$4&lt;&gt;""),AL$4&amp;"; ","")&amp;IF(AND(AM146="✓",AM$4&lt;&gt;""),AM$4&amp;"; ","")&amp;IF(AND(AN146="✓",AN$4&lt;&gt;""),AN$4&amp;"; ","")&amp;IF(AND(AO146="✓",AO$4&lt;&gt;""),AO$4&amp;"; ","")&amp;IF(AND(AP146="✓",AP$4&lt;&gt;""),AP$4&amp;"; ","")&amp;IF(AND(AQ146="✓",AQ$4&lt;&gt;""),AQ$4&amp;"; ","")&amp;IF(AND(AR146="✓",AR$4&lt;&gt;""),AR$4&amp;"; ","")&amp;IF(AND(AS146="✓",AS$4&lt;&gt;""),AS$4&amp;"; ","")&amp;IF(AND(AT146="✓",AT$4&lt;&gt;""),AT$4&amp;"; ","")&amp;IF(AND(AU146="✓",AU$4&lt;&gt;""),AU$4&amp;"; ","")&amp;IF(AND(AV146="✓",AV$4&lt;&gt;""),AV$4&amp;"; ","")&amp;IF(AND(AW146="✓",AW$4&lt;&gt;""),AW$4&amp;"; ","")&amp;IF(AND(AX146="✓",AX$4&lt;&gt;""),AX$4&amp;"; ","")&amp;IF(AND(AY146="✓",AY$4&lt;&gt;""),AY$4&amp;"; ","")&amp;IF(AND(AZ146="✓",AZ$4&lt;&gt;""),AZ$4&amp;"; ","")&amp;IF(AND(BA146="✓",BA$4&lt;&gt;""),BA$4&amp;"; ","")&amp;IF(AND(BB146="✓",BB$4&lt;&gt;""),BB$4&amp;"; ","")&amp;IF(AND(BC146="✓",BC$4&lt;&gt;""),BC$4&amp;"; ","")&amp;IF(AND(BD146="✓",BD$4&lt;&gt;""),BD$4&amp;"; ","")&amp;IF(AND(BE146="✓",BE$4&lt;&gt;""),BE$4&amp;"; ","")&amp;IF(AND(BF146="✓",BF$4&lt;&gt;""),BF$4&amp;"; ","")&amp;IF(AND(BG146="✓",BG$4&lt;&gt;""),BG$4&amp;"; ","")&amp;IF(AND(BH146="✓",BH$4&lt;&gt;""),BH$4&amp;"; ","")&amp;IF(AND(BI146="✓",BI$4&lt;&gt;""),BI$4&amp;"; ","")&amp;IF(AND(BJ146="✓",BJ$4&lt;&gt;""),BJ$4&amp;"; ","")&amp;IF(AND(BK146="✓",BK$4&lt;&gt;""),BK$4&amp;"; ","")&amp;IF(AND(BL146="✓",BL$4&lt;&gt;""),BL$4&amp;"; ","")&amp;IF(AND(BM146="✓",BM$4&lt;&gt;""),BM$4&amp;"; ","")&amp;IF(AND(BN146="✓",BN$4&lt;&gt;""),BN$4&amp;"; ","")&amp;IF(AND(BO146="✓",BO$4&lt;&gt;""),BO$4&amp;"; ","")&amp;IF(AND(BP146="✓",BP$4&lt;&gt;""),BP$4&amp;"; ","")&amp;IF(AND(BQ146="✓",BQ$4&lt;&gt;""),BQ$4&amp;"; ","")&amp;IF(AND(BR146="✓",BR$4&lt;&gt;""),BR$4&amp;"; ","")&amp;IF(AND(BS146="✓",BS$4&lt;&gt;""),BS$4&amp;"; ","")&amp;IF(AND(BT146="✓",BT$4&lt;&gt;""),BT$4&amp;"; ","")&amp;IF(AND(BU146="✓",BU$4&lt;&gt;""),BU$4&amp;"; ","")&amp;IF(AND(BV146="✓",BV$4&lt;&gt;""),BV$4&amp;"; ","")&amp;IF(AND(BW146="✓",BW$4&lt;&gt;""),BW$4&amp;"; ","")&amp;IF(AND(BX146="✓",BX$4&lt;&gt;""),BX$4&amp;"; ","")&amp;IF(AND(BY146="✓",BY$4&lt;&gt;""),BY$4&amp;"; ","")&amp;IF(AND(BZ146="✓",BZ$4&lt;&gt;""),BZ$4&amp;"; ","")&amp;IF(AND(CA146="✓",CA$4&lt;&gt;""),CA$4&amp;"; ","")&amp;IF(AND(CB146="✓",CB$4&lt;&gt;""),CB$4&amp;"; ","")&amp;IF(AND(CC146="✓",CC$4&lt;&gt;""),CC$4&amp;"; ","")&amp;IF(AND(CD146="✓",CD$4&lt;&gt;""),CD$4&amp;"; ","")&amp;IF(AND(CE146="✓",CE$4&lt;&gt;""),CE$4&amp;"; ","")&amp;IF(AND(CF146="✓",CF$4&lt;&gt;""),CF$4&amp;"; ","")&amp;IF(AND(CG146="✓",CG$4&lt;&gt;""),CG$4&amp;"; ","")&amp;IF(AND(CH146="✓",CH$4&lt;&gt;""),CH$4&amp;"; ","")&amp;IF(AND(CI146="✓",CI$4&lt;&gt;""),CI$4&amp;"; ","")&amp;IF(AND(CJ146="✓",CJ$4&lt;&gt;""),CJ$4&amp;"; ","")&amp;IF(AND(CK146="✓",CK$4&lt;&gt;""),CK$4&amp;"; ","")&amp;IF(AND(CL146="✓",CL$4&lt;&gt;""),CL$4&amp;"; ","")&amp;IF(AND(CM146="✓",CM$4&lt;&gt;""),CM$4&amp;"; ","")&amp;IF(AND(CN146="✓",CN$4&lt;&gt;""),CN$4&amp;"; ","")&amp;IF(AND(CO146="✓",CO$4&lt;&gt;""),CO$4&amp;"; ","")</f>
        <v/>
      </c>
      <c r="CQ146" s="104" t="str">
        <f aca="false">IF($CP146="","",LEFT($CP146,LEN($CP146)-2))</f>
        <v/>
      </c>
      <c r="CR146" s="234" t="str">
        <f aca="false">IF($A146="","",COUNTIF($D146:$CO146,"✓"))</f>
        <v/>
      </c>
    </row>
    <row r="147" customFormat="false" ht="21.75" hidden="false" customHeight="true" outlineLevel="0" collapsed="false">
      <c r="A147" s="231" t="str">
        <f aca="false">IF(03_能力總表_Master!$A147="","",03_能力總表_Master!$A147)</f>
        <v/>
      </c>
      <c r="B147" s="166" t="str">
        <f aca="false">IF(03_能力總表_Master!$A147="","",03_能力總表_Master!$B147)</f>
        <v/>
      </c>
      <c r="C147" s="95" t="str">
        <f aca="false">IF(03_能力總表_Master!$A147="","",03_能力總表_Master!$E147)</f>
        <v/>
      </c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32"/>
      <c r="AQ147" s="232"/>
      <c r="AR147" s="232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232"/>
      <c r="BH147" s="232"/>
      <c r="BI147" s="232"/>
      <c r="BJ147" s="232"/>
      <c r="BK147" s="232"/>
      <c r="BL147" s="232"/>
      <c r="BM147" s="232"/>
      <c r="BN147" s="232"/>
      <c r="BO147" s="232"/>
      <c r="BP147" s="232"/>
      <c r="BQ147" s="232"/>
      <c r="BR147" s="232"/>
      <c r="BS147" s="232"/>
      <c r="BT147" s="232"/>
      <c r="BU147" s="232"/>
      <c r="BV147" s="232"/>
      <c r="BW147" s="232"/>
      <c r="BX147" s="232"/>
      <c r="BY147" s="232"/>
      <c r="BZ147" s="232"/>
      <c r="CA147" s="232"/>
      <c r="CB147" s="232"/>
      <c r="CC147" s="232"/>
      <c r="CD147" s="232"/>
      <c r="CE147" s="232"/>
      <c r="CF147" s="232"/>
      <c r="CG147" s="232"/>
      <c r="CH147" s="232"/>
      <c r="CI147" s="232"/>
      <c r="CJ147" s="232"/>
      <c r="CK147" s="232"/>
      <c r="CL147" s="232"/>
      <c r="CM147" s="232"/>
      <c r="CN147" s="232"/>
      <c r="CO147" s="232"/>
      <c r="CP147" s="233" t="str">
        <f aca="false">IF(AND(D147="✓",D$4&lt;&gt;""),D$4&amp;"; ","")&amp;IF(AND(E147="✓",E$4&lt;&gt;""),E$4&amp;"; ","")&amp;IF(AND(F147="✓",F$4&lt;&gt;""),F$4&amp;"; ","")&amp;IF(AND(G147="✓",G$4&lt;&gt;""),G$4&amp;"; ","")&amp;IF(AND(H147="✓",H$4&lt;&gt;""),H$4&amp;"; ","")&amp;IF(AND(I147="✓",I$4&lt;&gt;""),I$4&amp;"; ","")&amp;IF(AND(J147="✓",J$4&lt;&gt;""),J$4&amp;"; ","")&amp;IF(AND(K147="✓",K$4&lt;&gt;""),K$4&amp;"; ","")&amp;IF(AND(L147="✓",L$4&lt;&gt;""),L$4&amp;"; ","")&amp;IF(AND(M147="✓",M$4&lt;&gt;""),M$4&amp;"; ","")&amp;IF(AND(N147="✓",N$4&lt;&gt;""),N$4&amp;"; ","")&amp;IF(AND(O147="✓",O$4&lt;&gt;""),O$4&amp;"; ","")&amp;IF(AND(P147="✓",P$4&lt;&gt;""),P$4&amp;"; ","")&amp;IF(AND(Q147="✓",Q$4&lt;&gt;""),Q$4&amp;"; ","")&amp;IF(AND(R147="✓",R$4&lt;&gt;""),R$4&amp;"; ","")&amp;IF(AND(S147="✓",S$4&lt;&gt;""),S$4&amp;"; ","")&amp;IF(AND(T147="✓",T$4&lt;&gt;""),T$4&amp;"; ","")&amp;IF(AND(U147="✓",U$4&lt;&gt;""),U$4&amp;"; ","")&amp;IF(AND(V147="✓",V$4&lt;&gt;""),V$4&amp;"; ","")&amp;IF(AND(W147="✓",W$4&lt;&gt;""),W$4&amp;"; ","")&amp;IF(AND(X147="✓",X$4&lt;&gt;""),X$4&amp;"; ","")&amp;IF(AND(Y147="✓",Y$4&lt;&gt;""),Y$4&amp;"; ","")&amp;IF(AND(Z147="✓",Z$4&lt;&gt;""),Z$4&amp;"; ","")&amp;IF(AND(AA147="✓",AA$4&lt;&gt;""),AA$4&amp;"; ","")&amp;IF(AND(AB147="✓",AB$4&lt;&gt;""),AB$4&amp;"; ","")&amp;IF(AND(AC147="✓",AC$4&lt;&gt;""),AC$4&amp;"; ","")&amp;IF(AND(AD147="✓",AD$4&lt;&gt;""),AD$4&amp;"; ","")&amp;IF(AND(AE147="✓",AE$4&lt;&gt;""),AE$4&amp;"; ","")&amp;IF(AND(AF147="✓",AF$4&lt;&gt;""),AF$4&amp;"; ","")&amp;IF(AND(AG147="✓",AG$4&lt;&gt;""),AG$4&amp;"; ","")&amp;IF(AND(AH147="✓",AH$4&lt;&gt;""),AH$4&amp;"; ","")&amp;IF(AND(AI147="✓",AI$4&lt;&gt;""),AI$4&amp;"; ","")&amp;IF(AND(AJ147="✓",AJ$4&lt;&gt;""),AJ$4&amp;"; ","")&amp;IF(AND(AK147="✓",AK$4&lt;&gt;""),AK$4&amp;"; ","")&amp;IF(AND(AL147="✓",AL$4&lt;&gt;""),AL$4&amp;"; ","")&amp;IF(AND(AM147="✓",AM$4&lt;&gt;""),AM$4&amp;"; ","")&amp;IF(AND(AN147="✓",AN$4&lt;&gt;""),AN$4&amp;"; ","")&amp;IF(AND(AO147="✓",AO$4&lt;&gt;""),AO$4&amp;"; ","")&amp;IF(AND(AP147="✓",AP$4&lt;&gt;""),AP$4&amp;"; ","")&amp;IF(AND(AQ147="✓",AQ$4&lt;&gt;""),AQ$4&amp;"; ","")&amp;IF(AND(AR147="✓",AR$4&lt;&gt;""),AR$4&amp;"; ","")&amp;IF(AND(AS147="✓",AS$4&lt;&gt;""),AS$4&amp;"; ","")&amp;IF(AND(AT147="✓",AT$4&lt;&gt;""),AT$4&amp;"; ","")&amp;IF(AND(AU147="✓",AU$4&lt;&gt;""),AU$4&amp;"; ","")&amp;IF(AND(AV147="✓",AV$4&lt;&gt;""),AV$4&amp;"; ","")&amp;IF(AND(AW147="✓",AW$4&lt;&gt;""),AW$4&amp;"; ","")&amp;IF(AND(AX147="✓",AX$4&lt;&gt;""),AX$4&amp;"; ","")&amp;IF(AND(AY147="✓",AY$4&lt;&gt;""),AY$4&amp;"; ","")&amp;IF(AND(AZ147="✓",AZ$4&lt;&gt;""),AZ$4&amp;"; ","")&amp;IF(AND(BA147="✓",BA$4&lt;&gt;""),BA$4&amp;"; ","")&amp;IF(AND(BB147="✓",BB$4&lt;&gt;""),BB$4&amp;"; ","")&amp;IF(AND(BC147="✓",BC$4&lt;&gt;""),BC$4&amp;"; ","")&amp;IF(AND(BD147="✓",BD$4&lt;&gt;""),BD$4&amp;"; ","")&amp;IF(AND(BE147="✓",BE$4&lt;&gt;""),BE$4&amp;"; ","")&amp;IF(AND(BF147="✓",BF$4&lt;&gt;""),BF$4&amp;"; ","")&amp;IF(AND(BG147="✓",BG$4&lt;&gt;""),BG$4&amp;"; ","")&amp;IF(AND(BH147="✓",BH$4&lt;&gt;""),BH$4&amp;"; ","")&amp;IF(AND(BI147="✓",BI$4&lt;&gt;""),BI$4&amp;"; ","")&amp;IF(AND(BJ147="✓",BJ$4&lt;&gt;""),BJ$4&amp;"; ","")&amp;IF(AND(BK147="✓",BK$4&lt;&gt;""),BK$4&amp;"; ","")&amp;IF(AND(BL147="✓",BL$4&lt;&gt;""),BL$4&amp;"; ","")&amp;IF(AND(BM147="✓",BM$4&lt;&gt;""),BM$4&amp;"; ","")&amp;IF(AND(BN147="✓",BN$4&lt;&gt;""),BN$4&amp;"; ","")&amp;IF(AND(BO147="✓",BO$4&lt;&gt;""),BO$4&amp;"; ","")&amp;IF(AND(BP147="✓",BP$4&lt;&gt;""),BP$4&amp;"; ","")&amp;IF(AND(BQ147="✓",BQ$4&lt;&gt;""),BQ$4&amp;"; ","")&amp;IF(AND(BR147="✓",BR$4&lt;&gt;""),BR$4&amp;"; ","")&amp;IF(AND(BS147="✓",BS$4&lt;&gt;""),BS$4&amp;"; ","")&amp;IF(AND(BT147="✓",BT$4&lt;&gt;""),BT$4&amp;"; ","")&amp;IF(AND(BU147="✓",BU$4&lt;&gt;""),BU$4&amp;"; ","")&amp;IF(AND(BV147="✓",BV$4&lt;&gt;""),BV$4&amp;"; ","")&amp;IF(AND(BW147="✓",BW$4&lt;&gt;""),BW$4&amp;"; ","")&amp;IF(AND(BX147="✓",BX$4&lt;&gt;""),BX$4&amp;"; ","")&amp;IF(AND(BY147="✓",BY$4&lt;&gt;""),BY$4&amp;"; ","")&amp;IF(AND(BZ147="✓",BZ$4&lt;&gt;""),BZ$4&amp;"; ","")&amp;IF(AND(CA147="✓",CA$4&lt;&gt;""),CA$4&amp;"; ","")&amp;IF(AND(CB147="✓",CB$4&lt;&gt;""),CB$4&amp;"; ","")&amp;IF(AND(CC147="✓",CC$4&lt;&gt;""),CC$4&amp;"; ","")&amp;IF(AND(CD147="✓",CD$4&lt;&gt;""),CD$4&amp;"; ","")&amp;IF(AND(CE147="✓",CE$4&lt;&gt;""),CE$4&amp;"; ","")&amp;IF(AND(CF147="✓",CF$4&lt;&gt;""),CF$4&amp;"; ","")&amp;IF(AND(CG147="✓",CG$4&lt;&gt;""),CG$4&amp;"; ","")&amp;IF(AND(CH147="✓",CH$4&lt;&gt;""),CH$4&amp;"; ","")&amp;IF(AND(CI147="✓",CI$4&lt;&gt;""),CI$4&amp;"; ","")&amp;IF(AND(CJ147="✓",CJ$4&lt;&gt;""),CJ$4&amp;"; ","")&amp;IF(AND(CK147="✓",CK$4&lt;&gt;""),CK$4&amp;"; ","")&amp;IF(AND(CL147="✓",CL$4&lt;&gt;""),CL$4&amp;"; ","")&amp;IF(AND(CM147="✓",CM$4&lt;&gt;""),CM$4&amp;"; ","")&amp;IF(AND(CN147="✓",CN$4&lt;&gt;""),CN$4&amp;"; ","")&amp;IF(AND(CO147="✓",CO$4&lt;&gt;""),CO$4&amp;"; ","")</f>
        <v/>
      </c>
      <c r="CQ147" s="104" t="str">
        <f aca="false">IF($CP147="","",LEFT($CP147,LEN($CP147)-2))</f>
        <v/>
      </c>
      <c r="CR147" s="234" t="str">
        <f aca="false">IF($A147="","",COUNTIF($D147:$CO147,"✓"))</f>
        <v/>
      </c>
    </row>
    <row r="148" customFormat="false" ht="21.75" hidden="false" customHeight="true" outlineLevel="0" collapsed="false">
      <c r="A148" s="231" t="str">
        <f aca="false">IF(03_能力總表_Master!$A148="","",03_能力總表_Master!$A148)</f>
        <v/>
      </c>
      <c r="B148" s="166" t="str">
        <f aca="false">IF(03_能力總表_Master!$A148="","",03_能力總表_Master!$B148)</f>
        <v/>
      </c>
      <c r="C148" s="95" t="str">
        <f aca="false">IF(03_能力總表_Master!$A148="","",03_能力總表_Master!$E148)</f>
        <v/>
      </c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32"/>
      <c r="AQ148" s="232"/>
      <c r="AR148" s="232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232"/>
      <c r="BH148" s="232"/>
      <c r="BI148" s="232"/>
      <c r="BJ148" s="232"/>
      <c r="BK148" s="232"/>
      <c r="BL148" s="232"/>
      <c r="BM148" s="232"/>
      <c r="BN148" s="232"/>
      <c r="BO148" s="232"/>
      <c r="BP148" s="232"/>
      <c r="BQ148" s="232"/>
      <c r="BR148" s="232"/>
      <c r="BS148" s="232"/>
      <c r="BT148" s="232"/>
      <c r="BU148" s="232"/>
      <c r="BV148" s="232"/>
      <c r="BW148" s="232"/>
      <c r="BX148" s="232"/>
      <c r="BY148" s="232"/>
      <c r="BZ148" s="232"/>
      <c r="CA148" s="232"/>
      <c r="CB148" s="232"/>
      <c r="CC148" s="232"/>
      <c r="CD148" s="232"/>
      <c r="CE148" s="232"/>
      <c r="CF148" s="232"/>
      <c r="CG148" s="232"/>
      <c r="CH148" s="232"/>
      <c r="CI148" s="232"/>
      <c r="CJ148" s="232"/>
      <c r="CK148" s="232"/>
      <c r="CL148" s="232"/>
      <c r="CM148" s="232"/>
      <c r="CN148" s="232"/>
      <c r="CO148" s="232"/>
      <c r="CP148" s="233" t="str">
        <f aca="false">IF(AND(D148="✓",D$4&lt;&gt;""),D$4&amp;"; ","")&amp;IF(AND(E148="✓",E$4&lt;&gt;""),E$4&amp;"; ","")&amp;IF(AND(F148="✓",F$4&lt;&gt;""),F$4&amp;"; ","")&amp;IF(AND(G148="✓",G$4&lt;&gt;""),G$4&amp;"; ","")&amp;IF(AND(H148="✓",H$4&lt;&gt;""),H$4&amp;"; ","")&amp;IF(AND(I148="✓",I$4&lt;&gt;""),I$4&amp;"; ","")&amp;IF(AND(J148="✓",J$4&lt;&gt;""),J$4&amp;"; ","")&amp;IF(AND(K148="✓",K$4&lt;&gt;""),K$4&amp;"; ","")&amp;IF(AND(L148="✓",L$4&lt;&gt;""),L$4&amp;"; ","")&amp;IF(AND(M148="✓",M$4&lt;&gt;""),M$4&amp;"; ","")&amp;IF(AND(N148="✓",N$4&lt;&gt;""),N$4&amp;"; ","")&amp;IF(AND(O148="✓",O$4&lt;&gt;""),O$4&amp;"; ","")&amp;IF(AND(P148="✓",P$4&lt;&gt;""),P$4&amp;"; ","")&amp;IF(AND(Q148="✓",Q$4&lt;&gt;""),Q$4&amp;"; ","")&amp;IF(AND(R148="✓",R$4&lt;&gt;""),R$4&amp;"; ","")&amp;IF(AND(S148="✓",S$4&lt;&gt;""),S$4&amp;"; ","")&amp;IF(AND(T148="✓",T$4&lt;&gt;""),T$4&amp;"; ","")&amp;IF(AND(U148="✓",U$4&lt;&gt;""),U$4&amp;"; ","")&amp;IF(AND(V148="✓",V$4&lt;&gt;""),V$4&amp;"; ","")&amp;IF(AND(W148="✓",W$4&lt;&gt;""),W$4&amp;"; ","")&amp;IF(AND(X148="✓",X$4&lt;&gt;""),X$4&amp;"; ","")&amp;IF(AND(Y148="✓",Y$4&lt;&gt;""),Y$4&amp;"; ","")&amp;IF(AND(Z148="✓",Z$4&lt;&gt;""),Z$4&amp;"; ","")&amp;IF(AND(AA148="✓",AA$4&lt;&gt;""),AA$4&amp;"; ","")&amp;IF(AND(AB148="✓",AB$4&lt;&gt;""),AB$4&amp;"; ","")&amp;IF(AND(AC148="✓",AC$4&lt;&gt;""),AC$4&amp;"; ","")&amp;IF(AND(AD148="✓",AD$4&lt;&gt;""),AD$4&amp;"; ","")&amp;IF(AND(AE148="✓",AE$4&lt;&gt;""),AE$4&amp;"; ","")&amp;IF(AND(AF148="✓",AF$4&lt;&gt;""),AF$4&amp;"; ","")&amp;IF(AND(AG148="✓",AG$4&lt;&gt;""),AG$4&amp;"; ","")&amp;IF(AND(AH148="✓",AH$4&lt;&gt;""),AH$4&amp;"; ","")&amp;IF(AND(AI148="✓",AI$4&lt;&gt;""),AI$4&amp;"; ","")&amp;IF(AND(AJ148="✓",AJ$4&lt;&gt;""),AJ$4&amp;"; ","")&amp;IF(AND(AK148="✓",AK$4&lt;&gt;""),AK$4&amp;"; ","")&amp;IF(AND(AL148="✓",AL$4&lt;&gt;""),AL$4&amp;"; ","")&amp;IF(AND(AM148="✓",AM$4&lt;&gt;""),AM$4&amp;"; ","")&amp;IF(AND(AN148="✓",AN$4&lt;&gt;""),AN$4&amp;"; ","")&amp;IF(AND(AO148="✓",AO$4&lt;&gt;""),AO$4&amp;"; ","")&amp;IF(AND(AP148="✓",AP$4&lt;&gt;""),AP$4&amp;"; ","")&amp;IF(AND(AQ148="✓",AQ$4&lt;&gt;""),AQ$4&amp;"; ","")&amp;IF(AND(AR148="✓",AR$4&lt;&gt;""),AR$4&amp;"; ","")&amp;IF(AND(AS148="✓",AS$4&lt;&gt;""),AS$4&amp;"; ","")&amp;IF(AND(AT148="✓",AT$4&lt;&gt;""),AT$4&amp;"; ","")&amp;IF(AND(AU148="✓",AU$4&lt;&gt;""),AU$4&amp;"; ","")&amp;IF(AND(AV148="✓",AV$4&lt;&gt;""),AV$4&amp;"; ","")&amp;IF(AND(AW148="✓",AW$4&lt;&gt;""),AW$4&amp;"; ","")&amp;IF(AND(AX148="✓",AX$4&lt;&gt;""),AX$4&amp;"; ","")&amp;IF(AND(AY148="✓",AY$4&lt;&gt;""),AY$4&amp;"; ","")&amp;IF(AND(AZ148="✓",AZ$4&lt;&gt;""),AZ$4&amp;"; ","")&amp;IF(AND(BA148="✓",BA$4&lt;&gt;""),BA$4&amp;"; ","")&amp;IF(AND(BB148="✓",BB$4&lt;&gt;""),BB$4&amp;"; ","")&amp;IF(AND(BC148="✓",BC$4&lt;&gt;""),BC$4&amp;"; ","")&amp;IF(AND(BD148="✓",BD$4&lt;&gt;""),BD$4&amp;"; ","")&amp;IF(AND(BE148="✓",BE$4&lt;&gt;""),BE$4&amp;"; ","")&amp;IF(AND(BF148="✓",BF$4&lt;&gt;""),BF$4&amp;"; ","")&amp;IF(AND(BG148="✓",BG$4&lt;&gt;""),BG$4&amp;"; ","")&amp;IF(AND(BH148="✓",BH$4&lt;&gt;""),BH$4&amp;"; ","")&amp;IF(AND(BI148="✓",BI$4&lt;&gt;""),BI$4&amp;"; ","")&amp;IF(AND(BJ148="✓",BJ$4&lt;&gt;""),BJ$4&amp;"; ","")&amp;IF(AND(BK148="✓",BK$4&lt;&gt;""),BK$4&amp;"; ","")&amp;IF(AND(BL148="✓",BL$4&lt;&gt;""),BL$4&amp;"; ","")&amp;IF(AND(BM148="✓",BM$4&lt;&gt;""),BM$4&amp;"; ","")&amp;IF(AND(BN148="✓",BN$4&lt;&gt;""),BN$4&amp;"; ","")&amp;IF(AND(BO148="✓",BO$4&lt;&gt;""),BO$4&amp;"; ","")&amp;IF(AND(BP148="✓",BP$4&lt;&gt;""),BP$4&amp;"; ","")&amp;IF(AND(BQ148="✓",BQ$4&lt;&gt;""),BQ$4&amp;"; ","")&amp;IF(AND(BR148="✓",BR$4&lt;&gt;""),BR$4&amp;"; ","")&amp;IF(AND(BS148="✓",BS$4&lt;&gt;""),BS$4&amp;"; ","")&amp;IF(AND(BT148="✓",BT$4&lt;&gt;""),BT$4&amp;"; ","")&amp;IF(AND(BU148="✓",BU$4&lt;&gt;""),BU$4&amp;"; ","")&amp;IF(AND(BV148="✓",BV$4&lt;&gt;""),BV$4&amp;"; ","")&amp;IF(AND(BW148="✓",BW$4&lt;&gt;""),BW$4&amp;"; ","")&amp;IF(AND(BX148="✓",BX$4&lt;&gt;""),BX$4&amp;"; ","")&amp;IF(AND(BY148="✓",BY$4&lt;&gt;""),BY$4&amp;"; ","")&amp;IF(AND(BZ148="✓",BZ$4&lt;&gt;""),BZ$4&amp;"; ","")&amp;IF(AND(CA148="✓",CA$4&lt;&gt;""),CA$4&amp;"; ","")&amp;IF(AND(CB148="✓",CB$4&lt;&gt;""),CB$4&amp;"; ","")&amp;IF(AND(CC148="✓",CC$4&lt;&gt;""),CC$4&amp;"; ","")&amp;IF(AND(CD148="✓",CD$4&lt;&gt;""),CD$4&amp;"; ","")&amp;IF(AND(CE148="✓",CE$4&lt;&gt;""),CE$4&amp;"; ","")&amp;IF(AND(CF148="✓",CF$4&lt;&gt;""),CF$4&amp;"; ","")&amp;IF(AND(CG148="✓",CG$4&lt;&gt;""),CG$4&amp;"; ","")&amp;IF(AND(CH148="✓",CH$4&lt;&gt;""),CH$4&amp;"; ","")&amp;IF(AND(CI148="✓",CI$4&lt;&gt;""),CI$4&amp;"; ","")&amp;IF(AND(CJ148="✓",CJ$4&lt;&gt;""),CJ$4&amp;"; ","")&amp;IF(AND(CK148="✓",CK$4&lt;&gt;""),CK$4&amp;"; ","")&amp;IF(AND(CL148="✓",CL$4&lt;&gt;""),CL$4&amp;"; ","")&amp;IF(AND(CM148="✓",CM$4&lt;&gt;""),CM$4&amp;"; ","")&amp;IF(AND(CN148="✓",CN$4&lt;&gt;""),CN$4&amp;"; ","")&amp;IF(AND(CO148="✓",CO$4&lt;&gt;""),CO$4&amp;"; ","")</f>
        <v/>
      </c>
      <c r="CQ148" s="104" t="str">
        <f aca="false">IF($CP148="","",LEFT($CP148,LEN($CP148)-2))</f>
        <v/>
      </c>
      <c r="CR148" s="234" t="str">
        <f aca="false">IF($A148="","",COUNTIF($D148:$CO148,"✓"))</f>
        <v/>
      </c>
    </row>
    <row r="149" customFormat="false" ht="21.75" hidden="false" customHeight="true" outlineLevel="0" collapsed="false">
      <c r="A149" s="231" t="str">
        <f aca="false">IF(03_能力總表_Master!$A149="","",03_能力總表_Master!$A149)</f>
        <v/>
      </c>
      <c r="B149" s="166" t="str">
        <f aca="false">IF(03_能力總表_Master!$A149="","",03_能力總表_Master!$B149)</f>
        <v/>
      </c>
      <c r="C149" s="95" t="str">
        <f aca="false">IF(03_能力總表_Master!$A149="","",03_能力總表_Master!$E149)</f>
        <v/>
      </c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32"/>
      <c r="AQ149" s="232"/>
      <c r="AR149" s="232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232"/>
      <c r="BH149" s="232"/>
      <c r="BI149" s="232"/>
      <c r="BJ149" s="232"/>
      <c r="BK149" s="232"/>
      <c r="BL149" s="232"/>
      <c r="BM149" s="232"/>
      <c r="BN149" s="232"/>
      <c r="BO149" s="232"/>
      <c r="BP149" s="232"/>
      <c r="BQ149" s="232"/>
      <c r="BR149" s="232"/>
      <c r="BS149" s="232"/>
      <c r="BT149" s="232"/>
      <c r="BU149" s="232"/>
      <c r="BV149" s="232"/>
      <c r="BW149" s="232"/>
      <c r="BX149" s="232"/>
      <c r="BY149" s="232"/>
      <c r="BZ149" s="232"/>
      <c r="CA149" s="232"/>
      <c r="CB149" s="232"/>
      <c r="CC149" s="232"/>
      <c r="CD149" s="232"/>
      <c r="CE149" s="232"/>
      <c r="CF149" s="232"/>
      <c r="CG149" s="232"/>
      <c r="CH149" s="232"/>
      <c r="CI149" s="232"/>
      <c r="CJ149" s="232"/>
      <c r="CK149" s="232"/>
      <c r="CL149" s="232"/>
      <c r="CM149" s="232"/>
      <c r="CN149" s="232"/>
      <c r="CO149" s="232"/>
      <c r="CP149" s="233" t="str">
        <f aca="false">IF(AND(D149="✓",D$4&lt;&gt;""),D$4&amp;"; ","")&amp;IF(AND(E149="✓",E$4&lt;&gt;""),E$4&amp;"; ","")&amp;IF(AND(F149="✓",F$4&lt;&gt;""),F$4&amp;"; ","")&amp;IF(AND(G149="✓",G$4&lt;&gt;""),G$4&amp;"; ","")&amp;IF(AND(H149="✓",H$4&lt;&gt;""),H$4&amp;"; ","")&amp;IF(AND(I149="✓",I$4&lt;&gt;""),I$4&amp;"; ","")&amp;IF(AND(J149="✓",J$4&lt;&gt;""),J$4&amp;"; ","")&amp;IF(AND(K149="✓",K$4&lt;&gt;""),K$4&amp;"; ","")&amp;IF(AND(L149="✓",L$4&lt;&gt;""),L$4&amp;"; ","")&amp;IF(AND(M149="✓",M$4&lt;&gt;""),M$4&amp;"; ","")&amp;IF(AND(N149="✓",N$4&lt;&gt;""),N$4&amp;"; ","")&amp;IF(AND(O149="✓",O$4&lt;&gt;""),O$4&amp;"; ","")&amp;IF(AND(P149="✓",P$4&lt;&gt;""),P$4&amp;"; ","")&amp;IF(AND(Q149="✓",Q$4&lt;&gt;""),Q$4&amp;"; ","")&amp;IF(AND(R149="✓",R$4&lt;&gt;""),R$4&amp;"; ","")&amp;IF(AND(S149="✓",S$4&lt;&gt;""),S$4&amp;"; ","")&amp;IF(AND(T149="✓",T$4&lt;&gt;""),T$4&amp;"; ","")&amp;IF(AND(U149="✓",U$4&lt;&gt;""),U$4&amp;"; ","")&amp;IF(AND(V149="✓",V$4&lt;&gt;""),V$4&amp;"; ","")&amp;IF(AND(W149="✓",W$4&lt;&gt;""),W$4&amp;"; ","")&amp;IF(AND(X149="✓",X$4&lt;&gt;""),X$4&amp;"; ","")&amp;IF(AND(Y149="✓",Y$4&lt;&gt;""),Y$4&amp;"; ","")&amp;IF(AND(Z149="✓",Z$4&lt;&gt;""),Z$4&amp;"; ","")&amp;IF(AND(AA149="✓",AA$4&lt;&gt;""),AA$4&amp;"; ","")&amp;IF(AND(AB149="✓",AB$4&lt;&gt;""),AB$4&amp;"; ","")&amp;IF(AND(AC149="✓",AC$4&lt;&gt;""),AC$4&amp;"; ","")&amp;IF(AND(AD149="✓",AD$4&lt;&gt;""),AD$4&amp;"; ","")&amp;IF(AND(AE149="✓",AE$4&lt;&gt;""),AE$4&amp;"; ","")&amp;IF(AND(AF149="✓",AF$4&lt;&gt;""),AF$4&amp;"; ","")&amp;IF(AND(AG149="✓",AG$4&lt;&gt;""),AG$4&amp;"; ","")&amp;IF(AND(AH149="✓",AH$4&lt;&gt;""),AH$4&amp;"; ","")&amp;IF(AND(AI149="✓",AI$4&lt;&gt;""),AI$4&amp;"; ","")&amp;IF(AND(AJ149="✓",AJ$4&lt;&gt;""),AJ$4&amp;"; ","")&amp;IF(AND(AK149="✓",AK$4&lt;&gt;""),AK$4&amp;"; ","")&amp;IF(AND(AL149="✓",AL$4&lt;&gt;""),AL$4&amp;"; ","")&amp;IF(AND(AM149="✓",AM$4&lt;&gt;""),AM$4&amp;"; ","")&amp;IF(AND(AN149="✓",AN$4&lt;&gt;""),AN$4&amp;"; ","")&amp;IF(AND(AO149="✓",AO$4&lt;&gt;""),AO$4&amp;"; ","")&amp;IF(AND(AP149="✓",AP$4&lt;&gt;""),AP$4&amp;"; ","")&amp;IF(AND(AQ149="✓",AQ$4&lt;&gt;""),AQ$4&amp;"; ","")&amp;IF(AND(AR149="✓",AR$4&lt;&gt;""),AR$4&amp;"; ","")&amp;IF(AND(AS149="✓",AS$4&lt;&gt;""),AS$4&amp;"; ","")&amp;IF(AND(AT149="✓",AT$4&lt;&gt;""),AT$4&amp;"; ","")&amp;IF(AND(AU149="✓",AU$4&lt;&gt;""),AU$4&amp;"; ","")&amp;IF(AND(AV149="✓",AV$4&lt;&gt;""),AV$4&amp;"; ","")&amp;IF(AND(AW149="✓",AW$4&lt;&gt;""),AW$4&amp;"; ","")&amp;IF(AND(AX149="✓",AX$4&lt;&gt;""),AX$4&amp;"; ","")&amp;IF(AND(AY149="✓",AY$4&lt;&gt;""),AY$4&amp;"; ","")&amp;IF(AND(AZ149="✓",AZ$4&lt;&gt;""),AZ$4&amp;"; ","")&amp;IF(AND(BA149="✓",BA$4&lt;&gt;""),BA$4&amp;"; ","")&amp;IF(AND(BB149="✓",BB$4&lt;&gt;""),BB$4&amp;"; ","")&amp;IF(AND(BC149="✓",BC$4&lt;&gt;""),BC$4&amp;"; ","")&amp;IF(AND(BD149="✓",BD$4&lt;&gt;""),BD$4&amp;"; ","")&amp;IF(AND(BE149="✓",BE$4&lt;&gt;""),BE$4&amp;"; ","")&amp;IF(AND(BF149="✓",BF$4&lt;&gt;""),BF$4&amp;"; ","")&amp;IF(AND(BG149="✓",BG$4&lt;&gt;""),BG$4&amp;"; ","")&amp;IF(AND(BH149="✓",BH$4&lt;&gt;""),BH$4&amp;"; ","")&amp;IF(AND(BI149="✓",BI$4&lt;&gt;""),BI$4&amp;"; ","")&amp;IF(AND(BJ149="✓",BJ$4&lt;&gt;""),BJ$4&amp;"; ","")&amp;IF(AND(BK149="✓",BK$4&lt;&gt;""),BK$4&amp;"; ","")&amp;IF(AND(BL149="✓",BL$4&lt;&gt;""),BL$4&amp;"; ","")&amp;IF(AND(BM149="✓",BM$4&lt;&gt;""),BM$4&amp;"; ","")&amp;IF(AND(BN149="✓",BN$4&lt;&gt;""),BN$4&amp;"; ","")&amp;IF(AND(BO149="✓",BO$4&lt;&gt;""),BO$4&amp;"; ","")&amp;IF(AND(BP149="✓",BP$4&lt;&gt;""),BP$4&amp;"; ","")&amp;IF(AND(BQ149="✓",BQ$4&lt;&gt;""),BQ$4&amp;"; ","")&amp;IF(AND(BR149="✓",BR$4&lt;&gt;""),BR$4&amp;"; ","")&amp;IF(AND(BS149="✓",BS$4&lt;&gt;""),BS$4&amp;"; ","")&amp;IF(AND(BT149="✓",BT$4&lt;&gt;""),BT$4&amp;"; ","")&amp;IF(AND(BU149="✓",BU$4&lt;&gt;""),BU$4&amp;"; ","")&amp;IF(AND(BV149="✓",BV$4&lt;&gt;""),BV$4&amp;"; ","")&amp;IF(AND(BW149="✓",BW$4&lt;&gt;""),BW$4&amp;"; ","")&amp;IF(AND(BX149="✓",BX$4&lt;&gt;""),BX$4&amp;"; ","")&amp;IF(AND(BY149="✓",BY$4&lt;&gt;""),BY$4&amp;"; ","")&amp;IF(AND(BZ149="✓",BZ$4&lt;&gt;""),BZ$4&amp;"; ","")&amp;IF(AND(CA149="✓",CA$4&lt;&gt;""),CA$4&amp;"; ","")&amp;IF(AND(CB149="✓",CB$4&lt;&gt;""),CB$4&amp;"; ","")&amp;IF(AND(CC149="✓",CC$4&lt;&gt;""),CC$4&amp;"; ","")&amp;IF(AND(CD149="✓",CD$4&lt;&gt;""),CD$4&amp;"; ","")&amp;IF(AND(CE149="✓",CE$4&lt;&gt;""),CE$4&amp;"; ","")&amp;IF(AND(CF149="✓",CF$4&lt;&gt;""),CF$4&amp;"; ","")&amp;IF(AND(CG149="✓",CG$4&lt;&gt;""),CG$4&amp;"; ","")&amp;IF(AND(CH149="✓",CH$4&lt;&gt;""),CH$4&amp;"; ","")&amp;IF(AND(CI149="✓",CI$4&lt;&gt;""),CI$4&amp;"; ","")&amp;IF(AND(CJ149="✓",CJ$4&lt;&gt;""),CJ$4&amp;"; ","")&amp;IF(AND(CK149="✓",CK$4&lt;&gt;""),CK$4&amp;"; ","")&amp;IF(AND(CL149="✓",CL$4&lt;&gt;""),CL$4&amp;"; ","")&amp;IF(AND(CM149="✓",CM$4&lt;&gt;""),CM$4&amp;"; ","")&amp;IF(AND(CN149="✓",CN$4&lt;&gt;""),CN$4&amp;"; ","")&amp;IF(AND(CO149="✓",CO$4&lt;&gt;""),CO$4&amp;"; ","")</f>
        <v/>
      </c>
      <c r="CQ149" s="104" t="str">
        <f aca="false">IF($CP149="","",LEFT($CP149,LEN($CP149)-2))</f>
        <v/>
      </c>
      <c r="CR149" s="234" t="str">
        <f aca="false">IF($A149="","",COUNTIF($D149:$CO149,"✓"))</f>
        <v/>
      </c>
    </row>
    <row r="150" customFormat="false" ht="21.75" hidden="false" customHeight="true" outlineLevel="0" collapsed="false">
      <c r="A150" s="231" t="str">
        <f aca="false">IF(03_能力總表_Master!$A150="","",03_能力總表_Master!$A150)</f>
        <v/>
      </c>
      <c r="B150" s="166" t="str">
        <f aca="false">IF(03_能力總表_Master!$A150="","",03_能力總表_Master!$B150)</f>
        <v/>
      </c>
      <c r="C150" s="95" t="str">
        <f aca="false">IF(03_能力總表_Master!$A150="","",03_能力總表_Master!$E150)</f>
        <v/>
      </c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32"/>
      <c r="AQ150" s="232"/>
      <c r="AR150" s="232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232"/>
      <c r="BH150" s="232"/>
      <c r="BI150" s="232"/>
      <c r="BJ150" s="232"/>
      <c r="BK150" s="232"/>
      <c r="BL150" s="232"/>
      <c r="BM150" s="232"/>
      <c r="BN150" s="232"/>
      <c r="BO150" s="232"/>
      <c r="BP150" s="232"/>
      <c r="BQ150" s="232"/>
      <c r="BR150" s="232"/>
      <c r="BS150" s="232"/>
      <c r="BT150" s="232"/>
      <c r="BU150" s="232"/>
      <c r="BV150" s="232"/>
      <c r="BW150" s="232"/>
      <c r="BX150" s="232"/>
      <c r="BY150" s="232"/>
      <c r="BZ150" s="232"/>
      <c r="CA150" s="232"/>
      <c r="CB150" s="232"/>
      <c r="CC150" s="232"/>
      <c r="CD150" s="232"/>
      <c r="CE150" s="232"/>
      <c r="CF150" s="232"/>
      <c r="CG150" s="232"/>
      <c r="CH150" s="232"/>
      <c r="CI150" s="232"/>
      <c r="CJ150" s="232"/>
      <c r="CK150" s="232"/>
      <c r="CL150" s="232"/>
      <c r="CM150" s="232"/>
      <c r="CN150" s="232"/>
      <c r="CO150" s="232"/>
      <c r="CP150" s="233" t="str">
        <f aca="false">IF(AND(D150="✓",D$4&lt;&gt;""),D$4&amp;"; ","")&amp;IF(AND(E150="✓",E$4&lt;&gt;""),E$4&amp;"; ","")&amp;IF(AND(F150="✓",F$4&lt;&gt;""),F$4&amp;"; ","")&amp;IF(AND(G150="✓",G$4&lt;&gt;""),G$4&amp;"; ","")&amp;IF(AND(H150="✓",H$4&lt;&gt;""),H$4&amp;"; ","")&amp;IF(AND(I150="✓",I$4&lt;&gt;""),I$4&amp;"; ","")&amp;IF(AND(J150="✓",J$4&lt;&gt;""),J$4&amp;"; ","")&amp;IF(AND(K150="✓",K$4&lt;&gt;""),K$4&amp;"; ","")&amp;IF(AND(L150="✓",L$4&lt;&gt;""),L$4&amp;"; ","")&amp;IF(AND(M150="✓",M$4&lt;&gt;""),M$4&amp;"; ","")&amp;IF(AND(N150="✓",N$4&lt;&gt;""),N$4&amp;"; ","")&amp;IF(AND(O150="✓",O$4&lt;&gt;""),O$4&amp;"; ","")&amp;IF(AND(P150="✓",P$4&lt;&gt;""),P$4&amp;"; ","")&amp;IF(AND(Q150="✓",Q$4&lt;&gt;""),Q$4&amp;"; ","")&amp;IF(AND(R150="✓",R$4&lt;&gt;""),R$4&amp;"; ","")&amp;IF(AND(S150="✓",S$4&lt;&gt;""),S$4&amp;"; ","")&amp;IF(AND(T150="✓",T$4&lt;&gt;""),T$4&amp;"; ","")&amp;IF(AND(U150="✓",U$4&lt;&gt;""),U$4&amp;"; ","")&amp;IF(AND(V150="✓",V$4&lt;&gt;""),V$4&amp;"; ","")&amp;IF(AND(W150="✓",W$4&lt;&gt;""),W$4&amp;"; ","")&amp;IF(AND(X150="✓",X$4&lt;&gt;""),X$4&amp;"; ","")&amp;IF(AND(Y150="✓",Y$4&lt;&gt;""),Y$4&amp;"; ","")&amp;IF(AND(Z150="✓",Z$4&lt;&gt;""),Z$4&amp;"; ","")&amp;IF(AND(AA150="✓",AA$4&lt;&gt;""),AA$4&amp;"; ","")&amp;IF(AND(AB150="✓",AB$4&lt;&gt;""),AB$4&amp;"; ","")&amp;IF(AND(AC150="✓",AC$4&lt;&gt;""),AC$4&amp;"; ","")&amp;IF(AND(AD150="✓",AD$4&lt;&gt;""),AD$4&amp;"; ","")&amp;IF(AND(AE150="✓",AE$4&lt;&gt;""),AE$4&amp;"; ","")&amp;IF(AND(AF150="✓",AF$4&lt;&gt;""),AF$4&amp;"; ","")&amp;IF(AND(AG150="✓",AG$4&lt;&gt;""),AG$4&amp;"; ","")&amp;IF(AND(AH150="✓",AH$4&lt;&gt;""),AH$4&amp;"; ","")&amp;IF(AND(AI150="✓",AI$4&lt;&gt;""),AI$4&amp;"; ","")&amp;IF(AND(AJ150="✓",AJ$4&lt;&gt;""),AJ$4&amp;"; ","")&amp;IF(AND(AK150="✓",AK$4&lt;&gt;""),AK$4&amp;"; ","")&amp;IF(AND(AL150="✓",AL$4&lt;&gt;""),AL$4&amp;"; ","")&amp;IF(AND(AM150="✓",AM$4&lt;&gt;""),AM$4&amp;"; ","")&amp;IF(AND(AN150="✓",AN$4&lt;&gt;""),AN$4&amp;"; ","")&amp;IF(AND(AO150="✓",AO$4&lt;&gt;""),AO$4&amp;"; ","")&amp;IF(AND(AP150="✓",AP$4&lt;&gt;""),AP$4&amp;"; ","")&amp;IF(AND(AQ150="✓",AQ$4&lt;&gt;""),AQ$4&amp;"; ","")&amp;IF(AND(AR150="✓",AR$4&lt;&gt;""),AR$4&amp;"; ","")&amp;IF(AND(AS150="✓",AS$4&lt;&gt;""),AS$4&amp;"; ","")&amp;IF(AND(AT150="✓",AT$4&lt;&gt;""),AT$4&amp;"; ","")&amp;IF(AND(AU150="✓",AU$4&lt;&gt;""),AU$4&amp;"; ","")&amp;IF(AND(AV150="✓",AV$4&lt;&gt;""),AV$4&amp;"; ","")&amp;IF(AND(AW150="✓",AW$4&lt;&gt;""),AW$4&amp;"; ","")&amp;IF(AND(AX150="✓",AX$4&lt;&gt;""),AX$4&amp;"; ","")&amp;IF(AND(AY150="✓",AY$4&lt;&gt;""),AY$4&amp;"; ","")&amp;IF(AND(AZ150="✓",AZ$4&lt;&gt;""),AZ$4&amp;"; ","")&amp;IF(AND(BA150="✓",BA$4&lt;&gt;""),BA$4&amp;"; ","")&amp;IF(AND(BB150="✓",BB$4&lt;&gt;""),BB$4&amp;"; ","")&amp;IF(AND(BC150="✓",BC$4&lt;&gt;""),BC$4&amp;"; ","")&amp;IF(AND(BD150="✓",BD$4&lt;&gt;""),BD$4&amp;"; ","")&amp;IF(AND(BE150="✓",BE$4&lt;&gt;""),BE$4&amp;"; ","")&amp;IF(AND(BF150="✓",BF$4&lt;&gt;""),BF$4&amp;"; ","")&amp;IF(AND(BG150="✓",BG$4&lt;&gt;""),BG$4&amp;"; ","")&amp;IF(AND(BH150="✓",BH$4&lt;&gt;""),BH$4&amp;"; ","")&amp;IF(AND(BI150="✓",BI$4&lt;&gt;""),BI$4&amp;"; ","")&amp;IF(AND(BJ150="✓",BJ$4&lt;&gt;""),BJ$4&amp;"; ","")&amp;IF(AND(BK150="✓",BK$4&lt;&gt;""),BK$4&amp;"; ","")&amp;IF(AND(BL150="✓",BL$4&lt;&gt;""),BL$4&amp;"; ","")&amp;IF(AND(BM150="✓",BM$4&lt;&gt;""),BM$4&amp;"; ","")&amp;IF(AND(BN150="✓",BN$4&lt;&gt;""),BN$4&amp;"; ","")&amp;IF(AND(BO150="✓",BO$4&lt;&gt;""),BO$4&amp;"; ","")&amp;IF(AND(BP150="✓",BP$4&lt;&gt;""),BP$4&amp;"; ","")&amp;IF(AND(BQ150="✓",BQ$4&lt;&gt;""),BQ$4&amp;"; ","")&amp;IF(AND(BR150="✓",BR$4&lt;&gt;""),BR$4&amp;"; ","")&amp;IF(AND(BS150="✓",BS$4&lt;&gt;""),BS$4&amp;"; ","")&amp;IF(AND(BT150="✓",BT$4&lt;&gt;""),BT$4&amp;"; ","")&amp;IF(AND(BU150="✓",BU$4&lt;&gt;""),BU$4&amp;"; ","")&amp;IF(AND(BV150="✓",BV$4&lt;&gt;""),BV$4&amp;"; ","")&amp;IF(AND(BW150="✓",BW$4&lt;&gt;""),BW$4&amp;"; ","")&amp;IF(AND(BX150="✓",BX$4&lt;&gt;""),BX$4&amp;"; ","")&amp;IF(AND(BY150="✓",BY$4&lt;&gt;""),BY$4&amp;"; ","")&amp;IF(AND(BZ150="✓",BZ$4&lt;&gt;""),BZ$4&amp;"; ","")&amp;IF(AND(CA150="✓",CA$4&lt;&gt;""),CA$4&amp;"; ","")&amp;IF(AND(CB150="✓",CB$4&lt;&gt;""),CB$4&amp;"; ","")&amp;IF(AND(CC150="✓",CC$4&lt;&gt;""),CC$4&amp;"; ","")&amp;IF(AND(CD150="✓",CD$4&lt;&gt;""),CD$4&amp;"; ","")&amp;IF(AND(CE150="✓",CE$4&lt;&gt;""),CE$4&amp;"; ","")&amp;IF(AND(CF150="✓",CF$4&lt;&gt;""),CF$4&amp;"; ","")&amp;IF(AND(CG150="✓",CG$4&lt;&gt;""),CG$4&amp;"; ","")&amp;IF(AND(CH150="✓",CH$4&lt;&gt;""),CH$4&amp;"; ","")&amp;IF(AND(CI150="✓",CI$4&lt;&gt;""),CI$4&amp;"; ","")&amp;IF(AND(CJ150="✓",CJ$4&lt;&gt;""),CJ$4&amp;"; ","")&amp;IF(AND(CK150="✓",CK$4&lt;&gt;""),CK$4&amp;"; ","")&amp;IF(AND(CL150="✓",CL$4&lt;&gt;""),CL$4&amp;"; ","")&amp;IF(AND(CM150="✓",CM$4&lt;&gt;""),CM$4&amp;"; ","")&amp;IF(AND(CN150="✓",CN$4&lt;&gt;""),CN$4&amp;"; ","")&amp;IF(AND(CO150="✓",CO$4&lt;&gt;""),CO$4&amp;"; ","")</f>
        <v/>
      </c>
      <c r="CQ150" s="104" t="str">
        <f aca="false">IF($CP150="","",LEFT($CP150,LEN($CP150)-2))</f>
        <v/>
      </c>
      <c r="CR150" s="234" t="str">
        <f aca="false">IF($A150="","",COUNTIF($D150:$CO150,"✓"))</f>
        <v/>
      </c>
    </row>
    <row r="151" customFormat="false" ht="21.75" hidden="false" customHeight="true" outlineLevel="0" collapsed="false">
      <c r="A151" s="231" t="str">
        <f aca="false">IF(03_能力總表_Master!$A151="","",03_能力總表_Master!$A151)</f>
        <v/>
      </c>
      <c r="B151" s="166" t="str">
        <f aca="false">IF(03_能力總表_Master!$A151="","",03_能力總表_Master!$B151)</f>
        <v/>
      </c>
      <c r="C151" s="95" t="str">
        <f aca="false">IF(03_能力總表_Master!$A151="","",03_能力總表_Master!$E151)</f>
        <v/>
      </c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32"/>
      <c r="AQ151" s="232"/>
      <c r="AR151" s="232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232"/>
      <c r="BH151" s="232"/>
      <c r="BI151" s="232"/>
      <c r="BJ151" s="232"/>
      <c r="BK151" s="232"/>
      <c r="BL151" s="232"/>
      <c r="BM151" s="232"/>
      <c r="BN151" s="232"/>
      <c r="BO151" s="232"/>
      <c r="BP151" s="232"/>
      <c r="BQ151" s="232"/>
      <c r="BR151" s="232"/>
      <c r="BS151" s="232"/>
      <c r="BT151" s="232"/>
      <c r="BU151" s="232"/>
      <c r="BV151" s="232"/>
      <c r="BW151" s="232"/>
      <c r="BX151" s="232"/>
      <c r="BY151" s="232"/>
      <c r="BZ151" s="232"/>
      <c r="CA151" s="232"/>
      <c r="CB151" s="232"/>
      <c r="CC151" s="232"/>
      <c r="CD151" s="232"/>
      <c r="CE151" s="232"/>
      <c r="CF151" s="232"/>
      <c r="CG151" s="232"/>
      <c r="CH151" s="232"/>
      <c r="CI151" s="232"/>
      <c r="CJ151" s="232"/>
      <c r="CK151" s="232"/>
      <c r="CL151" s="232"/>
      <c r="CM151" s="232"/>
      <c r="CN151" s="232"/>
      <c r="CO151" s="232"/>
      <c r="CP151" s="233" t="str">
        <f aca="false">IF(AND(D151="✓",D$4&lt;&gt;""),D$4&amp;"; ","")&amp;IF(AND(E151="✓",E$4&lt;&gt;""),E$4&amp;"; ","")&amp;IF(AND(F151="✓",F$4&lt;&gt;""),F$4&amp;"; ","")&amp;IF(AND(G151="✓",G$4&lt;&gt;""),G$4&amp;"; ","")&amp;IF(AND(H151="✓",H$4&lt;&gt;""),H$4&amp;"; ","")&amp;IF(AND(I151="✓",I$4&lt;&gt;""),I$4&amp;"; ","")&amp;IF(AND(J151="✓",J$4&lt;&gt;""),J$4&amp;"; ","")&amp;IF(AND(K151="✓",K$4&lt;&gt;""),K$4&amp;"; ","")&amp;IF(AND(L151="✓",L$4&lt;&gt;""),L$4&amp;"; ","")&amp;IF(AND(M151="✓",M$4&lt;&gt;""),M$4&amp;"; ","")&amp;IF(AND(N151="✓",N$4&lt;&gt;""),N$4&amp;"; ","")&amp;IF(AND(O151="✓",O$4&lt;&gt;""),O$4&amp;"; ","")&amp;IF(AND(P151="✓",P$4&lt;&gt;""),P$4&amp;"; ","")&amp;IF(AND(Q151="✓",Q$4&lt;&gt;""),Q$4&amp;"; ","")&amp;IF(AND(R151="✓",R$4&lt;&gt;""),R$4&amp;"; ","")&amp;IF(AND(S151="✓",S$4&lt;&gt;""),S$4&amp;"; ","")&amp;IF(AND(T151="✓",T$4&lt;&gt;""),T$4&amp;"; ","")&amp;IF(AND(U151="✓",U$4&lt;&gt;""),U$4&amp;"; ","")&amp;IF(AND(V151="✓",V$4&lt;&gt;""),V$4&amp;"; ","")&amp;IF(AND(W151="✓",W$4&lt;&gt;""),W$4&amp;"; ","")&amp;IF(AND(X151="✓",X$4&lt;&gt;""),X$4&amp;"; ","")&amp;IF(AND(Y151="✓",Y$4&lt;&gt;""),Y$4&amp;"; ","")&amp;IF(AND(Z151="✓",Z$4&lt;&gt;""),Z$4&amp;"; ","")&amp;IF(AND(AA151="✓",AA$4&lt;&gt;""),AA$4&amp;"; ","")&amp;IF(AND(AB151="✓",AB$4&lt;&gt;""),AB$4&amp;"; ","")&amp;IF(AND(AC151="✓",AC$4&lt;&gt;""),AC$4&amp;"; ","")&amp;IF(AND(AD151="✓",AD$4&lt;&gt;""),AD$4&amp;"; ","")&amp;IF(AND(AE151="✓",AE$4&lt;&gt;""),AE$4&amp;"; ","")&amp;IF(AND(AF151="✓",AF$4&lt;&gt;""),AF$4&amp;"; ","")&amp;IF(AND(AG151="✓",AG$4&lt;&gt;""),AG$4&amp;"; ","")&amp;IF(AND(AH151="✓",AH$4&lt;&gt;""),AH$4&amp;"; ","")&amp;IF(AND(AI151="✓",AI$4&lt;&gt;""),AI$4&amp;"; ","")&amp;IF(AND(AJ151="✓",AJ$4&lt;&gt;""),AJ$4&amp;"; ","")&amp;IF(AND(AK151="✓",AK$4&lt;&gt;""),AK$4&amp;"; ","")&amp;IF(AND(AL151="✓",AL$4&lt;&gt;""),AL$4&amp;"; ","")&amp;IF(AND(AM151="✓",AM$4&lt;&gt;""),AM$4&amp;"; ","")&amp;IF(AND(AN151="✓",AN$4&lt;&gt;""),AN$4&amp;"; ","")&amp;IF(AND(AO151="✓",AO$4&lt;&gt;""),AO$4&amp;"; ","")&amp;IF(AND(AP151="✓",AP$4&lt;&gt;""),AP$4&amp;"; ","")&amp;IF(AND(AQ151="✓",AQ$4&lt;&gt;""),AQ$4&amp;"; ","")&amp;IF(AND(AR151="✓",AR$4&lt;&gt;""),AR$4&amp;"; ","")&amp;IF(AND(AS151="✓",AS$4&lt;&gt;""),AS$4&amp;"; ","")&amp;IF(AND(AT151="✓",AT$4&lt;&gt;""),AT$4&amp;"; ","")&amp;IF(AND(AU151="✓",AU$4&lt;&gt;""),AU$4&amp;"; ","")&amp;IF(AND(AV151="✓",AV$4&lt;&gt;""),AV$4&amp;"; ","")&amp;IF(AND(AW151="✓",AW$4&lt;&gt;""),AW$4&amp;"; ","")&amp;IF(AND(AX151="✓",AX$4&lt;&gt;""),AX$4&amp;"; ","")&amp;IF(AND(AY151="✓",AY$4&lt;&gt;""),AY$4&amp;"; ","")&amp;IF(AND(AZ151="✓",AZ$4&lt;&gt;""),AZ$4&amp;"; ","")&amp;IF(AND(BA151="✓",BA$4&lt;&gt;""),BA$4&amp;"; ","")&amp;IF(AND(BB151="✓",BB$4&lt;&gt;""),BB$4&amp;"; ","")&amp;IF(AND(BC151="✓",BC$4&lt;&gt;""),BC$4&amp;"; ","")&amp;IF(AND(BD151="✓",BD$4&lt;&gt;""),BD$4&amp;"; ","")&amp;IF(AND(BE151="✓",BE$4&lt;&gt;""),BE$4&amp;"; ","")&amp;IF(AND(BF151="✓",BF$4&lt;&gt;""),BF$4&amp;"; ","")&amp;IF(AND(BG151="✓",BG$4&lt;&gt;""),BG$4&amp;"; ","")&amp;IF(AND(BH151="✓",BH$4&lt;&gt;""),BH$4&amp;"; ","")&amp;IF(AND(BI151="✓",BI$4&lt;&gt;""),BI$4&amp;"; ","")&amp;IF(AND(BJ151="✓",BJ$4&lt;&gt;""),BJ$4&amp;"; ","")&amp;IF(AND(BK151="✓",BK$4&lt;&gt;""),BK$4&amp;"; ","")&amp;IF(AND(BL151="✓",BL$4&lt;&gt;""),BL$4&amp;"; ","")&amp;IF(AND(BM151="✓",BM$4&lt;&gt;""),BM$4&amp;"; ","")&amp;IF(AND(BN151="✓",BN$4&lt;&gt;""),BN$4&amp;"; ","")&amp;IF(AND(BO151="✓",BO$4&lt;&gt;""),BO$4&amp;"; ","")&amp;IF(AND(BP151="✓",BP$4&lt;&gt;""),BP$4&amp;"; ","")&amp;IF(AND(BQ151="✓",BQ$4&lt;&gt;""),BQ$4&amp;"; ","")&amp;IF(AND(BR151="✓",BR$4&lt;&gt;""),BR$4&amp;"; ","")&amp;IF(AND(BS151="✓",BS$4&lt;&gt;""),BS$4&amp;"; ","")&amp;IF(AND(BT151="✓",BT$4&lt;&gt;""),BT$4&amp;"; ","")&amp;IF(AND(BU151="✓",BU$4&lt;&gt;""),BU$4&amp;"; ","")&amp;IF(AND(BV151="✓",BV$4&lt;&gt;""),BV$4&amp;"; ","")&amp;IF(AND(BW151="✓",BW$4&lt;&gt;""),BW$4&amp;"; ","")&amp;IF(AND(BX151="✓",BX$4&lt;&gt;""),BX$4&amp;"; ","")&amp;IF(AND(BY151="✓",BY$4&lt;&gt;""),BY$4&amp;"; ","")&amp;IF(AND(BZ151="✓",BZ$4&lt;&gt;""),BZ$4&amp;"; ","")&amp;IF(AND(CA151="✓",CA$4&lt;&gt;""),CA$4&amp;"; ","")&amp;IF(AND(CB151="✓",CB$4&lt;&gt;""),CB$4&amp;"; ","")&amp;IF(AND(CC151="✓",CC$4&lt;&gt;""),CC$4&amp;"; ","")&amp;IF(AND(CD151="✓",CD$4&lt;&gt;""),CD$4&amp;"; ","")&amp;IF(AND(CE151="✓",CE$4&lt;&gt;""),CE$4&amp;"; ","")&amp;IF(AND(CF151="✓",CF$4&lt;&gt;""),CF$4&amp;"; ","")&amp;IF(AND(CG151="✓",CG$4&lt;&gt;""),CG$4&amp;"; ","")&amp;IF(AND(CH151="✓",CH$4&lt;&gt;""),CH$4&amp;"; ","")&amp;IF(AND(CI151="✓",CI$4&lt;&gt;""),CI$4&amp;"; ","")&amp;IF(AND(CJ151="✓",CJ$4&lt;&gt;""),CJ$4&amp;"; ","")&amp;IF(AND(CK151="✓",CK$4&lt;&gt;""),CK$4&amp;"; ","")&amp;IF(AND(CL151="✓",CL$4&lt;&gt;""),CL$4&amp;"; ","")&amp;IF(AND(CM151="✓",CM$4&lt;&gt;""),CM$4&amp;"; ","")&amp;IF(AND(CN151="✓",CN$4&lt;&gt;""),CN$4&amp;"; ","")&amp;IF(AND(CO151="✓",CO$4&lt;&gt;""),CO$4&amp;"; ","")</f>
        <v/>
      </c>
      <c r="CQ151" s="104" t="str">
        <f aca="false">IF($CP151="","",LEFT($CP151,LEN($CP151)-2))</f>
        <v/>
      </c>
      <c r="CR151" s="234" t="str">
        <f aca="false">IF($A151="","",COUNTIF($D151:$CO151,"✓"))</f>
        <v/>
      </c>
    </row>
    <row r="152" customFormat="false" ht="21.75" hidden="false" customHeight="true" outlineLevel="0" collapsed="false">
      <c r="A152" s="231" t="str">
        <f aca="false">IF(03_能力總表_Master!$A152="","",03_能力總表_Master!$A152)</f>
        <v/>
      </c>
      <c r="B152" s="166" t="str">
        <f aca="false">IF(03_能力總表_Master!$A152="","",03_能力總表_Master!$B152)</f>
        <v/>
      </c>
      <c r="C152" s="95" t="str">
        <f aca="false">IF(03_能力總表_Master!$A152="","",03_能力總表_Master!$E152)</f>
        <v/>
      </c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32"/>
      <c r="AQ152" s="232"/>
      <c r="AR152" s="232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232"/>
      <c r="BH152" s="232"/>
      <c r="BI152" s="232"/>
      <c r="BJ152" s="232"/>
      <c r="BK152" s="232"/>
      <c r="BL152" s="232"/>
      <c r="BM152" s="232"/>
      <c r="BN152" s="232"/>
      <c r="BO152" s="232"/>
      <c r="BP152" s="232"/>
      <c r="BQ152" s="232"/>
      <c r="BR152" s="232"/>
      <c r="BS152" s="232"/>
      <c r="BT152" s="232"/>
      <c r="BU152" s="232"/>
      <c r="BV152" s="232"/>
      <c r="BW152" s="232"/>
      <c r="BX152" s="232"/>
      <c r="BY152" s="232"/>
      <c r="BZ152" s="232"/>
      <c r="CA152" s="232"/>
      <c r="CB152" s="232"/>
      <c r="CC152" s="232"/>
      <c r="CD152" s="232"/>
      <c r="CE152" s="232"/>
      <c r="CF152" s="232"/>
      <c r="CG152" s="232"/>
      <c r="CH152" s="232"/>
      <c r="CI152" s="232"/>
      <c r="CJ152" s="232"/>
      <c r="CK152" s="232"/>
      <c r="CL152" s="232"/>
      <c r="CM152" s="232"/>
      <c r="CN152" s="232"/>
      <c r="CO152" s="232"/>
      <c r="CP152" s="233" t="str">
        <f aca="false">IF(AND(D152="✓",D$4&lt;&gt;""),D$4&amp;"; ","")&amp;IF(AND(E152="✓",E$4&lt;&gt;""),E$4&amp;"; ","")&amp;IF(AND(F152="✓",F$4&lt;&gt;""),F$4&amp;"; ","")&amp;IF(AND(G152="✓",G$4&lt;&gt;""),G$4&amp;"; ","")&amp;IF(AND(H152="✓",H$4&lt;&gt;""),H$4&amp;"; ","")&amp;IF(AND(I152="✓",I$4&lt;&gt;""),I$4&amp;"; ","")&amp;IF(AND(J152="✓",J$4&lt;&gt;""),J$4&amp;"; ","")&amp;IF(AND(K152="✓",K$4&lt;&gt;""),K$4&amp;"; ","")&amp;IF(AND(L152="✓",L$4&lt;&gt;""),L$4&amp;"; ","")&amp;IF(AND(M152="✓",M$4&lt;&gt;""),M$4&amp;"; ","")&amp;IF(AND(N152="✓",N$4&lt;&gt;""),N$4&amp;"; ","")&amp;IF(AND(O152="✓",O$4&lt;&gt;""),O$4&amp;"; ","")&amp;IF(AND(P152="✓",P$4&lt;&gt;""),P$4&amp;"; ","")&amp;IF(AND(Q152="✓",Q$4&lt;&gt;""),Q$4&amp;"; ","")&amp;IF(AND(R152="✓",R$4&lt;&gt;""),R$4&amp;"; ","")&amp;IF(AND(S152="✓",S$4&lt;&gt;""),S$4&amp;"; ","")&amp;IF(AND(T152="✓",T$4&lt;&gt;""),T$4&amp;"; ","")&amp;IF(AND(U152="✓",U$4&lt;&gt;""),U$4&amp;"; ","")&amp;IF(AND(V152="✓",V$4&lt;&gt;""),V$4&amp;"; ","")&amp;IF(AND(W152="✓",W$4&lt;&gt;""),W$4&amp;"; ","")&amp;IF(AND(X152="✓",X$4&lt;&gt;""),X$4&amp;"; ","")&amp;IF(AND(Y152="✓",Y$4&lt;&gt;""),Y$4&amp;"; ","")&amp;IF(AND(Z152="✓",Z$4&lt;&gt;""),Z$4&amp;"; ","")&amp;IF(AND(AA152="✓",AA$4&lt;&gt;""),AA$4&amp;"; ","")&amp;IF(AND(AB152="✓",AB$4&lt;&gt;""),AB$4&amp;"; ","")&amp;IF(AND(AC152="✓",AC$4&lt;&gt;""),AC$4&amp;"; ","")&amp;IF(AND(AD152="✓",AD$4&lt;&gt;""),AD$4&amp;"; ","")&amp;IF(AND(AE152="✓",AE$4&lt;&gt;""),AE$4&amp;"; ","")&amp;IF(AND(AF152="✓",AF$4&lt;&gt;""),AF$4&amp;"; ","")&amp;IF(AND(AG152="✓",AG$4&lt;&gt;""),AG$4&amp;"; ","")&amp;IF(AND(AH152="✓",AH$4&lt;&gt;""),AH$4&amp;"; ","")&amp;IF(AND(AI152="✓",AI$4&lt;&gt;""),AI$4&amp;"; ","")&amp;IF(AND(AJ152="✓",AJ$4&lt;&gt;""),AJ$4&amp;"; ","")&amp;IF(AND(AK152="✓",AK$4&lt;&gt;""),AK$4&amp;"; ","")&amp;IF(AND(AL152="✓",AL$4&lt;&gt;""),AL$4&amp;"; ","")&amp;IF(AND(AM152="✓",AM$4&lt;&gt;""),AM$4&amp;"; ","")&amp;IF(AND(AN152="✓",AN$4&lt;&gt;""),AN$4&amp;"; ","")&amp;IF(AND(AO152="✓",AO$4&lt;&gt;""),AO$4&amp;"; ","")&amp;IF(AND(AP152="✓",AP$4&lt;&gt;""),AP$4&amp;"; ","")&amp;IF(AND(AQ152="✓",AQ$4&lt;&gt;""),AQ$4&amp;"; ","")&amp;IF(AND(AR152="✓",AR$4&lt;&gt;""),AR$4&amp;"; ","")&amp;IF(AND(AS152="✓",AS$4&lt;&gt;""),AS$4&amp;"; ","")&amp;IF(AND(AT152="✓",AT$4&lt;&gt;""),AT$4&amp;"; ","")&amp;IF(AND(AU152="✓",AU$4&lt;&gt;""),AU$4&amp;"; ","")&amp;IF(AND(AV152="✓",AV$4&lt;&gt;""),AV$4&amp;"; ","")&amp;IF(AND(AW152="✓",AW$4&lt;&gt;""),AW$4&amp;"; ","")&amp;IF(AND(AX152="✓",AX$4&lt;&gt;""),AX$4&amp;"; ","")&amp;IF(AND(AY152="✓",AY$4&lt;&gt;""),AY$4&amp;"; ","")&amp;IF(AND(AZ152="✓",AZ$4&lt;&gt;""),AZ$4&amp;"; ","")&amp;IF(AND(BA152="✓",BA$4&lt;&gt;""),BA$4&amp;"; ","")&amp;IF(AND(BB152="✓",BB$4&lt;&gt;""),BB$4&amp;"; ","")&amp;IF(AND(BC152="✓",BC$4&lt;&gt;""),BC$4&amp;"; ","")&amp;IF(AND(BD152="✓",BD$4&lt;&gt;""),BD$4&amp;"; ","")&amp;IF(AND(BE152="✓",BE$4&lt;&gt;""),BE$4&amp;"; ","")&amp;IF(AND(BF152="✓",BF$4&lt;&gt;""),BF$4&amp;"; ","")&amp;IF(AND(BG152="✓",BG$4&lt;&gt;""),BG$4&amp;"; ","")&amp;IF(AND(BH152="✓",BH$4&lt;&gt;""),BH$4&amp;"; ","")&amp;IF(AND(BI152="✓",BI$4&lt;&gt;""),BI$4&amp;"; ","")&amp;IF(AND(BJ152="✓",BJ$4&lt;&gt;""),BJ$4&amp;"; ","")&amp;IF(AND(BK152="✓",BK$4&lt;&gt;""),BK$4&amp;"; ","")&amp;IF(AND(BL152="✓",BL$4&lt;&gt;""),BL$4&amp;"; ","")&amp;IF(AND(BM152="✓",BM$4&lt;&gt;""),BM$4&amp;"; ","")&amp;IF(AND(BN152="✓",BN$4&lt;&gt;""),BN$4&amp;"; ","")&amp;IF(AND(BO152="✓",BO$4&lt;&gt;""),BO$4&amp;"; ","")&amp;IF(AND(BP152="✓",BP$4&lt;&gt;""),BP$4&amp;"; ","")&amp;IF(AND(BQ152="✓",BQ$4&lt;&gt;""),BQ$4&amp;"; ","")&amp;IF(AND(BR152="✓",BR$4&lt;&gt;""),BR$4&amp;"; ","")&amp;IF(AND(BS152="✓",BS$4&lt;&gt;""),BS$4&amp;"; ","")&amp;IF(AND(BT152="✓",BT$4&lt;&gt;""),BT$4&amp;"; ","")&amp;IF(AND(BU152="✓",BU$4&lt;&gt;""),BU$4&amp;"; ","")&amp;IF(AND(BV152="✓",BV$4&lt;&gt;""),BV$4&amp;"; ","")&amp;IF(AND(BW152="✓",BW$4&lt;&gt;""),BW$4&amp;"; ","")&amp;IF(AND(BX152="✓",BX$4&lt;&gt;""),BX$4&amp;"; ","")&amp;IF(AND(BY152="✓",BY$4&lt;&gt;""),BY$4&amp;"; ","")&amp;IF(AND(BZ152="✓",BZ$4&lt;&gt;""),BZ$4&amp;"; ","")&amp;IF(AND(CA152="✓",CA$4&lt;&gt;""),CA$4&amp;"; ","")&amp;IF(AND(CB152="✓",CB$4&lt;&gt;""),CB$4&amp;"; ","")&amp;IF(AND(CC152="✓",CC$4&lt;&gt;""),CC$4&amp;"; ","")&amp;IF(AND(CD152="✓",CD$4&lt;&gt;""),CD$4&amp;"; ","")&amp;IF(AND(CE152="✓",CE$4&lt;&gt;""),CE$4&amp;"; ","")&amp;IF(AND(CF152="✓",CF$4&lt;&gt;""),CF$4&amp;"; ","")&amp;IF(AND(CG152="✓",CG$4&lt;&gt;""),CG$4&amp;"; ","")&amp;IF(AND(CH152="✓",CH$4&lt;&gt;""),CH$4&amp;"; ","")&amp;IF(AND(CI152="✓",CI$4&lt;&gt;""),CI$4&amp;"; ","")&amp;IF(AND(CJ152="✓",CJ$4&lt;&gt;""),CJ$4&amp;"; ","")&amp;IF(AND(CK152="✓",CK$4&lt;&gt;""),CK$4&amp;"; ","")&amp;IF(AND(CL152="✓",CL$4&lt;&gt;""),CL$4&amp;"; ","")&amp;IF(AND(CM152="✓",CM$4&lt;&gt;""),CM$4&amp;"; ","")&amp;IF(AND(CN152="✓",CN$4&lt;&gt;""),CN$4&amp;"; ","")&amp;IF(AND(CO152="✓",CO$4&lt;&gt;""),CO$4&amp;"; ","")</f>
        <v/>
      </c>
      <c r="CQ152" s="104" t="str">
        <f aca="false">IF($CP152="","",LEFT($CP152,LEN($CP152)-2))</f>
        <v/>
      </c>
      <c r="CR152" s="234" t="str">
        <f aca="false">IF($A152="","",COUNTIF($D152:$CO152,"✓"))</f>
        <v/>
      </c>
    </row>
    <row r="153" customFormat="false" ht="21.75" hidden="false" customHeight="true" outlineLevel="0" collapsed="false">
      <c r="A153" s="231" t="str">
        <f aca="false">IF(03_能力總表_Master!$A153="","",03_能力總表_Master!$A153)</f>
        <v/>
      </c>
      <c r="B153" s="166" t="str">
        <f aca="false">IF(03_能力總表_Master!$A153="","",03_能力總表_Master!$B153)</f>
        <v/>
      </c>
      <c r="C153" s="95" t="str">
        <f aca="false">IF(03_能力總表_Master!$A153="","",03_能力總表_Master!$E153)</f>
        <v/>
      </c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32"/>
      <c r="AQ153" s="232"/>
      <c r="AR153" s="232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232"/>
      <c r="BH153" s="232"/>
      <c r="BI153" s="232"/>
      <c r="BJ153" s="232"/>
      <c r="BK153" s="232"/>
      <c r="BL153" s="232"/>
      <c r="BM153" s="232"/>
      <c r="BN153" s="232"/>
      <c r="BO153" s="232"/>
      <c r="BP153" s="232"/>
      <c r="BQ153" s="232"/>
      <c r="BR153" s="232"/>
      <c r="BS153" s="232"/>
      <c r="BT153" s="232"/>
      <c r="BU153" s="232"/>
      <c r="BV153" s="232"/>
      <c r="BW153" s="232"/>
      <c r="BX153" s="232"/>
      <c r="BY153" s="232"/>
      <c r="BZ153" s="232"/>
      <c r="CA153" s="232"/>
      <c r="CB153" s="232"/>
      <c r="CC153" s="232"/>
      <c r="CD153" s="232"/>
      <c r="CE153" s="232"/>
      <c r="CF153" s="232"/>
      <c r="CG153" s="232"/>
      <c r="CH153" s="232"/>
      <c r="CI153" s="232"/>
      <c r="CJ153" s="232"/>
      <c r="CK153" s="232"/>
      <c r="CL153" s="232"/>
      <c r="CM153" s="232"/>
      <c r="CN153" s="232"/>
      <c r="CO153" s="232"/>
      <c r="CP153" s="233" t="str">
        <f aca="false">IF(AND(D153="✓",D$4&lt;&gt;""),D$4&amp;"; ","")&amp;IF(AND(E153="✓",E$4&lt;&gt;""),E$4&amp;"; ","")&amp;IF(AND(F153="✓",F$4&lt;&gt;""),F$4&amp;"; ","")&amp;IF(AND(G153="✓",G$4&lt;&gt;""),G$4&amp;"; ","")&amp;IF(AND(H153="✓",H$4&lt;&gt;""),H$4&amp;"; ","")&amp;IF(AND(I153="✓",I$4&lt;&gt;""),I$4&amp;"; ","")&amp;IF(AND(J153="✓",J$4&lt;&gt;""),J$4&amp;"; ","")&amp;IF(AND(K153="✓",K$4&lt;&gt;""),K$4&amp;"; ","")&amp;IF(AND(L153="✓",L$4&lt;&gt;""),L$4&amp;"; ","")&amp;IF(AND(M153="✓",M$4&lt;&gt;""),M$4&amp;"; ","")&amp;IF(AND(N153="✓",N$4&lt;&gt;""),N$4&amp;"; ","")&amp;IF(AND(O153="✓",O$4&lt;&gt;""),O$4&amp;"; ","")&amp;IF(AND(P153="✓",P$4&lt;&gt;""),P$4&amp;"; ","")&amp;IF(AND(Q153="✓",Q$4&lt;&gt;""),Q$4&amp;"; ","")&amp;IF(AND(R153="✓",R$4&lt;&gt;""),R$4&amp;"; ","")&amp;IF(AND(S153="✓",S$4&lt;&gt;""),S$4&amp;"; ","")&amp;IF(AND(T153="✓",T$4&lt;&gt;""),T$4&amp;"; ","")&amp;IF(AND(U153="✓",U$4&lt;&gt;""),U$4&amp;"; ","")&amp;IF(AND(V153="✓",V$4&lt;&gt;""),V$4&amp;"; ","")&amp;IF(AND(W153="✓",W$4&lt;&gt;""),W$4&amp;"; ","")&amp;IF(AND(X153="✓",X$4&lt;&gt;""),X$4&amp;"; ","")&amp;IF(AND(Y153="✓",Y$4&lt;&gt;""),Y$4&amp;"; ","")&amp;IF(AND(Z153="✓",Z$4&lt;&gt;""),Z$4&amp;"; ","")&amp;IF(AND(AA153="✓",AA$4&lt;&gt;""),AA$4&amp;"; ","")&amp;IF(AND(AB153="✓",AB$4&lt;&gt;""),AB$4&amp;"; ","")&amp;IF(AND(AC153="✓",AC$4&lt;&gt;""),AC$4&amp;"; ","")&amp;IF(AND(AD153="✓",AD$4&lt;&gt;""),AD$4&amp;"; ","")&amp;IF(AND(AE153="✓",AE$4&lt;&gt;""),AE$4&amp;"; ","")&amp;IF(AND(AF153="✓",AF$4&lt;&gt;""),AF$4&amp;"; ","")&amp;IF(AND(AG153="✓",AG$4&lt;&gt;""),AG$4&amp;"; ","")&amp;IF(AND(AH153="✓",AH$4&lt;&gt;""),AH$4&amp;"; ","")&amp;IF(AND(AI153="✓",AI$4&lt;&gt;""),AI$4&amp;"; ","")&amp;IF(AND(AJ153="✓",AJ$4&lt;&gt;""),AJ$4&amp;"; ","")&amp;IF(AND(AK153="✓",AK$4&lt;&gt;""),AK$4&amp;"; ","")&amp;IF(AND(AL153="✓",AL$4&lt;&gt;""),AL$4&amp;"; ","")&amp;IF(AND(AM153="✓",AM$4&lt;&gt;""),AM$4&amp;"; ","")&amp;IF(AND(AN153="✓",AN$4&lt;&gt;""),AN$4&amp;"; ","")&amp;IF(AND(AO153="✓",AO$4&lt;&gt;""),AO$4&amp;"; ","")&amp;IF(AND(AP153="✓",AP$4&lt;&gt;""),AP$4&amp;"; ","")&amp;IF(AND(AQ153="✓",AQ$4&lt;&gt;""),AQ$4&amp;"; ","")&amp;IF(AND(AR153="✓",AR$4&lt;&gt;""),AR$4&amp;"; ","")&amp;IF(AND(AS153="✓",AS$4&lt;&gt;""),AS$4&amp;"; ","")&amp;IF(AND(AT153="✓",AT$4&lt;&gt;""),AT$4&amp;"; ","")&amp;IF(AND(AU153="✓",AU$4&lt;&gt;""),AU$4&amp;"; ","")&amp;IF(AND(AV153="✓",AV$4&lt;&gt;""),AV$4&amp;"; ","")&amp;IF(AND(AW153="✓",AW$4&lt;&gt;""),AW$4&amp;"; ","")&amp;IF(AND(AX153="✓",AX$4&lt;&gt;""),AX$4&amp;"; ","")&amp;IF(AND(AY153="✓",AY$4&lt;&gt;""),AY$4&amp;"; ","")&amp;IF(AND(AZ153="✓",AZ$4&lt;&gt;""),AZ$4&amp;"; ","")&amp;IF(AND(BA153="✓",BA$4&lt;&gt;""),BA$4&amp;"; ","")&amp;IF(AND(BB153="✓",BB$4&lt;&gt;""),BB$4&amp;"; ","")&amp;IF(AND(BC153="✓",BC$4&lt;&gt;""),BC$4&amp;"; ","")&amp;IF(AND(BD153="✓",BD$4&lt;&gt;""),BD$4&amp;"; ","")&amp;IF(AND(BE153="✓",BE$4&lt;&gt;""),BE$4&amp;"; ","")&amp;IF(AND(BF153="✓",BF$4&lt;&gt;""),BF$4&amp;"; ","")&amp;IF(AND(BG153="✓",BG$4&lt;&gt;""),BG$4&amp;"; ","")&amp;IF(AND(BH153="✓",BH$4&lt;&gt;""),BH$4&amp;"; ","")&amp;IF(AND(BI153="✓",BI$4&lt;&gt;""),BI$4&amp;"; ","")&amp;IF(AND(BJ153="✓",BJ$4&lt;&gt;""),BJ$4&amp;"; ","")&amp;IF(AND(BK153="✓",BK$4&lt;&gt;""),BK$4&amp;"; ","")&amp;IF(AND(BL153="✓",BL$4&lt;&gt;""),BL$4&amp;"; ","")&amp;IF(AND(BM153="✓",BM$4&lt;&gt;""),BM$4&amp;"; ","")&amp;IF(AND(BN153="✓",BN$4&lt;&gt;""),BN$4&amp;"; ","")&amp;IF(AND(BO153="✓",BO$4&lt;&gt;""),BO$4&amp;"; ","")&amp;IF(AND(BP153="✓",BP$4&lt;&gt;""),BP$4&amp;"; ","")&amp;IF(AND(BQ153="✓",BQ$4&lt;&gt;""),BQ$4&amp;"; ","")&amp;IF(AND(BR153="✓",BR$4&lt;&gt;""),BR$4&amp;"; ","")&amp;IF(AND(BS153="✓",BS$4&lt;&gt;""),BS$4&amp;"; ","")&amp;IF(AND(BT153="✓",BT$4&lt;&gt;""),BT$4&amp;"; ","")&amp;IF(AND(BU153="✓",BU$4&lt;&gt;""),BU$4&amp;"; ","")&amp;IF(AND(BV153="✓",BV$4&lt;&gt;""),BV$4&amp;"; ","")&amp;IF(AND(BW153="✓",BW$4&lt;&gt;""),BW$4&amp;"; ","")&amp;IF(AND(BX153="✓",BX$4&lt;&gt;""),BX$4&amp;"; ","")&amp;IF(AND(BY153="✓",BY$4&lt;&gt;""),BY$4&amp;"; ","")&amp;IF(AND(BZ153="✓",BZ$4&lt;&gt;""),BZ$4&amp;"; ","")&amp;IF(AND(CA153="✓",CA$4&lt;&gt;""),CA$4&amp;"; ","")&amp;IF(AND(CB153="✓",CB$4&lt;&gt;""),CB$4&amp;"; ","")&amp;IF(AND(CC153="✓",CC$4&lt;&gt;""),CC$4&amp;"; ","")&amp;IF(AND(CD153="✓",CD$4&lt;&gt;""),CD$4&amp;"; ","")&amp;IF(AND(CE153="✓",CE$4&lt;&gt;""),CE$4&amp;"; ","")&amp;IF(AND(CF153="✓",CF$4&lt;&gt;""),CF$4&amp;"; ","")&amp;IF(AND(CG153="✓",CG$4&lt;&gt;""),CG$4&amp;"; ","")&amp;IF(AND(CH153="✓",CH$4&lt;&gt;""),CH$4&amp;"; ","")&amp;IF(AND(CI153="✓",CI$4&lt;&gt;""),CI$4&amp;"; ","")&amp;IF(AND(CJ153="✓",CJ$4&lt;&gt;""),CJ$4&amp;"; ","")&amp;IF(AND(CK153="✓",CK$4&lt;&gt;""),CK$4&amp;"; ","")&amp;IF(AND(CL153="✓",CL$4&lt;&gt;""),CL$4&amp;"; ","")&amp;IF(AND(CM153="✓",CM$4&lt;&gt;""),CM$4&amp;"; ","")&amp;IF(AND(CN153="✓",CN$4&lt;&gt;""),CN$4&amp;"; ","")&amp;IF(AND(CO153="✓",CO$4&lt;&gt;""),CO$4&amp;"; ","")</f>
        <v/>
      </c>
      <c r="CQ153" s="104" t="str">
        <f aca="false">IF($CP153="","",LEFT($CP153,LEN($CP153)-2))</f>
        <v/>
      </c>
      <c r="CR153" s="234" t="str">
        <f aca="false">IF($A153="","",COUNTIF($D153:$CO153,"✓"))</f>
        <v/>
      </c>
    </row>
    <row r="154" customFormat="false" ht="21.75" hidden="false" customHeight="true" outlineLevel="0" collapsed="false">
      <c r="A154" s="231" t="str">
        <f aca="false">IF(03_能力總表_Master!$A154="","",03_能力總表_Master!$A154)</f>
        <v/>
      </c>
      <c r="B154" s="166" t="str">
        <f aca="false">IF(03_能力總表_Master!$A154="","",03_能力總表_Master!$B154)</f>
        <v/>
      </c>
      <c r="C154" s="95" t="str">
        <f aca="false">IF(03_能力總表_Master!$A154="","",03_能力總表_Master!$E154)</f>
        <v/>
      </c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32"/>
      <c r="AQ154" s="232"/>
      <c r="AR154" s="232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232"/>
      <c r="BH154" s="232"/>
      <c r="BI154" s="232"/>
      <c r="BJ154" s="232"/>
      <c r="BK154" s="232"/>
      <c r="BL154" s="232"/>
      <c r="BM154" s="232"/>
      <c r="BN154" s="232"/>
      <c r="BO154" s="232"/>
      <c r="BP154" s="232"/>
      <c r="BQ154" s="232"/>
      <c r="BR154" s="232"/>
      <c r="BS154" s="232"/>
      <c r="BT154" s="232"/>
      <c r="BU154" s="232"/>
      <c r="BV154" s="232"/>
      <c r="BW154" s="232"/>
      <c r="BX154" s="232"/>
      <c r="BY154" s="232"/>
      <c r="BZ154" s="232"/>
      <c r="CA154" s="232"/>
      <c r="CB154" s="232"/>
      <c r="CC154" s="232"/>
      <c r="CD154" s="232"/>
      <c r="CE154" s="232"/>
      <c r="CF154" s="232"/>
      <c r="CG154" s="232"/>
      <c r="CH154" s="232"/>
      <c r="CI154" s="232"/>
      <c r="CJ154" s="232"/>
      <c r="CK154" s="232"/>
      <c r="CL154" s="232"/>
      <c r="CM154" s="232"/>
      <c r="CN154" s="232"/>
      <c r="CO154" s="232"/>
      <c r="CP154" s="233" t="str">
        <f aca="false">IF(AND(D154="✓",D$4&lt;&gt;""),D$4&amp;"; ","")&amp;IF(AND(E154="✓",E$4&lt;&gt;""),E$4&amp;"; ","")&amp;IF(AND(F154="✓",F$4&lt;&gt;""),F$4&amp;"; ","")&amp;IF(AND(G154="✓",G$4&lt;&gt;""),G$4&amp;"; ","")&amp;IF(AND(H154="✓",H$4&lt;&gt;""),H$4&amp;"; ","")&amp;IF(AND(I154="✓",I$4&lt;&gt;""),I$4&amp;"; ","")&amp;IF(AND(J154="✓",J$4&lt;&gt;""),J$4&amp;"; ","")&amp;IF(AND(K154="✓",K$4&lt;&gt;""),K$4&amp;"; ","")&amp;IF(AND(L154="✓",L$4&lt;&gt;""),L$4&amp;"; ","")&amp;IF(AND(M154="✓",M$4&lt;&gt;""),M$4&amp;"; ","")&amp;IF(AND(N154="✓",N$4&lt;&gt;""),N$4&amp;"; ","")&amp;IF(AND(O154="✓",O$4&lt;&gt;""),O$4&amp;"; ","")&amp;IF(AND(P154="✓",P$4&lt;&gt;""),P$4&amp;"; ","")&amp;IF(AND(Q154="✓",Q$4&lt;&gt;""),Q$4&amp;"; ","")&amp;IF(AND(R154="✓",R$4&lt;&gt;""),R$4&amp;"; ","")&amp;IF(AND(S154="✓",S$4&lt;&gt;""),S$4&amp;"; ","")&amp;IF(AND(T154="✓",T$4&lt;&gt;""),T$4&amp;"; ","")&amp;IF(AND(U154="✓",U$4&lt;&gt;""),U$4&amp;"; ","")&amp;IF(AND(V154="✓",V$4&lt;&gt;""),V$4&amp;"; ","")&amp;IF(AND(W154="✓",W$4&lt;&gt;""),W$4&amp;"; ","")&amp;IF(AND(X154="✓",X$4&lt;&gt;""),X$4&amp;"; ","")&amp;IF(AND(Y154="✓",Y$4&lt;&gt;""),Y$4&amp;"; ","")&amp;IF(AND(Z154="✓",Z$4&lt;&gt;""),Z$4&amp;"; ","")&amp;IF(AND(AA154="✓",AA$4&lt;&gt;""),AA$4&amp;"; ","")&amp;IF(AND(AB154="✓",AB$4&lt;&gt;""),AB$4&amp;"; ","")&amp;IF(AND(AC154="✓",AC$4&lt;&gt;""),AC$4&amp;"; ","")&amp;IF(AND(AD154="✓",AD$4&lt;&gt;""),AD$4&amp;"; ","")&amp;IF(AND(AE154="✓",AE$4&lt;&gt;""),AE$4&amp;"; ","")&amp;IF(AND(AF154="✓",AF$4&lt;&gt;""),AF$4&amp;"; ","")&amp;IF(AND(AG154="✓",AG$4&lt;&gt;""),AG$4&amp;"; ","")&amp;IF(AND(AH154="✓",AH$4&lt;&gt;""),AH$4&amp;"; ","")&amp;IF(AND(AI154="✓",AI$4&lt;&gt;""),AI$4&amp;"; ","")&amp;IF(AND(AJ154="✓",AJ$4&lt;&gt;""),AJ$4&amp;"; ","")&amp;IF(AND(AK154="✓",AK$4&lt;&gt;""),AK$4&amp;"; ","")&amp;IF(AND(AL154="✓",AL$4&lt;&gt;""),AL$4&amp;"; ","")&amp;IF(AND(AM154="✓",AM$4&lt;&gt;""),AM$4&amp;"; ","")&amp;IF(AND(AN154="✓",AN$4&lt;&gt;""),AN$4&amp;"; ","")&amp;IF(AND(AO154="✓",AO$4&lt;&gt;""),AO$4&amp;"; ","")&amp;IF(AND(AP154="✓",AP$4&lt;&gt;""),AP$4&amp;"; ","")&amp;IF(AND(AQ154="✓",AQ$4&lt;&gt;""),AQ$4&amp;"; ","")&amp;IF(AND(AR154="✓",AR$4&lt;&gt;""),AR$4&amp;"; ","")&amp;IF(AND(AS154="✓",AS$4&lt;&gt;""),AS$4&amp;"; ","")&amp;IF(AND(AT154="✓",AT$4&lt;&gt;""),AT$4&amp;"; ","")&amp;IF(AND(AU154="✓",AU$4&lt;&gt;""),AU$4&amp;"; ","")&amp;IF(AND(AV154="✓",AV$4&lt;&gt;""),AV$4&amp;"; ","")&amp;IF(AND(AW154="✓",AW$4&lt;&gt;""),AW$4&amp;"; ","")&amp;IF(AND(AX154="✓",AX$4&lt;&gt;""),AX$4&amp;"; ","")&amp;IF(AND(AY154="✓",AY$4&lt;&gt;""),AY$4&amp;"; ","")&amp;IF(AND(AZ154="✓",AZ$4&lt;&gt;""),AZ$4&amp;"; ","")&amp;IF(AND(BA154="✓",BA$4&lt;&gt;""),BA$4&amp;"; ","")&amp;IF(AND(BB154="✓",BB$4&lt;&gt;""),BB$4&amp;"; ","")&amp;IF(AND(BC154="✓",BC$4&lt;&gt;""),BC$4&amp;"; ","")&amp;IF(AND(BD154="✓",BD$4&lt;&gt;""),BD$4&amp;"; ","")&amp;IF(AND(BE154="✓",BE$4&lt;&gt;""),BE$4&amp;"; ","")&amp;IF(AND(BF154="✓",BF$4&lt;&gt;""),BF$4&amp;"; ","")&amp;IF(AND(BG154="✓",BG$4&lt;&gt;""),BG$4&amp;"; ","")&amp;IF(AND(BH154="✓",BH$4&lt;&gt;""),BH$4&amp;"; ","")&amp;IF(AND(BI154="✓",BI$4&lt;&gt;""),BI$4&amp;"; ","")&amp;IF(AND(BJ154="✓",BJ$4&lt;&gt;""),BJ$4&amp;"; ","")&amp;IF(AND(BK154="✓",BK$4&lt;&gt;""),BK$4&amp;"; ","")&amp;IF(AND(BL154="✓",BL$4&lt;&gt;""),BL$4&amp;"; ","")&amp;IF(AND(BM154="✓",BM$4&lt;&gt;""),BM$4&amp;"; ","")&amp;IF(AND(BN154="✓",BN$4&lt;&gt;""),BN$4&amp;"; ","")&amp;IF(AND(BO154="✓",BO$4&lt;&gt;""),BO$4&amp;"; ","")&amp;IF(AND(BP154="✓",BP$4&lt;&gt;""),BP$4&amp;"; ","")&amp;IF(AND(BQ154="✓",BQ$4&lt;&gt;""),BQ$4&amp;"; ","")&amp;IF(AND(BR154="✓",BR$4&lt;&gt;""),BR$4&amp;"; ","")&amp;IF(AND(BS154="✓",BS$4&lt;&gt;""),BS$4&amp;"; ","")&amp;IF(AND(BT154="✓",BT$4&lt;&gt;""),BT$4&amp;"; ","")&amp;IF(AND(BU154="✓",BU$4&lt;&gt;""),BU$4&amp;"; ","")&amp;IF(AND(BV154="✓",BV$4&lt;&gt;""),BV$4&amp;"; ","")&amp;IF(AND(BW154="✓",BW$4&lt;&gt;""),BW$4&amp;"; ","")&amp;IF(AND(BX154="✓",BX$4&lt;&gt;""),BX$4&amp;"; ","")&amp;IF(AND(BY154="✓",BY$4&lt;&gt;""),BY$4&amp;"; ","")&amp;IF(AND(BZ154="✓",BZ$4&lt;&gt;""),BZ$4&amp;"; ","")&amp;IF(AND(CA154="✓",CA$4&lt;&gt;""),CA$4&amp;"; ","")&amp;IF(AND(CB154="✓",CB$4&lt;&gt;""),CB$4&amp;"; ","")&amp;IF(AND(CC154="✓",CC$4&lt;&gt;""),CC$4&amp;"; ","")&amp;IF(AND(CD154="✓",CD$4&lt;&gt;""),CD$4&amp;"; ","")&amp;IF(AND(CE154="✓",CE$4&lt;&gt;""),CE$4&amp;"; ","")&amp;IF(AND(CF154="✓",CF$4&lt;&gt;""),CF$4&amp;"; ","")&amp;IF(AND(CG154="✓",CG$4&lt;&gt;""),CG$4&amp;"; ","")&amp;IF(AND(CH154="✓",CH$4&lt;&gt;""),CH$4&amp;"; ","")&amp;IF(AND(CI154="✓",CI$4&lt;&gt;""),CI$4&amp;"; ","")&amp;IF(AND(CJ154="✓",CJ$4&lt;&gt;""),CJ$4&amp;"; ","")&amp;IF(AND(CK154="✓",CK$4&lt;&gt;""),CK$4&amp;"; ","")&amp;IF(AND(CL154="✓",CL$4&lt;&gt;""),CL$4&amp;"; ","")&amp;IF(AND(CM154="✓",CM$4&lt;&gt;""),CM$4&amp;"; ","")&amp;IF(AND(CN154="✓",CN$4&lt;&gt;""),CN$4&amp;"; ","")&amp;IF(AND(CO154="✓",CO$4&lt;&gt;""),CO$4&amp;"; ","")</f>
        <v/>
      </c>
      <c r="CQ154" s="104" t="str">
        <f aca="false">IF($CP154="","",LEFT($CP154,LEN($CP154)-2))</f>
        <v/>
      </c>
      <c r="CR154" s="234" t="str">
        <f aca="false">IF($A154="","",COUNTIF($D154:$CO154,"✓"))</f>
        <v/>
      </c>
    </row>
    <row r="156" customFormat="false" ht="15" hidden="false" customHeight="false" outlineLevel="0" collapsed="false">
      <c r="A156" s="235"/>
      <c r="B156" s="235"/>
      <c r="C156" s="236" t="s">
        <v>1306</v>
      </c>
      <c r="D156" s="237" t="n">
        <f aca="false">COUNTIF(D$5:D$154,"✓")</f>
        <v>9</v>
      </c>
      <c r="E156" s="237" t="n">
        <f aca="false">COUNTIF(E$5:E$154,"✓")</f>
        <v>6</v>
      </c>
      <c r="F156" s="237" t="n">
        <f aca="false">COUNTIF(F$5:F$154,"✓")</f>
        <v>4</v>
      </c>
      <c r="G156" s="237" t="n">
        <f aca="false">COUNTIF(G$5:G$154,"✓")</f>
        <v>4</v>
      </c>
      <c r="H156" s="237" t="n">
        <f aca="false">COUNTIF(H$5:H$154,"✓")</f>
        <v>4</v>
      </c>
      <c r="I156" s="237" t="n">
        <f aca="false">COUNTIF(I$5:I$154,"✓")</f>
        <v>4</v>
      </c>
      <c r="J156" s="237" t="n">
        <f aca="false">COUNTIF(J$5:J$154,"✓")</f>
        <v>5</v>
      </c>
      <c r="K156" s="237" t="n">
        <f aca="false">COUNTIF(K$5:K$154,"✓")</f>
        <v>3</v>
      </c>
      <c r="L156" s="237" t="n">
        <f aca="false">COUNTIF(L$5:L$154,"✓")</f>
        <v>1</v>
      </c>
      <c r="M156" s="237" t="n">
        <f aca="false">COUNTIF(M$5:M$154,"✓")</f>
        <v>1</v>
      </c>
      <c r="N156" s="237" t="n">
        <f aca="false">COUNTIF(N$5:N$154,"✓")</f>
        <v>1</v>
      </c>
      <c r="O156" s="237" t="n">
        <f aca="false">COUNTIF(O$5:O$154,"✓")</f>
        <v>2</v>
      </c>
      <c r="P156" s="237" t="n">
        <f aca="false">COUNTIF(P$5:P$154,"✓")</f>
        <v>2</v>
      </c>
      <c r="Q156" s="237" t="n">
        <f aca="false">COUNTIF(Q$5:Q$154,"✓")</f>
        <v>2</v>
      </c>
      <c r="R156" s="237" t="n">
        <f aca="false">COUNTIF(R$5:R$154,"✓")</f>
        <v>3</v>
      </c>
      <c r="S156" s="237" t="n">
        <f aca="false">COUNTIF(S$5:S$154,"✓")</f>
        <v>1</v>
      </c>
      <c r="T156" s="237" t="n">
        <f aca="false">COUNTIF(T$5:T$154,"✓")</f>
        <v>2</v>
      </c>
      <c r="U156" s="237" t="n">
        <f aca="false">COUNTIF(U$5:U$154,"✓")</f>
        <v>1</v>
      </c>
      <c r="V156" s="237" t="n">
        <f aca="false">COUNTIF(V$5:V$154,"✓")</f>
        <v>2</v>
      </c>
      <c r="W156" s="237" t="n">
        <f aca="false">COUNTIF(W$5:W$154,"✓")</f>
        <v>2</v>
      </c>
      <c r="X156" s="237" t="n">
        <f aca="false">COUNTIF(X$5:X$154,"✓")</f>
        <v>3</v>
      </c>
      <c r="Y156" s="237" t="n">
        <f aca="false">COUNTIF(Y$5:Y$154,"✓")</f>
        <v>1</v>
      </c>
      <c r="Z156" s="237" t="n">
        <f aca="false">COUNTIF(Z$5:Z$154,"✓")</f>
        <v>2</v>
      </c>
      <c r="AA156" s="237" t="n">
        <f aca="false">COUNTIF(AA$5:AA$154,"✓")</f>
        <v>3</v>
      </c>
      <c r="AB156" s="237" t="n">
        <f aca="false">COUNTIF(AB$5:AB$154,"✓")</f>
        <v>2</v>
      </c>
      <c r="AC156" s="237" t="n">
        <f aca="false">COUNTIF(AC$5:AC$154,"✓")</f>
        <v>4</v>
      </c>
      <c r="AD156" s="237" t="n">
        <f aca="false">COUNTIF(AD$5:AD$154,"✓")</f>
        <v>2</v>
      </c>
      <c r="AE156" s="237" t="n">
        <f aca="false">COUNTIF(AE$5:AE$154,"✓")</f>
        <v>2</v>
      </c>
      <c r="AF156" s="237" t="n">
        <f aca="false">COUNTIF(AF$5:AF$154,"✓")</f>
        <v>1</v>
      </c>
      <c r="AG156" s="237" t="n">
        <f aca="false">COUNTIF(AG$5:AG$154,"✓")</f>
        <v>2</v>
      </c>
      <c r="AH156" s="237" t="n">
        <f aca="false">COUNTIF(AH$5:AH$154,"✓")</f>
        <v>2</v>
      </c>
      <c r="AI156" s="237" t="n">
        <f aca="false">COUNTIF(AI$5:AI$154,"✓")</f>
        <v>2</v>
      </c>
      <c r="AJ156" s="237" t="n">
        <f aca="false">COUNTIF(AJ$5:AJ$154,"✓")</f>
        <v>2</v>
      </c>
      <c r="AK156" s="237" t="n">
        <f aca="false">COUNTIF(AK$5:AK$154,"✓")</f>
        <v>2</v>
      </c>
      <c r="AL156" s="237" t="n">
        <f aca="false">COUNTIF(AL$5:AL$154,"✓")</f>
        <v>1</v>
      </c>
      <c r="AM156" s="237" t="n">
        <f aca="false">COUNTIF(AM$5:AM$154,"✓")</f>
        <v>1</v>
      </c>
      <c r="AN156" s="237" t="n">
        <f aca="false">COUNTIF(AN$5:AN$154,"✓")</f>
        <v>2</v>
      </c>
      <c r="AO156" s="237" t="n">
        <f aca="false">COUNTIF(AO$5:AO$154,"✓")</f>
        <v>2</v>
      </c>
      <c r="AP156" s="237" t="n">
        <f aca="false">COUNTIF(AP$5:AP$154,"✓")</f>
        <v>2</v>
      </c>
      <c r="AQ156" s="237" t="n">
        <f aca="false">COUNTIF(AQ$5:AQ$154,"✓")</f>
        <v>3</v>
      </c>
      <c r="AR156" s="237" t="n">
        <f aca="false">COUNTIF(AR$5:AR$154,"✓")</f>
        <v>1</v>
      </c>
      <c r="AS156" s="237" t="n">
        <f aca="false">COUNTIF(AS$5:AS$154,"✓")</f>
        <v>2</v>
      </c>
      <c r="AT156" s="237" t="n">
        <f aca="false">COUNTIF(AT$5:AT$154,"✓")</f>
        <v>0</v>
      </c>
      <c r="AU156" s="237" t="n">
        <f aca="false">COUNTIF(AU$5:AU$154,"✓")</f>
        <v>2</v>
      </c>
      <c r="AV156" s="237" t="n">
        <f aca="false">COUNTIF(AV$5:AV$154,"✓")</f>
        <v>1</v>
      </c>
      <c r="AW156" s="237" t="n">
        <f aca="false">COUNTIF(AW$5:AW$154,"✓")</f>
        <v>1</v>
      </c>
      <c r="AX156" s="237" t="n">
        <f aca="false">COUNTIF(AX$5:AX$154,"✓")</f>
        <v>0</v>
      </c>
      <c r="AY156" s="237" t="n">
        <f aca="false">COUNTIF(AY$5:AY$154,"✓")</f>
        <v>0</v>
      </c>
      <c r="AZ156" s="237" t="n">
        <f aca="false">COUNTIF(AZ$5:AZ$154,"✓")</f>
        <v>0</v>
      </c>
      <c r="BA156" s="237" t="n">
        <f aca="false">COUNTIF(BA$5:BA$154,"✓")</f>
        <v>0</v>
      </c>
      <c r="BB156" s="237" t="n">
        <f aca="false">COUNTIF(BB$5:BB$154,"✓")</f>
        <v>1</v>
      </c>
      <c r="BC156" s="237" t="n">
        <f aca="false">COUNTIF(BC$5:BC$154,"✓")</f>
        <v>2</v>
      </c>
      <c r="BD156" s="237" t="n">
        <f aca="false">COUNTIF(BD$5:BD$154,"✓")</f>
        <v>2</v>
      </c>
      <c r="BE156" s="237" t="n">
        <f aca="false">COUNTIF(BE$5:BE$154,"✓")</f>
        <v>2</v>
      </c>
      <c r="BF156" s="237" t="n">
        <f aca="false">COUNTIF(BF$5:BF$154,"✓")</f>
        <v>0</v>
      </c>
      <c r="BG156" s="237" t="n">
        <f aca="false">COUNTIF(BG$5:BG$154,"✓")</f>
        <v>1</v>
      </c>
      <c r="BH156" s="237" t="n">
        <f aca="false">COUNTIF(BH$5:BH$154,"✓")</f>
        <v>1</v>
      </c>
      <c r="BI156" s="237" t="n">
        <f aca="false">COUNTIF(BI$5:BI$154,"✓")</f>
        <v>2</v>
      </c>
      <c r="BJ156" s="237" t="n">
        <f aca="false">COUNTIF(BJ$5:BJ$154,"✓")</f>
        <v>2</v>
      </c>
      <c r="BK156" s="237" t="n">
        <f aca="false">COUNTIF(BK$5:BK$154,"✓")</f>
        <v>5</v>
      </c>
      <c r="BL156" s="237" t="n">
        <f aca="false">COUNTIF(BL$5:BL$154,"✓")</f>
        <v>2</v>
      </c>
      <c r="BM156" s="237" t="n">
        <f aca="false">COUNTIF(BM$5:BM$154,"✓")</f>
        <v>5</v>
      </c>
      <c r="BN156" s="237" t="n">
        <f aca="false">COUNTIF(BN$5:BN$154,"✓")</f>
        <v>3</v>
      </c>
      <c r="BO156" s="237" t="n">
        <f aca="false">COUNTIF(BO$5:BO$154,"✓")</f>
        <v>2</v>
      </c>
      <c r="BP156" s="237" t="n">
        <f aca="false">COUNTIF(BP$5:BP$154,"✓")</f>
        <v>2</v>
      </c>
      <c r="BQ156" s="237" t="n">
        <f aca="false">COUNTIF(BQ$5:BQ$154,"✓")</f>
        <v>2</v>
      </c>
      <c r="BR156" s="237" t="n">
        <f aca="false">COUNTIF(BR$5:BR$154,"✓")</f>
        <v>1</v>
      </c>
      <c r="BS156" s="237" t="n">
        <f aca="false">COUNTIF(BS$5:BS$154,"✓")</f>
        <v>1</v>
      </c>
      <c r="BT156" s="237" t="n">
        <f aca="false">COUNTIF(BT$5:BT$154,"✓")</f>
        <v>2</v>
      </c>
      <c r="BU156" s="237" t="n">
        <f aca="false">COUNTIF(BU$5:BU$154,"✓")</f>
        <v>1</v>
      </c>
      <c r="BV156" s="237" t="n">
        <f aca="false">COUNTIF(BV$5:BV$154,"✓")</f>
        <v>1</v>
      </c>
      <c r="BW156" s="237" t="n">
        <f aca="false">COUNTIF(BW$5:BW$154,"✓")</f>
        <v>2</v>
      </c>
      <c r="BX156" s="237" t="n">
        <f aca="false">COUNTIF(BX$5:BX$154,"✓")</f>
        <v>2</v>
      </c>
      <c r="BY156" s="237" t="n">
        <f aca="false">COUNTIF(BY$5:BY$154,"✓")</f>
        <v>2</v>
      </c>
      <c r="BZ156" s="237" t="n">
        <f aca="false">COUNTIF(BZ$5:BZ$154,"✓")</f>
        <v>2</v>
      </c>
      <c r="CA156" s="237" t="n">
        <f aca="false">COUNTIF(CA$5:CA$154,"✓")</f>
        <v>1</v>
      </c>
      <c r="CB156" s="237" t="n">
        <f aca="false">COUNTIF(CB$5:CB$154,"✓")</f>
        <v>2</v>
      </c>
      <c r="CC156" s="237" t="n">
        <f aca="false">COUNTIF(CC$5:CC$154,"✓")</f>
        <v>1</v>
      </c>
      <c r="CD156" s="237" t="n">
        <f aca="false">COUNTIF(CD$5:CD$154,"✓")</f>
        <v>2</v>
      </c>
      <c r="CE156" s="237" t="n">
        <f aca="false">COUNTIF(CE$5:CE$154,"✓")</f>
        <v>1</v>
      </c>
      <c r="CF156" s="237" t="n">
        <f aca="false">COUNTIF(CF$5:CF$154,"✓")</f>
        <v>2</v>
      </c>
      <c r="CG156" s="237" t="n">
        <f aca="false">COUNTIF(CG$5:CG$154,"✓")</f>
        <v>2</v>
      </c>
      <c r="CH156" s="237" t="n">
        <f aca="false">COUNTIF(CH$5:CH$154,"✓")</f>
        <v>1</v>
      </c>
      <c r="CI156" s="237" t="n">
        <f aca="false">COUNTIF(CI$5:CI$154,"✓")</f>
        <v>2</v>
      </c>
      <c r="CJ156" s="237" t="n">
        <f aca="false">COUNTIF(CJ$5:CJ$154,"✓")</f>
        <v>2</v>
      </c>
      <c r="CK156" s="237" t="n">
        <f aca="false">COUNTIF(CK$5:CK$154,"✓")</f>
        <v>0</v>
      </c>
      <c r="CL156" s="237" t="n">
        <f aca="false">COUNTIF(CL$5:CL$154,"✓")</f>
        <v>0</v>
      </c>
      <c r="CM156" s="237" t="n">
        <f aca="false">COUNTIF(CM$5:CM$154,"✓")</f>
        <v>0</v>
      </c>
      <c r="CN156" s="237" t="n">
        <f aca="false">COUNTIF(CN$5:CN$154,"✓")</f>
        <v>0</v>
      </c>
      <c r="CO156" s="237" t="n">
        <f aca="false">COUNTIF(CO$5:CO$154,"✓")</f>
        <v>0</v>
      </c>
    </row>
    <row r="157" customFormat="false" ht="15" hidden="false" customHeight="false" outlineLevel="0" collapsed="false">
      <c r="A157" s="235"/>
      <c r="B157" s="235"/>
      <c r="C157" s="236" t="s">
        <v>1307</v>
      </c>
      <c r="D157" s="238" t="n">
        <f aca="false">IFERROR(ROUND(SUMIFS(03_能力總表_Master!$Q$5:$Q$154,D$5:D$154,"✓")/D$156,1),"")</f>
        <v>3.7</v>
      </c>
      <c r="E157" s="238" t="n">
        <f aca="false">IFERROR(ROUND(SUMIFS(03_能力總表_Master!$Q$5:$Q$154,E$5:E$154,"✓")/E$156,1),"")</f>
        <v>4.7</v>
      </c>
      <c r="F157" s="238" t="n">
        <f aca="false">IFERROR(ROUND(SUMIFS(03_能力總表_Master!$Q$5:$Q$154,F$5:F$154,"✓")/F$156,1),"")</f>
        <v>4.2</v>
      </c>
      <c r="G157" s="238" t="n">
        <f aca="false">IFERROR(ROUND(SUMIFS(03_能力總表_Master!$Q$5:$Q$154,G$5:G$154,"✓")/G$156,1),"")</f>
        <v>4.2</v>
      </c>
      <c r="H157" s="238" t="n">
        <f aca="false">IFERROR(ROUND(SUMIFS(03_能力總表_Master!$Q$5:$Q$154,H$5:H$154,"✓")/H$156,1),"")</f>
        <v>4.6</v>
      </c>
      <c r="I157" s="238" t="n">
        <f aca="false">IFERROR(ROUND(SUMIFS(03_能力總表_Master!$Q$5:$Q$154,I$5:I$154,"✓")/I$156,1),"")</f>
        <v>4.4</v>
      </c>
      <c r="J157" s="238" t="n">
        <f aca="false">IFERROR(ROUND(SUMIFS(03_能力總表_Master!$Q$5:$Q$154,J$5:J$154,"✓")/J$156,1),"")</f>
        <v>4.3</v>
      </c>
      <c r="K157" s="238" t="n">
        <f aca="false">IFERROR(ROUND(SUMIFS(03_能力總表_Master!$Q$5:$Q$154,K$5:K$154,"✓")/K$156,1),"")</f>
        <v>4.6</v>
      </c>
      <c r="L157" s="238" t="n">
        <f aca="false">IFERROR(ROUND(SUMIFS(03_能力總表_Master!$Q$5:$Q$154,L$5:L$154,"✓")/L$156,1),"")</f>
        <v>4.4</v>
      </c>
      <c r="M157" s="238" t="n">
        <f aca="false">IFERROR(ROUND(SUMIFS(03_能力總表_Master!$Q$5:$Q$154,M$5:M$154,"✓")/M$156,1),"")</f>
        <v>4.4</v>
      </c>
      <c r="N157" s="238" t="n">
        <f aca="false">IFERROR(ROUND(SUMIFS(03_能力總表_Master!$Q$5:$Q$154,N$5:N$154,"✓")/N$156,1),"")</f>
        <v>4.1</v>
      </c>
      <c r="O157" s="238" t="n">
        <f aca="false">IFERROR(ROUND(SUMIFS(03_能力總表_Master!$Q$5:$Q$154,O$5:O$154,"✓")/O$156,1),"")</f>
        <v>4.3</v>
      </c>
      <c r="P157" s="238" t="n">
        <f aca="false">IFERROR(ROUND(SUMIFS(03_能力總表_Master!$Q$5:$Q$154,P$5:P$154,"✓")/P$156,1),"")</f>
        <v>4.7</v>
      </c>
      <c r="Q157" s="238" t="n">
        <f aca="false">IFERROR(ROUND(SUMIFS(03_能力總表_Master!$Q$5:$Q$154,Q$5:Q$154,"✓")/Q$156,1),"")</f>
        <v>4.7</v>
      </c>
      <c r="R157" s="238" t="n">
        <f aca="false">IFERROR(ROUND(SUMIFS(03_能力總表_Master!$Q$5:$Q$154,R$5:R$154,"✓")/R$156,1),"")</f>
        <v>4.7</v>
      </c>
      <c r="S157" s="238" t="n">
        <f aca="false">IFERROR(ROUND(SUMIFS(03_能力總表_Master!$Q$5:$Q$154,S$5:S$154,"✓")/S$156,1),"")</f>
        <v>4.7</v>
      </c>
      <c r="T157" s="238" t="n">
        <f aca="false">IFERROR(ROUND(SUMIFS(03_能力總表_Master!$Q$5:$Q$154,T$5:T$154,"✓")/T$156,1),"")</f>
        <v>4.7</v>
      </c>
      <c r="U157" s="238" t="n">
        <f aca="false">IFERROR(ROUND(SUMIFS(03_能力總表_Master!$Q$5:$Q$154,U$5:U$154,"✓")/U$156,1),"")</f>
        <v>4.7</v>
      </c>
      <c r="V157" s="238" t="n">
        <f aca="false">IFERROR(ROUND(SUMIFS(03_能力總表_Master!$Q$5:$Q$154,V$5:V$154,"✓")/V$156,1),"")</f>
        <v>4.5</v>
      </c>
      <c r="W157" s="238" t="n">
        <f aca="false">IFERROR(ROUND(SUMIFS(03_能力總表_Master!$Q$5:$Q$154,W$5:W$154,"✓")/W$156,1),"")</f>
        <v>4.7</v>
      </c>
      <c r="X157" s="238" t="n">
        <f aca="false">IFERROR(ROUND(SUMIFS(03_能力總表_Master!$Q$5:$Q$154,X$5:X$154,"✓")/X$156,1),"")</f>
        <v>4.5</v>
      </c>
      <c r="Y157" s="238" t="n">
        <f aca="false">IFERROR(ROUND(SUMIFS(03_能力總表_Master!$Q$5:$Q$154,Y$5:Y$154,"✓")/Y$156,1),"")</f>
        <v>4.4</v>
      </c>
      <c r="Z157" s="238" t="n">
        <f aca="false">IFERROR(ROUND(SUMIFS(03_能力總表_Master!$Q$5:$Q$154,Z$5:Z$154,"✓")/Z$156,1),"")</f>
        <v>4.7</v>
      </c>
      <c r="AA157" s="238" t="n">
        <f aca="false">IFERROR(ROUND(SUMIFS(03_能力總表_Master!$Q$5:$Q$154,AA$5:AA$154,"✓")/AA$156,1),"")</f>
        <v>3.9</v>
      </c>
      <c r="AB157" s="238" t="n">
        <f aca="false">IFERROR(ROUND(SUMIFS(03_能力總表_Master!$Q$5:$Q$154,AB$5:AB$154,"✓")/AB$156,1),"")</f>
        <v>4.1</v>
      </c>
      <c r="AC157" s="238" t="n">
        <f aca="false">IFERROR(ROUND(SUMIFS(03_能力總表_Master!$Q$5:$Q$154,AC$5:AC$154,"✓")/AC$156,1),"")</f>
        <v>3.4</v>
      </c>
      <c r="AD157" s="238" t="n">
        <f aca="false">IFERROR(ROUND(SUMIFS(03_能力總表_Master!$Q$5:$Q$154,AD$5:AD$154,"✓")/AD$156,1),"")</f>
        <v>3.9</v>
      </c>
      <c r="AE157" s="238" t="n">
        <f aca="false">IFERROR(ROUND(SUMIFS(03_能力總表_Master!$Q$5:$Q$154,AE$5:AE$154,"✓")/AE$156,1),"")</f>
        <v>4.1</v>
      </c>
      <c r="AF157" s="238" t="n">
        <f aca="false">IFERROR(ROUND(SUMIFS(03_能力總表_Master!$Q$5:$Q$154,AF$5:AF$154,"✓")/AF$156,1),"")</f>
        <v>4.1</v>
      </c>
      <c r="AG157" s="238" t="n">
        <f aca="false">IFERROR(ROUND(SUMIFS(03_能力總表_Master!$Q$5:$Q$154,AG$5:AG$154,"✓")/AG$156,1),"")</f>
        <v>4.2</v>
      </c>
      <c r="AH157" s="238" t="n">
        <f aca="false">IFERROR(ROUND(SUMIFS(03_能力總表_Master!$Q$5:$Q$154,AH$5:AH$154,"✓")/AH$156,1),"")</f>
        <v>4.9</v>
      </c>
      <c r="AI157" s="238" t="n">
        <f aca="false">IFERROR(ROUND(SUMIFS(03_能力總表_Master!$Q$5:$Q$154,AI$5:AI$154,"✓")/AI$156,1),"")</f>
        <v>4.9</v>
      </c>
      <c r="AJ157" s="238" t="n">
        <f aca="false">IFERROR(ROUND(SUMIFS(03_能力總表_Master!$Q$5:$Q$154,AJ$5:AJ$154,"✓")/AJ$156,1),"")</f>
        <v>5</v>
      </c>
      <c r="AK157" s="238" t="n">
        <f aca="false">IFERROR(ROUND(SUMIFS(03_能力總表_Master!$Q$5:$Q$154,AK$5:AK$154,"✓")/AK$156,1),"")</f>
        <v>4.7</v>
      </c>
      <c r="AL157" s="238" t="n">
        <f aca="false">IFERROR(ROUND(SUMIFS(03_能力總表_Master!$Q$5:$Q$154,AL$5:AL$154,"✓")/AL$156,1),"")</f>
        <v>5</v>
      </c>
      <c r="AM157" s="238" t="n">
        <f aca="false">IFERROR(ROUND(SUMIFS(03_能力總表_Master!$Q$5:$Q$154,AM$5:AM$154,"✓")/AM$156,1),"")</f>
        <v>4</v>
      </c>
      <c r="AN157" s="238" t="n">
        <f aca="false">IFERROR(ROUND(SUMIFS(03_能力總表_Master!$Q$5:$Q$154,AN$5:AN$154,"✓")/AN$156,1),"")</f>
        <v>3.9</v>
      </c>
      <c r="AO157" s="238" t="n">
        <f aca="false">IFERROR(ROUND(SUMIFS(03_能力總表_Master!$Q$5:$Q$154,AO$5:AO$154,"✓")/AO$156,1),"")</f>
        <v>4.7</v>
      </c>
      <c r="AP157" s="238" t="n">
        <f aca="false">IFERROR(ROUND(SUMIFS(03_能力總表_Master!$Q$5:$Q$154,AP$5:AP$154,"✓")/AP$156,1),"")</f>
        <v>4.4</v>
      </c>
      <c r="AQ157" s="238" t="n">
        <f aca="false">IFERROR(ROUND(SUMIFS(03_能力總表_Master!$Q$5:$Q$154,AQ$5:AQ$154,"✓")/AQ$156,1),"")</f>
        <v>4.3</v>
      </c>
      <c r="AR157" s="238" t="n">
        <f aca="false">IFERROR(ROUND(SUMIFS(03_能力總表_Master!$Q$5:$Q$154,AR$5:AR$154,"✓")/AR$156,1),"")</f>
        <v>5</v>
      </c>
      <c r="AS157" s="238" t="n">
        <f aca="false">IFERROR(ROUND(SUMIFS(03_能力總表_Master!$Q$5:$Q$154,AS$5:AS$154,"✓")/AS$156,1),"")</f>
        <v>4.9</v>
      </c>
      <c r="AT157" s="238" t="str">
        <f aca="false">IFERROR(ROUND(SUMIFS(03_能力總表_Master!$Q$5:$Q$154,AT$5:AT$154,"✓")/AT$156,1),"")</f>
        <v/>
      </c>
      <c r="AU157" s="238" t="n">
        <f aca="false">IFERROR(ROUND(SUMIFS(03_能力總表_Master!$Q$5:$Q$154,AU$5:AU$154,"✓")/AU$156,1),"")</f>
        <v>4.9</v>
      </c>
      <c r="AV157" s="238" t="n">
        <f aca="false">IFERROR(ROUND(SUMIFS(03_能力總表_Master!$Q$5:$Q$154,AV$5:AV$154,"✓")/AV$156,1),"")</f>
        <v>4.7</v>
      </c>
      <c r="AW157" s="238" t="n">
        <f aca="false">IFERROR(ROUND(SUMIFS(03_能力總表_Master!$Q$5:$Q$154,AW$5:AW$154,"✓")/AW$156,1),"")</f>
        <v>4.7</v>
      </c>
      <c r="AX157" s="238" t="str">
        <f aca="false">IFERROR(ROUND(SUMIFS(03_能力總表_Master!$Q$5:$Q$154,AX$5:AX$154,"✓")/AX$156,1),"")</f>
        <v/>
      </c>
      <c r="AY157" s="238" t="str">
        <f aca="false">IFERROR(ROUND(SUMIFS(03_能力總表_Master!$Q$5:$Q$154,AY$5:AY$154,"✓")/AY$156,1),"")</f>
        <v/>
      </c>
      <c r="AZ157" s="238" t="str">
        <f aca="false">IFERROR(ROUND(SUMIFS(03_能力總表_Master!$Q$5:$Q$154,AZ$5:AZ$154,"✓")/AZ$156,1),"")</f>
        <v/>
      </c>
      <c r="BA157" s="238" t="str">
        <f aca="false">IFERROR(ROUND(SUMIFS(03_能力總表_Master!$Q$5:$Q$154,BA$5:BA$154,"✓")/BA$156,1),"")</f>
        <v/>
      </c>
      <c r="BB157" s="238" t="n">
        <f aca="false">IFERROR(ROUND(SUMIFS(03_能力總表_Master!$Q$5:$Q$154,BB$5:BB$154,"✓")/BB$156,1),"")</f>
        <v>4.1</v>
      </c>
      <c r="BC157" s="238" t="n">
        <f aca="false">IFERROR(ROUND(SUMIFS(03_能力總表_Master!$Q$5:$Q$154,BC$5:BC$154,"✓")/BC$156,1),"")</f>
        <v>3.7</v>
      </c>
      <c r="BD157" s="238" t="n">
        <f aca="false">IFERROR(ROUND(SUMIFS(03_能力總表_Master!$Q$5:$Q$154,BD$5:BD$154,"✓")/BD$156,1),"")</f>
        <v>3.9</v>
      </c>
      <c r="BE157" s="238" t="n">
        <f aca="false">IFERROR(ROUND(SUMIFS(03_能力總表_Master!$Q$5:$Q$154,BE$5:BE$154,"✓")/BE$156,1),"")</f>
        <v>4.2</v>
      </c>
      <c r="BF157" s="238" t="str">
        <f aca="false">IFERROR(ROUND(SUMIFS(03_能力總表_Master!$Q$5:$Q$154,BF$5:BF$154,"✓")/BF$156,1),"")</f>
        <v/>
      </c>
      <c r="BG157" s="238" t="n">
        <f aca="false">IFERROR(ROUND(SUMIFS(03_能力總表_Master!$Q$5:$Q$154,BG$5:BG$154,"✓")/BG$156,1),"")</f>
        <v>4</v>
      </c>
      <c r="BH157" s="238" t="n">
        <f aca="false">IFERROR(ROUND(SUMIFS(03_能力總表_Master!$Q$5:$Q$154,BH$5:BH$154,"✓")/BH$156,1),"")</f>
        <v>4.1</v>
      </c>
      <c r="BI157" s="238" t="n">
        <f aca="false">IFERROR(ROUND(SUMIFS(03_能力總表_Master!$Q$5:$Q$154,BI$5:BI$154,"✓")/BI$156,1),"")</f>
        <v>4.5</v>
      </c>
      <c r="BJ157" s="238" t="n">
        <f aca="false">IFERROR(ROUND(SUMIFS(03_能力總表_Master!$Q$5:$Q$154,BJ$5:BJ$154,"✓")/BJ$156,1),"")</f>
        <v>4.3</v>
      </c>
      <c r="BK157" s="238" t="n">
        <f aca="false">IFERROR(ROUND(SUMIFS(03_能力總表_Master!$Q$5:$Q$154,BK$5:BK$154,"✓")/BK$156,1),"")</f>
        <v>4.5</v>
      </c>
      <c r="BL157" s="238" t="n">
        <f aca="false">IFERROR(ROUND(SUMIFS(03_能力總表_Master!$Q$5:$Q$154,BL$5:BL$154,"✓")/BL$156,1),"")</f>
        <v>4.5</v>
      </c>
      <c r="BM157" s="238" t="n">
        <f aca="false">IFERROR(ROUND(SUMIFS(03_能力總表_Master!$Q$5:$Q$154,BM$5:BM$154,"✓")/BM$156,1),"")</f>
        <v>4.2</v>
      </c>
      <c r="BN157" s="238" t="n">
        <f aca="false">IFERROR(ROUND(SUMIFS(03_能力總表_Master!$Q$5:$Q$154,BN$5:BN$154,"✓")/BN$156,1),"")</f>
        <v>4.4</v>
      </c>
      <c r="BO157" s="238" t="n">
        <f aca="false">IFERROR(ROUND(SUMIFS(03_能力總表_Master!$Q$5:$Q$154,BO$5:BO$154,"✓")/BO$156,1),"")</f>
        <v>3.9</v>
      </c>
      <c r="BP157" s="238" t="n">
        <f aca="false">IFERROR(ROUND(SUMIFS(03_能力總表_Master!$Q$5:$Q$154,BP$5:BP$154,"✓")/BP$156,1),"")</f>
        <v>4.7</v>
      </c>
      <c r="BQ157" s="238" t="n">
        <f aca="false">IFERROR(ROUND(SUMIFS(03_能力總表_Master!$Q$5:$Q$154,BQ$5:BQ$154,"✓")/BQ$156,1),"")</f>
        <v>4.2</v>
      </c>
      <c r="BR157" s="238" t="n">
        <f aca="false">IFERROR(ROUND(SUMIFS(03_能力總表_Master!$Q$5:$Q$154,BR$5:BR$154,"✓")/BR$156,1),"")</f>
        <v>3.7</v>
      </c>
      <c r="BS157" s="238" t="n">
        <f aca="false">IFERROR(ROUND(SUMIFS(03_能力總表_Master!$Q$5:$Q$154,BS$5:BS$154,"✓")/BS$156,1),"")</f>
        <v>4</v>
      </c>
      <c r="BT157" s="238" t="n">
        <f aca="false">IFERROR(ROUND(SUMIFS(03_能力總表_Master!$Q$5:$Q$154,BT$5:BT$154,"✓")/BT$156,1),"")</f>
        <v>4.1</v>
      </c>
      <c r="BU157" s="238" t="n">
        <f aca="false">IFERROR(ROUND(SUMIFS(03_能力總表_Master!$Q$5:$Q$154,BU$5:BU$154,"✓")/BU$156,1),"")</f>
        <v>3.7</v>
      </c>
      <c r="BV157" s="238" t="n">
        <f aca="false">IFERROR(ROUND(SUMIFS(03_能力總表_Master!$Q$5:$Q$154,BV$5:BV$154,"✓")/BV$156,1),"")</f>
        <v>4.7</v>
      </c>
      <c r="BW157" s="238" t="n">
        <f aca="false">IFERROR(ROUND(SUMIFS(03_能力總表_Master!$Q$5:$Q$154,BW$5:BW$154,"✓")/BW$156,1),"")</f>
        <v>4.7</v>
      </c>
      <c r="BX157" s="238" t="n">
        <f aca="false">IFERROR(ROUND(SUMIFS(03_能力總表_Master!$Q$5:$Q$154,BX$5:BX$154,"✓")/BX$156,1),"")</f>
        <v>4.7</v>
      </c>
      <c r="BY157" s="238" t="n">
        <f aca="false">IFERROR(ROUND(SUMIFS(03_能力總表_Master!$Q$5:$Q$154,BY$5:BY$154,"✓")/BY$156,1),"")</f>
        <v>4.9</v>
      </c>
      <c r="BZ157" s="238" t="n">
        <f aca="false">IFERROR(ROUND(SUMIFS(03_能力總表_Master!$Q$5:$Q$154,BZ$5:BZ$154,"✓")/BZ$156,1),"")</f>
        <v>4.9</v>
      </c>
      <c r="CA157" s="238" t="n">
        <f aca="false">IFERROR(ROUND(SUMIFS(03_能力總表_Master!$Q$5:$Q$154,CA$5:CA$154,"✓")/CA$156,1),"")</f>
        <v>4.3</v>
      </c>
      <c r="CB157" s="238" t="n">
        <f aca="false">IFERROR(ROUND(SUMIFS(03_能力總表_Master!$Q$5:$Q$154,CB$5:CB$154,"✓")/CB$156,1),"")</f>
        <v>4.7</v>
      </c>
      <c r="CC157" s="238" t="n">
        <f aca="false">IFERROR(ROUND(SUMIFS(03_能力總表_Master!$Q$5:$Q$154,CC$5:CC$154,"✓")/CC$156,1),"")</f>
        <v>5</v>
      </c>
      <c r="CD157" s="238" t="n">
        <f aca="false">IFERROR(ROUND(SUMIFS(03_能力總表_Master!$Q$5:$Q$154,CD$5:CD$154,"✓")/CD$156,1),"")</f>
        <v>4.9</v>
      </c>
      <c r="CE157" s="238" t="n">
        <f aca="false">IFERROR(ROUND(SUMIFS(03_能力總表_Master!$Q$5:$Q$154,CE$5:CE$154,"✓")/CE$156,1),"")</f>
        <v>4</v>
      </c>
      <c r="CF157" s="238" t="n">
        <f aca="false">IFERROR(ROUND(SUMIFS(03_能力總表_Master!$Q$5:$Q$154,CF$5:CF$154,"✓")/CF$156,1),"")</f>
        <v>3.6</v>
      </c>
      <c r="CG157" s="238" t="n">
        <f aca="false">IFERROR(ROUND(SUMIFS(03_能力總表_Master!$Q$5:$Q$154,CG$5:CG$154,"✓")/CG$156,1),"")</f>
        <v>3.6</v>
      </c>
      <c r="CH157" s="238" t="n">
        <f aca="false">IFERROR(ROUND(SUMIFS(03_能力總表_Master!$Q$5:$Q$154,CH$5:CH$154,"✓")/CH$156,1),"")</f>
        <v>3.1</v>
      </c>
      <c r="CI157" s="238" t="n">
        <f aca="false">IFERROR(ROUND(SUMIFS(03_能力總表_Master!$Q$5:$Q$154,CI$5:CI$154,"✓")/CI$156,1),"")</f>
        <v>3.6</v>
      </c>
      <c r="CJ157" s="238" t="n">
        <f aca="false">IFERROR(ROUND(SUMIFS(03_能力總表_Master!$Q$5:$Q$154,CJ$5:CJ$154,"✓")/CJ$156,1),"")</f>
        <v>3.5</v>
      </c>
      <c r="CK157" s="238" t="str">
        <f aca="false">IFERROR(ROUND(SUMIFS(03_能力總表_Master!$Q$5:$Q$154,CK$5:CK$154,"✓")/CK$156,1),"")</f>
        <v/>
      </c>
      <c r="CL157" s="238" t="str">
        <f aca="false">IFERROR(ROUND(SUMIFS(03_能力總表_Master!$Q$5:$Q$154,CL$5:CL$154,"✓")/CL$156,1),"")</f>
        <v/>
      </c>
      <c r="CM157" s="238" t="str">
        <f aca="false">IFERROR(ROUND(SUMIFS(03_能力總表_Master!$Q$5:$Q$154,CM$5:CM$154,"✓")/CM$156,1),"")</f>
        <v/>
      </c>
      <c r="CN157" s="238" t="str">
        <f aca="false">IFERROR(ROUND(SUMIFS(03_能力總表_Master!$Q$5:$Q$154,CN$5:CN$154,"✓")/CN$156,1),"")</f>
        <v/>
      </c>
      <c r="CO157" s="238" t="str">
        <f aca="false">IFERROR(ROUND(SUMIFS(03_能力總表_Master!$Q$5:$Q$154,CO$5:CO$154,"✓")/CO$156,1),"")</f>
        <v/>
      </c>
    </row>
    <row r="158" customFormat="false" ht="15" hidden="false" customHeight="false" outlineLevel="0" collapsed="false">
      <c r="A158" s="235"/>
      <c r="B158" s="235"/>
      <c r="C158" s="236" t="s">
        <v>900</v>
      </c>
      <c r="D158" s="238" t="n">
        <f aca="false">IFERROR(ROUND(SUMIFS(03_能力總表_Master!$U$5:$U$154,D$5:D$154,"✓")/D$156,1),"")</f>
        <v>2</v>
      </c>
      <c r="E158" s="238" t="n">
        <f aca="false">IFERROR(ROUND(SUMIFS(03_能力總表_Master!$U$5:$U$154,E$5:E$154,"✓")/E$156,1),"")</f>
        <v>2.7</v>
      </c>
      <c r="F158" s="238" t="n">
        <f aca="false">IFERROR(ROUND(SUMIFS(03_能力總表_Master!$U$5:$U$154,F$5:F$154,"✓")/F$156,1),"")</f>
        <v>2.2</v>
      </c>
      <c r="G158" s="238" t="n">
        <f aca="false">IFERROR(ROUND(SUMIFS(03_能力總表_Master!$U$5:$U$154,G$5:G$154,"✓")/G$156,1),"")</f>
        <v>2.2</v>
      </c>
      <c r="H158" s="238" t="n">
        <f aca="false">IFERROR(ROUND(SUMIFS(03_能力總表_Master!$U$5:$U$154,H$5:H$154,"✓")/H$156,1),"")</f>
        <v>2.4</v>
      </c>
      <c r="I158" s="238" t="n">
        <f aca="false">IFERROR(ROUND(SUMIFS(03_能力總表_Master!$U$5:$U$154,I$5:I$154,"✓")/I$156,1),"")</f>
        <v>2.4</v>
      </c>
      <c r="J158" s="238" t="n">
        <f aca="false">IFERROR(ROUND(SUMIFS(03_能力總表_Master!$U$5:$U$154,J$5:J$154,"✓")/J$156,1),"")</f>
        <v>2.5</v>
      </c>
      <c r="K158" s="238" t="n">
        <f aca="false">IFERROR(ROUND(SUMIFS(03_能力總表_Master!$U$5:$U$154,K$5:K$154,"✓")/K$156,1),"")</f>
        <v>2.4</v>
      </c>
      <c r="L158" s="238" t="n">
        <f aca="false">IFERROR(ROUND(SUMIFS(03_能力總表_Master!$U$5:$U$154,L$5:L$154,"✓")/L$156,1),"")</f>
        <v>2.4</v>
      </c>
      <c r="M158" s="238" t="n">
        <f aca="false">IFERROR(ROUND(SUMIFS(03_能力總表_Master!$U$5:$U$154,M$5:M$154,"✓")/M$156,1),"")</f>
        <v>2.7</v>
      </c>
      <c r="N158" s="238" t="n">
        <f aca="false">IFERROR(ROUND(SUMIFS(03_能力總表_Master!$U$5:$U$154,N$5:N$154,"✓")/N$156,1),"")</f>
        <v>2.4</v>
      </c>
      <c r="O158" s="238" t="n">
        <f aca="false">IFERROR(ROUND(SUMIFS(03_能力總表_Master!$U$5:$U$154,O$5:O$154,"✓")/O$156,1),"")</f>
        <v>2.6</v>
      </c>
      <c r="P158" s="238" t="n">
        <f aca="false">IFERROR(ROUND(SUMIFS(03_能力總表_Master!$U$5:$U$154,P$5:P$154,"✓")/P$156,1),"")</f>
        <v>2.4</v>
      </c>
      <c r="Q158" s="238" t="n">
        <f aca="false">IFERROR(ROUND(SUMIFS(03_能力總表_Master!$U$5:$U$154,Q$5:Q$154,"✓")/Q$156,1),"")</f>
        <v>2.4</v>
      </c>
      <c r="R158" s="238" t="n">
        <f aca="false">IFERROR(ROUND(SUMIFS(03_能力總表_Master!$U$5:$U$154,R$5:R$154,"✓")/R$156,1),"")</f>
        <v>2.4</v>
      </c>
      <c r="S158" s="238" t="n">
        <f aca="false">IFERROR(ROUND(SUMIFS(03_能力總表_Master!$U$5:$U$154,S$5:S$154,"✓")/S$156,1),"")</f>
        <v>2.4</v>
      </c>
      <c r="T158" s="238" t="n">
        <f aca="false">IFERROR(ROUND(SUMIFS(03_能力總表_Master!$U$5:$U$154,T$5:T$154,"✓")/T$156,1),"")</f>
        <v>2.4</v>
      </c>
      <c r="U158" s="238" t="n">
        <f aca="false">IFERROR(ROUND(SUMIFS(03_能力總表_Master!$U$5:$U$154,U$5:U$154,"✓")/U$156,1),"")</f>
        <v>2.4</v>
      </c>
      <c r="V158" s="238" t="n">
        <f aca="false">IFERROR(ROUND(SUMIFS(03_能力總表_Master!$U$5:$U$154,V$5:V$154,"✓")/V$156,1),"")</f>
        <v>2.4</v>
      </c>
      <c r="W158" s="238" t="n">
        <f aca="false">IFERROR(ROUND(SUMIFS(03_能力總表_Master!$U$5:$U$154,W$5:W$154,"✓")/W$156,1),"")</f>
        <v>2.4</v>
      </c>
      <c r="X158" s="238" t="n">
        <f aca="false">IFERROR(ROUND(SUMIFS(03_能力總表_Master!$U$5:$U$154,X$5:X$154,"✓")/X$156,1),"")</f>
        <v>2.4</v>
      </c>
      <c r="Y158" s="238" t="n">
        <f aca="false">IFERROR(ROUND(SUMIFS(03_能力總表_Master!$U$5:$U$154,Y$5:Y$154,"✓")/Y$156,1),"")</f>
        <v>2</v>
      </c>
      <c r="Z158" s="238" t="n">
        <f aca="false">IFERROR(ROUND(SUMIFS(03_能力總表_Master!$U$5:$U$154,Z$5:Z$154,"✓")/Z$156,1),"")</f>
        <v>2.4</v>
      </c>
      <c r="AA158" s="238" t="n">
        <f aca="false">IFERROR(ROUND(SUMIFS(03_能力總表_Master!$U$5:$U$154,AA$5:AA$154,"✓")/AA$156,1),"")</f>
        <v>3.4</v>
      </c>
      <c r="AB158" s="238" t="n">
        <f aca="false">IFERROR(ROUND(SUMIFS(03_能力總表_Master!$U$5:$U$154,AB$5:AB$154,"✓")/AB$156,1),"")</f>
        <v>3.4</v>
      </c>
      <c r="AC158" s="238" t="n">
        <f aca="false">IFERROR(ROUND(SUMIFS(03_能力總表_Master!$U$5:$U$154,AC$5:AC$154,"✓")/AC$156,1),"")</f>
        <v>3.4</v>
      </c>
      <c r="AD158" s="238" t="n">
        <f aca="false">IFERROR(ROUND(SUMIFS(03_能力總表_Master!$U$5:$U$154,AD$5:AD$154,"✓")/AD$156,1),"")</f>
        <v>3.4</v>
      </c>
      <c r="AE158" s="238" t="n">
        <f aca="false">IFERROR(ROUND(SUMIFS(03_能力總表_Master!$U$5:$U$154,AE$5:AE$154,"✓")/AE$156,1),"")</f>
        <v>2.7</v>
      </c>
      <c r="AF158" s="238" t="n">
        <f aca="false">IFERROR(ROUND(SUMIFS(03_能力總表_Master!$U$5:$U$154,AF$5:AF$154,"✓")/AF$156,1),"")</f>
        <v>3.4</v>
      </c>
      <c r="AG158" s="238" t="n">
        <f aca="false">IFERROR(ROUND(SUMIFS(03_能力總表_Master!$U$5:$U$154,AG$5:AG$154,"✓")/AG$156,1),"")</f>
        <v>2.9</v>
      </c>
      <c r="AH158" s="238" t="n">
        <f aca="false">IFERROR(ROUND(SUMIFS(03_能力總表_Master!$U$5:$U$154,AH$5:AH$154,"✓")/AH$156,1),"")</f>
        <v>2.4</v>
      </c>
      <c r="AI158" s="238" t="n">
        <f aca="false">IFERROR(ROUND(SUMIFS(03_能力總表_Master!$U$5:$U$154,AI$5:AI$154,"✓")/AI$156,1),"")</f>
        <v>2.4</v>
      </c>
      <c r="AJ158" s="238" t="n">
        <f aca="false">IFERROR(ROUND(SUMIFS(03_能力總表_Master!$U$5:$U$154,AJ$5:AJ$154,"✓")/AJ$156,1),"")</f>
        <v>2.4</v>
      </c>
      <c r="AK158" s="238" t="n">
        <f aca="false">IFERROR(ROUND(SUMIFS(03_能力總表_Master!$U$5:$U$154,AK$5:AK$154,"✓")/AK$156,1),"")</f>
        <v>2.4</v>
      </c>
      <c r="AL158" s="238" t="n">
        <f aca="false">IFERROR(ROUND(SUMIFS(03_能力總表_Master!$U$5:$U$154,AL$5:AL$154,"✓")/AL$156,1),"")</f>
        <v>2.4</v>
      </c>
      <c r="AM158" s="238" t="n">
        <f aca="false">IFERROR(ROUND(SUMIFS(03_能力總表_Master!$U$5:$U$154,AM$5:AM$154,"✓")/AM$156,1),"")</f>
        <v>2.4</v>
      </c>
      <c r="AN158" s="238" t="n">
        <f aca="false">IFERROR(ROUND(SUMIFS(03_能力總表_Master!$U$5:$U$154,AN$5:AN$154,"✓")/AN$156,1),"")</f>
        <v>2.9</v>
      </c>
      <c r="AO158" s="238" t="n">
        <f aca="false">IFERROR(ROUND(SUMIFS(03_能力總表_Master!$U$5:$U$154,AO$5:AO$154,"✓")/AO$156,1),"")</f>
        <v>2.4</v>
      </c>
      <c r="AP158" s="238" t="n">
        <f aca="false">IFERROR(ROUND(SUMIFS(03_能力總表_Master!$U$5:$U$154,AP$5:AP$154,"✓")/AP$156,1),"")</f>
        <v>2.9</v>
      </c>
      <c r="AQ158" s="238" t="n">
        <f aca="false">IFERROR(ROUND(SUMIFS(03_能力總表_Master!$U$5:$U$154,AQ$5:AQ$154,"✓")/AQ$156,1),"")</f>
        <v>2.6</v>
      </c>
      <c r="AR158" s="238" t="n">
        <f aca="false">IFERROR(ROUND(SUMIFS(03_能力總表_Master!$U$5:$U$154,AR$5:AR$154,"✓")/AR$156,1),"")</f>
        <v>2.4</v>
      </c>
      <c r="AS158" s="238" t="n">
        <f aca="false">IFERROR(ROUND(SUMIFS(03_能力總表_Master!$U$5:$U$154,AS$5:AS$154,"✓")/AS$156,1),"")</f>
        <v>2.7</v>
      </c>
      <c r="AT158" s="238" t="str">
        <f aca="false">IFERROR(ROUND(SUMIFS(03_能力總表_Master!$U$5:$U$154,AT$5:AT$154,"✓")/AT$156,1),"")</f>
        <v/>
      </c>
      <c r="AU158" s="238" t="n">
        <f aca="false">IFERROR(ROUND(SUMIFS(03_能力總表_Master!$U$5:$U$154,AU$5:AU$154,"✓")/AU$156,1),"")</f>
        <v>2.4</v>
      </c>
      <c r="AV158" s="238" t="n">
        <f aca="false">IFERROR(ROUND(SUMIFS(03_能力總表_Master!$U$5:$U$154,AV$5:AV$154,"✓")/AV$156,1),"")</f>
        <v>2.4</v>
      </c>
      <c r="AW158" s="238" t="n">
        <f aca="false">IFERROR(ROUND(SUMIFS(03_能力總表_Master!$U$5:$U$154,AW$5:AW$154,"✓")/AW$156,1),"")</f>
        <v>2.4</v>
      </c>
      <c r="AX158" s="238" t="str">
        <f aca="false">IFERROR(ROUND(SUMIFS(03_能力總表_Master!$U$5:$U$154,AX$5:AX$154,"✓")/AX$156,1),"")</f>
        <v/>
      </c>
      <c r="AY158" s="238" t="str">
        <f aca="false">IFERROR(ROUND(SUMIFS(03_能力總表_Master!$U$5:$U$154,AY$5:AY$154,"✓")/AY$156,1),"")</f>
        <v/>
      </c>
      <c r="AZ158" s="238" t="str">
        <f aca="false">IFERROR(ROUND(SUMIFS(03_能力總表_Master!$U$5:$U$154,AZ$5:AZ$154,"✓")/AZ$156,1),"")</f>
        <v/>
      </c>
      <c r="BA158" s="238" t="str">
        <f aca="false">IFERROR(ROUND(SUMIFS(03_能力總表_Master!$U$5:$U$154,BA$5:BA$154,"✓")/BA$156,1),"")</f>
        <v/>
      </c>
      <c r="BB158" s="238" t="n">
        <f aca="false">IFERROR(ROUND(SUMIFS(03_能力總表_Master!$U$5:$U$154,BB$5:BB$154,"✓")/BB$156,1),"")</f>
        <v>2</v>
      </c>
      <c r="BC158" s="238" t="n">
        <f aca="false">IFERROR(ROUND(SUMIFS(03_能力總表_Master!$U$5:$U$154,BC$5:BC$154,"✓")/BC$156,1),"")</f>
        <v>3.4</v>
      </c>
      <c r="BD158" s="238" t="n">
        <f aca="false">IFERROR(ROUND(SUMIFS(03_能力總表_Master!$U$5:$U$154,BD$5:BD$154,"✓")/BD$156,1),"")</f>
        <v>3</v>
      </c>
      <c r="BE158" s="238" t="n">
        <f aca="false">IFERROR(ROUND(SUMIFS(03_能力總表_Master!$U$5:$U$154,BE$5:BE$154,"✓")/BE$156,1),"")</f>
        <v>2.9</v>
      </c>
      <c r="BF158" s="238" t="str">
        <f aca="false">IFERROR(ROUND(SUMIFS(03_能力總表_Master!$U$5:$U$154,BF$5:BF$154,"✓")/BF$156,1),"")</f>
        <v/>
      </c>
      <c r="BG158" s="238" t="n">
        <f aca="false">IFERROR(ROUND(SUMIFS(03_能力總表_Master!$U$5:$U$154,BG$5:BG$154,"✓")/BG$156,1),"")</f>
        <v>2.4</v>
      </c>
      <c r="BH158" s="238" t="n">
        <f aca="false">IFERROR(ROUND(SUMIFS(03_能力總表_Master!$U$5:$U$154,BH$5:BH$154,"✓")/BH$156,1),"")</f>
        <v>3.4</v>
      </c>
      <c r="BI158" s="238" t="n">
        <f aca="false">IFERROR(ROUND(SUMIFS(03_能力總表_Master!$U$5:$U$154,BI$5:BI$154,"✓")/BI$156,1),"")</f>
        <v>2.4</v>
      </c>
      <c r="BJ158" s="238" t="n">
        <f aca="false">IFERROR(ROUND(SUMIFS(03_能力總表_Master!$U$5:$U$154,BJ$5:BJ$154,"✓")/BJ$156,1),"")</f>
        <v>2.7</v>
      </c>
      <c r="BK158" s="238" t="n">
        <f aca="false">IFERROR(ROUND(SUMIFS(03_能力總表_Master!$U$5:$U$154,BK$5:BK$154,"✓")/BK$156,1),"")</f>
        <v>3</v>
      </c>
      <c r="BL158" s="238" t="n">
        <f aca="false">IFERROR(ROUND(SUMIFS(03_能力總表_Master!$U$5:$U$154,BL$5:BL$154,"✓")/BL$156,1),"")</f>
        <v>2.7</v>
      </c>
      <c r="BM158" s="238" t="n">
        <f aca="false">IFERROR(ROUND(SUMIFS(03_能力總表_Master!$U$5:$U$154,BM$5:BM$154,"✓")/BM$156,1),"")</f>
        <v>3</v>
      </c>
      <c r="BN158" s="238" t="n">
        <f aca="false">IFERROR(ROUND(SUMIFS(03_能力總表_Master!$U$5:$U$154,BN$5:BN$154,"✓")/BN$156,1),"")</f>
        <v>3</v>
      </c>
      <c r="BO158" s="238" t="n">
        <f aca="false">IFERROR(ROUND(SUMIFS(03_能力總表_Master!$U$5:$U$154,BO$5:BO$154,"✓")/BO$156,1),"")</f>
        <v>3</v>
      </c>
      <c r="BP158" s="238" t="n">
        <f aca="false">IFERROR(ROUND(SUMIFS(03_能力總表_Master!$U$5:$U$154,BP$5:BP$154,"✓")/BP$156,1),"")</f>
        <v>2.4</v>
      </c>
      <c r="BQ158" s="238" t="n">
        <f aca="false">IFERROR(ROUND(SUMIFS(03_能力總表_Master!$U$5:$U$154,BQ$5:BQ$154,"✓")/BQ$156,1),"")</f>
        <v>2.7</v>
      </c>
      <c r="BR158" s="238" t="n">
        <f aca="false">IFERROR(ROUND(SUMIFS(03_能力總表_Master!$U$5:$U$154,BR$5:BR$154,"✓")/BR$156,1),"")</f>
        <v>3.4</v>
      </c>
      <c r="BS158" s="238" t="n">
        <f aca="false">IFERROR(ROUND(SUMIFS(03_能力總表_Master!$U$5:$U$154,BS$5:BS$154,"✓")/BS$156,1),"")</f>
        <v>3</v>
      </c>
      <c r="BT158" s="238" t="n">
        <f aca="false">IFERROR(ROUND(SUMIFS(03_能力總表_Master!$U$5:$U$154,BT$5:BT$154,"✓")/BT$156,1),"")</f>
        <v>2.7</v>
      </c>
      <c r="BU158" s="238" t="n">
        <f aca="false">IFERROR(ROUND(SUMIFS(03_能力總表_Master!$U$5:$U$154,BU$5:BU$154,"✓")/BU$156,1),"")</f>
        <v>3</v>
      </c>
      <c r="BV158" s="238" t="n">
        <f aca="false">IFERROR(ROUND(SUMIFS(03_能力總表_Master!$U$5:$U$154,BV$5:BV$154,"✓")/BV$156,1),"")</f>
        <v>2.4</v>
      </c>
      <c r="BW158" s="238" t="n">
        <f aca="false">IFERROR(ROUND(SUMIFS(03_能力總表_Master!$U$5:$U$154,BW$5:BW$154,"✓")/BW$156,1),"")</f>
        <v>2.6</v>
      </c>
      <c r="BX158" s="238" t="n">
        <f aca="false">IFERROR(ROUND(SUMIFS(03_能力總表_Master!$U$5:$U$154,BX$5:BX$154,"✓")/BX$156,1),"")</f>
        <v>2.4</v>
      </c>
      <c r="BY158" s="238" t="n">
        <f aca="false">IFERROR(ROUND(SUMIFS(03_能力總表_Master!$U$5:$U$154,BY$5:BY$154,"✓")/BY$156,1),"")</f>
        <v>2.7</v>
      </c>
      <c r="BZ158" s="238" t="n">
        <f aca="false">IFERROR(ROUND(SUMIFS(03_能力總表_Master!$U$5:$U$154,BZ$5:BZ$154,"✓")/BZ$156,1),"")</f>
        <v>2.7</v>
      </c>
      <c r="CA158" s="238" t="n">
        <f aca="false">IFERROR(ROUND(SUMIFS(03_能力總表_Master!$U$5:$U$154,CA$5:CA$154,"✓")/CA$156,1),"")</f>
        <v>2.4</v>
      </c>
      <c r="CB158" s="238" t="n">
        <f aca="false">IFERROR(ROUND(SUMIFS(03_能力總表_Master!$U$5:$U$154,CB$5:CB$154,"✓")/CB$156,1),"")</f>
        <v>2.9</v>
      </c>
      <c r="CC158" s="238" t="n">
        <f aca="false">IFERROR(ROUND(SUMIFS(03_能力總表_Master!$U$5:$U$154,CC$5:CC$154,"✓")/CC$156,1),"")</f>
        <v>2.7</v>
      </c>
      <c r="CD158" s="238" t="n">
        <f aca="false">IFERROR(ROUND(SUMIFS(03_能力總表_Master!$U$5:$U$154,CD$5:CD$154,"✓")/CD$156,1),"")</f>
        <v>2.7</v>
      </c>
      <c r="CE158" s="238" t="n">
        <f aca="false">IFERROR(ROUND(SUMIFS(03_能力總表_Master!$U$5:$U$154,CE$5:CE$154,"✓")/CE$156,1),"")</f>
        <v>2.4</v>
      </c>
      <c r="CF158" s="238" t="n">
        <f aca="false">IFERROR(ROUND(SUMIFS(03_能力總表_Master!$U$5:$U$154,CF$5:CF$154,"✓")/CF$156,1),"")</f>
        <v>2.2</v>
      </c>
      <c r="CG158" s="238" t="n">
        <f aca="false">IFERROR(ROUND(SUMIFS(03_能力總表_Master!$U$5:$U$154,CG$5:CG$154,"✓")/CG$156,1),"")</f>
        <v>2</v>
      </c>
      <c r="CH158" s="238" t="n">
        <f aca="false">IFERROR(ROUND(SUMIFS(03_能力總表_Master!$U$5:$U$154,CH$5:CH$154,"✓")/CH$156,1),"")</f>
        <v>2</v>
      </c>
      <c r="CI158" s="238" t="n">
        <f aca="false">IFERROR(ROUND(SUMIFS(03_能力總表_Master!$U$5:$U$154,CI$5:CI$154,"✓")/CI$156,1),"")</f>
        <v>2</v>
      </c>
      <c r="CJ158" s="238" t="n">
        <f aca="false">IFERROR(ROUND(SUMIFS(03_能力總表_Master!$U$5:$U$154,CJ$5:CJ$154,"✓")/CJ$156,1),"")</f>
        <v>2</v>
      </c>
      <c r="CK158" s="238" t="str">
        <f aca="false">IFERROR(ROUND(SUMIFS(03_能力總表_Master!$U$5:$U$154,CK$5:CK$154,"✓")/CK$156,1),"")</f>
        <v/>
      </c>
      <c r="CL158" s="238" t="str">
        <f aca="false">IFERROR(ROUND(SUMIFS(03_能力總表_Master!$U$5:$U$154,CL$5:CL$154,"✓")/CL$156,1),"")</f>
        <v/>
      </c>
      <c r="CM158" s="238" t="str">
        <f aca="false">IFERROR(ROUND(SUMIFS(03_能力總表_Master!$U$5:$U$154,CM$5:CM$154,"✓")/CM$156,1),"")</f>
        <v/>
      </c>
      <c r="CN158" s="238" t="str">
        <f aca="false">IFERROR(ROUND(SUMIFS(03_能力總表_Master!$U$5:$U$154,CN$5:CN$154,"✓")/CN$156,1),"")</f>
        <v/>
      </c>
      <c r="CO158" s="238" t="str">
        <f aca="false">IFERROR(ROUND(SUMIFS(03_能力總表_Master!$U$5:$U$154,CO$5:CO$154,"✓")/CO$156,1),"")</f>
        <v/>
      </c>
    </row>
    <row r="159" customFormat="false" ht="15" hidden="false" customHeight="false" outlineLevel="0" collapsed="false">
      <c r="A159" s="235"/>
      <c r="B159" s="235"/>
      <c r="C159" s="236" t="s">
        <v>1235</v>
      </c>
      <c r="D159" s="239" t="n">
        <f aca="false">COUNTIFS(D$5:D$154,"✓",03_能力總表_Master!$H$5:$H$154,"缺口*")</f>
        <v>0</v>
      </c>
      <c r="E159" s="239" t="n">
        <f aca="false">COUNTIFS(E$5:E$154,"✓",03_能力總表_Master!$H$5:$H$154,"缺口*")</f>
        <v>0</v>
      </c>
      <c r="F159" s="239" t="n">
        <f aca="false">COUNTIFS(F$5:F$154,"✓",03_能力總表_Master!$H$5:$H$154,"缺口*")</f>
        <v>0</v>
      </c>
      <c r="G159" s="239" t="n">
        <f aca="false">COUNTIFS(G$5:G$154,"✓",03_能力總表_Master!$H$5:$H$154,"缺口*")</f>
        <v>0</v>
      </c>
      <c r="H159" s="239" t="n">
        <f aca="false">COUNTIFS(H$5:H$154,"✓",03_能力總表_Master!$H$5:$H$154,"缺口*")</f>
        <v>1</v>
      </c>
      <c r="I159" s="239" t="n">
        <f aca="false">COUNTIFS(I$5:I$154,"✓",03_能力總表_Master!$H$5:$H$154,"缺口*")</f>
        <v>0</v>
      </c>
      <c r="J159" s="239" t="n">
        <f aca="false">COUNTIFS(J$5:J$154,"✓",03_能力總表_Master!$H$5:$H$154,"缺口*")</f>
        <v>0</v>
      </c>
      <c r="K159" s="239" t="n">
        <f aca="false">COUNTIFS(K$5:K$154,"✓",03_能力總表_Master!$H$5:$H$154,"缺口*")</f>
        <v>1</v>
      </c>
      <c r="L159" s="239" t="n">
        <f aca="false">COUNTIFS(L$5:L$154,"✓",03_能力總表_Master!$H$5:$H$154,"缺口*")</f>
        <v>0</v>
      </c>
      <c r="M159" s="239" t="n">
        <f aca="false">COUNTIFS(M$5:M$154,"✓",03_能力總表_Master!$H$5:$H$154,"缺口*")</f>
        <v>0</v>
      </c>
      <c r="N159" s="239" t="n">
        <f aca="false">COUNTIFS(N$5:N$154,"✓",03_能力總表_Master!$H$5:$H$154,"缺口*")</f>
        <v>0</v>
      </c>
      <c r="O159" s="239" t="n">
        <f aca="false">COUNTIFS(O$5:O$154,"✓",03_能力總表_Master!$H$5:$H$154,"缺口*")</f>
        <v>0</v>
      </c>
      <c r="P159" s="239" t="n">
        <f aca="false">COUNTIFS(P$5:P$154,"✓",03_能力總表_Master!$H$5:$H$154,"缺口*")</f>
        <v>0</v>
      </c>
      <c r="Q159" s="239" t="n">
        <f aca="false">COUNTIFS(Q$5:Q$154,"✓",03_能力總表_Master!$H$5:$H$154,"缺口*")</f>
        <v>1</v>
      </c>
      <c r="R159" s="239" t="n">
        <f aca="false">COUNTIFS(R$5:R$154,"✓",03_能力總表_Master!$H$5:$H$154,"缺口*")</f>
        <v>1</v>
      </c>
      <c r="S159" s="239" t="n">
        <f aca="false">COUNTIFS(S$5:S$154,"✓",03_能力總表_Master!$H$5:$H$154,"缺口*")</f>
        <v>1</v>
      </c>
      <c r="T159" s="239" t="n">
        <f aca="false">COUNTIFS(T$5:T$154,"✓",03_能力總表_Master!$H$5:$H$154,"缺口*")</f>
        <v>0</v>
      </c>
      <c r="U159" s="239" t="n">
        <f aca="false">COUNTIFS(U$5:U$154,"✓",03_能力總表_Master!$H$5:$H$154,"缺口*")</f>
        <v>0</v>
      </c>
      <c r="V159" s="239" t="n">
        <f aca="false">COUNTIFS(V$5:V$154,"✓",03_能力總表_Master!$H$5:$H$154,"缺口*")</f>
        <v>1</v>
      </c>
      <c r="W159" s="239" t="n">
        <f aca="false">COUNTIFS(W$5:W$154,"✓",03_能力總表_Master!$H$5:$H$154,"缺口*")</f>
        <v>0</v>
      </c>
      <c r="X159" s="239" t="n">
        <f aca="false">COUNTIFS(X$5:X$154,"✓",03_能力總表_Master!$H$5:$H$154,"缺口*")</f>
        <v>1</v>
      </c>
      <c r="Y159" s="239" t="n">
        <f aca="false">COUNTIFS(Y$5:Y$154,"✓",03_能力總表_Master!$H$5:$H$154,"缺口*")</f>
        <v>0</v>
      </c>
      <c r="Z159" s="239" t="n">
        <f aca="false">COUNTIFS(Z$5:Z$154,"✓",03_能力總表_Master!$H$5:$H$154,"缺口*")</f>
        <v>1</v>
      </c>
      <c r="AA159" s="239" t="n">
        <f aca="false">COUNTIFS(AA$5:AA$154,"✓",03_能力總表_Master!$H$5:$H$154,"缺口*")</f>
        <v>0</v>
      </c>
      <c r="AB159" s="239" t="n">
        <f aca="false">COUNTIFS(AB$5:AB$154,"✓",03_能力總表_Master!$H$5:$H$154,"缺口*")</f>
        <v>0</v>
      </c>
      <c r="AC159" s="239" t="n">
        <f aca="false">COUNTIFS(AC$5:AC$154,"✓",03_能力總表_Master!$H$5:$H$154,"缺口*")</f>
        <v>0</v>
      </c>
      <c r="AD159" s="239" t="n">
        <f aca="false">COUNTIFS(AD$5:AD$154,"✓",03_能力總表_Master!$H$5:$H$154,"缺口*")</f>
        <v>0</v>
      </c>
      <c r="AE159" s="239" t="n">
        <f aca="false">COUNTIFS(AE$5:AE$154,"✓",03_能力總表_Master!$H$5:$H$154,"缺口*")</f>
        <v>0</v>
      </c>
      <c r="AF159" s="239" t="n">
        <f aca="false">COUNTIFS(AF$5:AF$154,"✓",03_能力總表_Master!$H$5:$H$154,"缺口*")</f>
        <v>0</v>
      </c>
      <c r="AG159" s="239" t="n">
        <f aca="false">COUNTIFS(AG$5:AG$154,"✓",03_能力總表_Master!$H$5:$H$154,"缺口*")</f>
        <v>0</v>
      </c>
      <c r="AH159" s="239" t="n">
        <f aca="false">COUNTIFS(AH$5:AH$154,"✓",03_能力總表_Master!$H$5:$H$154,"缺口*")</f>
        <v>0</v>
      </c>
      <c r="AI159" s="239" t="n">
        <f aca="false">COUNTIFS(AI$5:AI$154,"✓",03_能力總表_Master!$H$5:$H$154,"缺口*")</f>
        <v>1</v>
      </c>
      <c r="AJ159" s="239" t="n">
        <f aca="false">COUNTIFS(AJ$5:AJ$154,"✓",03_能力總表_Master!$H$5:$H$154,"缺口*")</f>
        <v>0</v>
      </c>
      <c r="AK159" s="239" t="n">
        <f aca="false">COUNTIFS(AK$5:AK$154,"✓",03_能力總表_Master!$H$5:$H$154,"缺口*")</f>
        <v>1</v>
      </c>
      <c r="AL159" s="239" t="n">
        <f aca="false">COUNTIFS(AL$5:AL$154,"✓",03_能力總表_Master!$H$5:$H$154,"缺口*")</f>
        <v>0</v>
      </c>
      <c r="AM159" s="239" t="n">
        <f aca="false">COUNTIFS(AM$5:AM$154,"✓",03_能力總表_Master!$H$5:$H$154,"缺口*")</f>
        <v>0</v>
      </c>
      <c r="AN159" s="239" t="n">
        <f aca="false">COUNTIFS(AN$5:AN$154,"✓",03_能力總表_Master!$H$5:$H$154,"缺口*")</f>
        <v>0</v>
      </c>
      <c r="AO159" s="239" t="n">
        <f aca="false">COUNTIFS(AO$5:AO$154,"✓",03_能力總表_Master!$H$5:$H$154,"缺口*")</f>
        <v>0</v>
      </c>
      <c r="AP159" s="239" t="n">
        <f aca="false">COUNTIFS(AP$5:AP$154,"✓",03_能力總表_Master!$H$5:$H$154,"缺口*")</f>
        <v>1</v>
      </c>
      <c r="AQ159" s="239" t="n">
        <f aca="false">COUNTIFS(AQ$5:AQ$154,"✓",03_能力總表_Master!$H$5:$H$154,"缺口*")</f>
        <v>0</v>
      </c>
      <c r="AR159" s="239" t="n">
        <f aca="false">COUNTIFS(AR$5:AR$154,"✓",03_能力總表_Master!$H$5:$H$154,"缺口*")</f>
        <v>0</v>
      </c>
      <c r="AS159" s="239" t="n">
        <f aca="false">COUNTIFS(AS$5:AS$154,"✓",03_能力總表_Master!$H$5:$H$154,"缺口*")</f>
        <v>0</v>
      </c>
      <c r="AT159" s="239" t="n">
        <f aca="false">COUNTIFS(AT$5:AT$154,"✓",03_能力總表_Master!$H$5:$H$154,"缺口*")</f>
        <v>0</v>
      </c>
      <c r="AU159" s="239" t="n">
        <f aca="false">COUNTIFS(AU$5:AU$154,"✓",03_能力總表_Master!$H$5:$H$154,"缺口*")</f>
        <v>1</v>
      </c>
      <c r="AV159" s="239" t="n">
        <f aca="false">COUNTIFS(AV$5:AV$154,"✓",03_能力總表_Master!$H$5:$H$154,"缺口*")</f>
        <v>1</v>
      </c>
      <c r="AW159" s="239" t="n">
        <f aca="false">COUNTIFS(AW$5:AW$154,"✓",03_能力總表_Master!$H$5:$H$154,"缺口*")</f>
        <v>0</v>
      </c>
      <c r="AX159" s="239" t="n">
        <f aca="false">COUNTIFS(AX$5:AX$154,"✓",03_能力總表_Master!$H$5:$H$154,"缺口*")</f>
        <v>0</v>
      </c>
      <c r="AY159" s="239" t="n">
        <f aca="false">COUNTIFS(AY$5:AY$154,"✓",03_能力總表_Master!$H$5:$H$154,"缺口*")</f>
        <v>0</v>
      </c>
      <c r="AZ159" s="239" t="n">
        <f aca="false">COUNTIFS(AZ$5:AZ$154,"✓",03_能力總表_Master!$H$5:$H$154,"缺口*")</f>
        <v>0</v>
      </c>
      <c r="BA159" s="239" t="n">
        <f aca="false">COUNTIFS(BA$5:BA$154,"✓",03_能力總表_Master!$H$5:$H$154,"缺口*")</f>
        <v>0</v>
      </c>
      <c r="BB159" s="239" t="n">
        <f aca="false">COUNTIFS(BB$5:BB$154,"✓",03_能力總表_Master!$H$5:$H$154,"缺口*")</f>
        <v>1</v>
      </c>
      <c r="BC159" s="239" t="n">
        <f aca="false">COUNTIFS(BC$5:BC$154,"✓",03_能力總表_Master!$H$5:$H$154,"缺口*")</f>
        <v>0</v>
      </c>
      <c r="BD159" s="239" t="n">
        <f aca="false">COUNTIFS(BD$5:BD$154,"✓",03_能力總表_Master!$H$5:$H$154,"缺口*")</f>
        <v>0</v>
      </c>
      <c r="BE159" s="239" t="n">
        <f aca="false">COUNTIFS(BE$5:BE$154,"✓",03_能力總表_Master!$H$5:$H$154,"缺口*")</f>
        <v>0</v>
      </c>
      <c r="BF159" s="239" t="n">
        <f aca="false">COUNTIFS(BF$5:BF$154,"✓",03_能力總表_Master!$H$5:$H$154,"缺口*")</f>
        <v>0</v>
      </c>
      <c r="BG159" s="239" t="n">
        <f aca="false">COUNTIFS(BG$5:BG$154,"✓",03_能力總表_Master!$H$5:$H$154,"缺口*")</f>
        <v>1</v>
      </c>
      <c r="BH159" s="239" t="n">
        <f aca="false">COUNTIFS(BH$5:BH$154,"✓",03_能力總表_Master!$H$5:$H$154,"缺口*")</f>
        <v>0</v>
      </c>
      <c r="BI159" s="239" t="n">
        <f aca="false">COUNTIFS(BI$5:BI$154,"✓",03_能力總表_Master!$H$5:$H$154,"缺口*")</f>
        <v>0</v>
      </c>
      <c r="BJ159" s="239" t="n">
        <f aca="false">COUNTIFS(BJ$5:BJ$154,"✓",03_能力總表_Master!$H$5:$H$154,"缺口*")</f>
        <v>0</v>
      </c>
      <c r="BK159" s="239" t="n">
        <f aca="false">COUNTIFS(BK$5:BK$154,"✓",03_能力總表_Master!$H$5:$H$154,"缺口*")</f>
        <v>0</v>
      </c>
      <c r="BL159" s="239" t="n">
        <f aca="false">COUNTIFS(BL$5:BL$154,"✓",03_能力總表_Master!$H$5:$H$154,"缺口*")</f>
        <v>1</v>
      </c>
      <c r="BM159" s="239" t="n">
        <f aca="false">COUNTIFS(BM$5:BM$154,"✓",03_能力總表_Master!$H$5:$H$154,"缺口*")</f>
        <v>1</v>
      </c>
      <c r="BN159" s="239" t="n">
        <f aca="false">COUNTIFS(BN$5:BN$154,"✓",03_能力總表_Master!$H$5:$H$154,"缺口*")</f>
        <v>0</v>
      </c>
      <c r="BO159" s="239" t="n">
        <f aca="false">COUNTIFS(BO$5:BO$154,"✓",03_能力總表_Master!$H$5:$H$154,"缺口*")</f>
        <v>0</v>
      </c>
      <c r="BP159" s="239" t="n">
        <f aca="false">COUNTIFS(BP$5:BP$154,"✓",03_能力總表_Master!$H$5:$H$154,"缺口*")</f>
        <v>0</v>
      </c>
      <c r="BQ159" s="239" t="n">
        <f aca="false">COUNTIFS(BQ$5:BQ$154,"✓",03_能力總表_Master!$H$5:$H$154,"缺口*")</f>
        <v>0</v>
      </c>
      <c r="BR159" s="239" t="n">
        <f aca="false">COUNTIFS(BR$5:BR$154,"✓",03_能力總表_Master!$H$5:$H$154,"缺口*")</f>
        <v>0</v>
      </c>
      <c r="BS159" s="239" t="n">
        <f aca="false">COUNTIFS(BS$5:BS$154,"✓",03_能力總表_Master!$H$5:$H$154,"缺口*")</f>
        <v>0</v>
      </c>
      <c r="BT159" s="239" t="n">
        <f aca="false">COUNTIFS(BT$5:BT$154,"✓",03_能力總表_Master!$H$5:$H$154,"缺口*")</f>
        <v>0</v>
      </c>
      <c r="BU159" s="239" t="n">
        <f aca="false">COUNTIFS(BU$5:BU$154,"✓",03_能力總表_Master!$H$5:$H$154,"缺口*")</f>
        <v>0</v>
      </c>
      <c r="BV159" s="239" t="n">
        <f aca="false">COUNTIFS(BV$5:BV$154,"✓",03_能力總表_Master!$H$5:$H$154,"缺口*")</f>
        <v>0</v>
      </c>
      <c r="BW159" s="239" t="n">
        <f aca="false">COUNTIFS(BW$5:BW$154,"✓",03_能力總表_Master!$H$5:$H$154,"缺口*")</f>
        <v>1</v>
      </c>
      <c r="BX159" s="239" t="n">
        <f aca="false">COUNTIFS(BX$5:BX$154,"✓",03_能力總表_Master!$H$5:$H$154,"缺口*")</f>
        <v>1</v>
      </c>
      <c r="BY159" s="239" t="n">
        <f aca="false">COUNTIFS(BY$5:BY$154,"✓",03_能力總表_Master!$H$5:$H$154,"缺口*")</f>
        <v>0</v>
      </c>
      <c r="BZ159" s="239" t="n">
        <f aca="false">COUNTIFS(BZ$5:BZ$154,"✓",03_能力總表_Master!$H$5:$H$154,"缺口*")</f>
        <v>0</v>
      </c>
      <c r="CA159" s="239" t="n">
        <f aca="false">COUNTIFS(CA$5:CA$154,"✓",03_能力總表_Master!$H$5:$H$154,"缺口*")</f>
        <v>1</v>
      </c>
      <c r="CB159" s="239" t="n">
        <f aca="false">COUNTIFS(CB$5:CB$154,"✓",03_能力總表_Master!$H$5:$H$154,"缺口*")</f>
        <v>1</v>
      </c>
      <c r="CC159" s="239" t="n">
        <f aca="false">COUNTIFS(CC$5:CC$154,"✓",03_能力總表_Master!$H$5:$H$154,"缺口*")</f>
        <v>0</v>
      </c>
      <c r="CD159" s="239" t="n">
        <f aca="false">COUNTIFS(CD$5:CD$154,"✓",03_能力總表_Master!$H$5:$H$154,"缺口*")</f>
        <v>0</v>
      </c>
      <c r="CE159" s="239" t="n">
        <f aca="false">COUNTIFS(CE$5:CE$154,"✓",03_能力總表_Master!$H$5:$H$154,"缺口*")</f>
        <v>1</v>
      </c>
      <c r="CF159" s="239" t="n">
        <f aca="false">COUNTIFS(CF$5:CF$154,"✓",03_能力總表_Master!$H$5:$H$154,"缺口*")</f>
        <v>2</v>
      </c>
      <c r="CG159" s="239" t="n">
        <f aca="false">COUNTIFS(CG$5:CG$154,"✓",03_能力總表_Master!$H$5:$H$154,"缺口*")</f>
        <v>2</v>
      </c>
      <c r="CH159" s="239" t="n">
        <f aca="false">COUNTIFS(CH$5:CH$154,"✓",03_能力總表_Master!$H$5:$H$154,"缺口*")</f>
        <v>1</v>
      </c>
      <c r="CI159" s="239" t="n">
        <f aca="false">COUNTIFS(CI$5:CI$154,"✓",03_能力總表_Master!$H$5:$H$154,"缺口*")</f>
        <v>1</v>
      </c>
      <c r="CJ159" s="239" t="n">
        <f aca="false">COUNTIFS(CJ$5:CJ$154,"✓",03_能力總表_Master!$H$5:$H$154,"缺口*")</f>
        <v>0</v>
      </c>
      <c r="CK159" s="239" t="n">
        <f aca="false">COUNTIFS(CK$5:CK$154,"✓",03_能力總表_Master!$H$5:$H$154,"缺口*")</f>
        <v>0</v>
      </c>
      <c r="CL159" s="239" t="n">
        <f aca="false">COUNTIFS(CL$5:CL$154,"✓",03_能力總表_Master!$H$5:$H$154,"缺口*")</f>
        <v>0</v>
      </c>
      <c r="CM159" s="239" t="n">
        <f aca="false">COUNTIFS(CM$5:CM$154,"✓",03_能力總表_Master!$H$5:$H$154,"缺口*")</f>
        <v>0</v>
      </c>
      <c r="CN159" s="239" t="n">
        <f aca="false">COUNTIFS(CN$5:CN$154,"✓",03_能力總表_Master!$H$5:$H$154,"缺口*")</f>
        <v>0</v>
      </c>
      <c r="CO159" s="239" t="n">
        <f aca="false">COUNTIFS(CO$5:CO$154,"✓",03_能力總表_Master!$H$5:$H$154,"缺口*")</f>
        <v>0</v>
      </c>
    </row>
    <row r="160" customFormat="false" ht="45.75" hidden="false" customHeight="true" outlineLevel="0" collapsed="false">
      <c r="A160" s="235"/>
      <c r="B160" s="235"/>
      <c r="C160" s="236" t="s">
        <v>1308</v>
      </c>
      <c r="D160" s="240" t="str">
        <f aca="false">IF(D$161="","",LEFT(D$161,LEN(D$161)-2))</f>
        <v>D01; D10</v>
      </c>
      <c r="E160" s="240" t="str">
        <f aca="false">IF(E$161="","",LEFT(E$161,LEN(E$161)-2))</f>
        <v>D02</v>
      </c>
      <c r="F160" s="240" t="str">
        <f aca="false">IF(F$161="","",LEFT(F$161,LEN(F$161)-2))</f>
        <v>D01; D02; D10</v>
      </c>
      <c r="G160" s="240" t="str">
        <f aca="false">IF(G$161="","",LEFT(G$161,LEN(G$161)-2))</f>
        <v>D01; D02; D10</v>
      </c>
      <c r="H160" s="240" t="str">
        <f aca="false">IF(H$161="","",LEFT(H$161,LEN(H$161)-2))</f>
        <v>D03; D05</v>
      </c>
      <c r="I160" s="240" t="str">
        <f aca="false">IF(I$161="","",LEFT(I$161,LEN(I$161)-2))</f>
        <v>D03</v>
      </c>
      <c r="J160" s="240" t="str">
        <f aca="false">IF(J$161="","",LEFT(J$161,LEN(J$161)-2))</f>
        <v>D03</v>
      </c>
      <c r="K160" s="240" t="str">
        <f aca="false">IF(K$161="","",LEFT(K$161,LEN(K$161)-2))</f>
        <v>D03; D05</v>
      </c>
      <c r="L160" s="240" t="str">
        <f aca="false">IF(L$161="","",LEFT(L$161,LEN(L$161)-2))</f>
        <v>D03</v>
      </c>
      <c r="M160" s="240" t="str">
        <f aca="false">IF(M$161="","",LEFT(M$161,LEN(M$161)-2))</f>
        <v>D03</v>
      </c>
      <c r="N160" s="240" t="str">
        <f aca="false">IF(N$161="","",LEFT(N$161,LEN(N$161)-2))</f>
        <v>D03</v>
      </c>
      <c r="O160" s="240" t="str">
        <f aca="false">IF(O$161="","",LEFT(O$161,LEN(O$161)-2))</f>
        <v>D03</v>
      </c>
      <c r="P160" s="240" t="str">
        <f aca="false">IF(P$161="","",LEFT(P$161,LEN(P$161)-2))</f>
        <v>D03; D05</v>
      </c>
      <c r="Q160" s="240" t="str">
        <f aca="false">IF(Q$161="","",LEFT(Q$161,LEN(Q$161)-2))</f>
        <v>D05</v>
      </c>
      <c r="R160" s="240" t="str">
        <f aca="false">IF(R$161="","",LEFT(R$161,LEN(R$161)-2))</f>
        <v>D05</v>
      </c>
      <c r="S160" s="240" t="str">
        <f aca="false">IF(S$161="","",LEFT(S$161,LEN(S$161)-2))</f>
        <v>D05</v>
      </c>
      <c r="T160" s="240" t="str">
        <f aca="false">IF(T$161="","",LEFT(T$161,LEN(T$161)-2))</f>
        <v>D05</v>
      </c>
      <c r="U160" s="240" t="str">
        <f aca="false">IF(U$161="","",LEFT(U$161,LEN(U$161)-2))</f>
        <v>D05</v>
      </c>
      <c r="V160" s="240" t="str">
        <f aca="false">IF(V$161="","",LEFT(V$161,LEN(V$161)-2))</f>
        <v>D05</v>
      </c>
      <c r="W160" s="240" t="str">
        <f aca="false">IF(W$161="","",LEFT(W$161,LEN(W$161)-2))</f>
        <v>D05</v>
      </c>
      <c r="X160" s="240" t="str">
        <f aca="false">IF(X$161="","",LEFT(X$161,LEN(X$161)-2))</f>
        <v>D05; D06</v>
      </c>
      <c r="Y160" s="240" t="str">
        <f aca="false">IF(Y$161="","",LEFT(Y$161,LEN(Y$161)-2))</f>
        <v>D01</v>
      </c>
      <c r="Z160" s="240" t="str">
        <f aca="false">IF(Z$161="","",LEFT(Z$161,LEN(Z$161)-2))</f>
        <v>D05</v>
      </c>
      <c r="AA160" s="240" t="str">
        <f aca="false">IF(AA$161="","",LEFT(AA$161,LEN(AA$161)-2))</f>
        <v>D04</v>
      </c>
      <c r="AB160" s="240" t="str">
        <f aca="false">IF(AB$161="","",LEFT(AB$161,LEN(AB$161)-2))</f>
        <v>D04</v>
      </c>
      <c r="AC160" s="240" t="str">
        <f aca="false">IF(AC$161="","",LEFT(AC$161,LEN(AC$161)-2))</f>
        <v>D04; D09</v>
      </c>
      <c r="AD160" s="240" t="str">
        <f aca="false">IF(AD$161="","",LEFT(AD$161,LEN(AD$161)-2))</f>
        <v>D04</v>
      </c>
      <c r="AE160" s="240" t="str">
        <f aca="false">IF(AE$161="","",LEFT(AE$161,LEN(AE$161)-2))</f>
        <v>D01; D04</v>
      </c>
      <c r="AF160" s="240" t="str">
        <f aca="false">IF(AF$161="","",LEFT(AF$161,LEN(AF$161)-2))</f>
        <v>D04</v>
      </c>
      <c r="AG160" s="240" t="str">
        <f aca="false">IF(AG$161="","",LEFT(AG$161,LEN(AG$161)-2))</f>
        <v>D04; D06</v>
      </c>
      <c r="AH160" s="240" t="str">
        <f aca="false">IF(AH$161="","",LEFT(AH$161,LEN(AH$161)-2))</f>
        <v>D06</v>
      </c>
      <c r="AI160" s="240" t="str">
        <f aca="false">IF(AI$161="","",LEFT(AI$161,LEN(AI$161)-2))</f>
        <v>D05; D06</v>
      </c>
      <c r="AJ160" s="240" t="str">
        <f aca="false">IF(AJ$161="","",LEFT(AJ$161,LEN(AJ$161)-2))</f>
        <v>D06</v>
      </c>
      <c r="AK160" s="240" t="str">
        <f aca="false">IF(AK$161="","",LEFT(AK$161,LEN(AK$161)-2))</f>
        <v>D06</v>
      </c>
      <c r="AL160" s="240" t="str">
        <f aca="false">IF(AL$161="","",LEFT(AL$161,LEN(AL$161)-2))</f>
        <v>D06</v>
      </c>
      <c r="AM160" s="240" t="str">
        <f aca="false">IF(AM$161="","",LEFT(AM$161,LEN(AM$161)-2))</f>
        <v>D06</v>
      </c>
      <c r="AN160" s="240" t="str">
        <f aca="false">IF(AN$161="","",LEFT(AN$161,LEN(AN$161)-2))</f>
        <v>D06; D09</v>
      </c>
      <c r="AO160" s="240" t="str">
        <f aca="false">IF(AO$161="","",LEFT(AO$161,LEN(AO$161)-2))</f>
        <v>D05; D06</v>
      </c>
      <c r="AP160" s="240" t="str">
        <f aca="false">IF(AP$161="","",LEFT(AP$161,LEN(AP$161)-2))</f>
        <v>D04; D05</v>
      </c>
      <c r="AQ160" s="240" t="str">
        <f aca="false">IF(AQ$161="","",LEFT(AQ$161,LEN(AQ$161)-2))</f>
        <v>D04; D06; D10</v>
      </c>
      <c r="AR160" s="240" t="str">
        <f aca="false">IF(AR$161="","",LEFT(AR$161,LEN(AR$161)-2))</f>
        <v>D06</v>
      </c>
      <c r="AS160" s="240" t="str">
        <f aca="false">IF(AS$161="","",LEFT(AS$161,LEN(AS$161)-2))</f>
        <v>D06; D07</v>
      </c>
      <c r="AT160" s="240" t="str">
        <f aca="false">IF(AT$161="","",LEFT(AT$161,LEN(AT$161)-2))</f>
        <v/>
      </c>
      <c r="AU160" s="240" t="str">
        <f aca="false">IF(AU$161="","",LEFT(AU$161,LEN(AU$161)-2))</f>
        <v>D05; D06</v>
      </c>
      <c r="AV160" s="240" t="str">
        <f aca="false">IF(AV$161="","",LEFT(AV$161,LEN(AV$161)-2))</f>
        <v>D05</v>
      </c>
      <c r="AW160" s="240" t="str">
        <f aca="false">IF(AW$161="","",LEFT(AW$161,LEN(AW$161)-2))</f>
        <v>D05</v>
      </c>
      <c r="AX160" s="240" t="str">
        <f aca="false">IF(AX$161="","",LEFT(AX$161,LEN(AX$161)-2))</f>
        <v/>
      </c>
      <c r="AY160" s="240" t="str">
        <f aca="false">IF(AY$161="","",LEFT(AY$161,LEN(AY$161)-2))</f>
        <v/>
      </c>
      <c r="AZ160" s="240" t="str">
        <f aca="false">IF(AZ$161="","",LEFT(AZ$161,LEN(AZ$161)-2))</f>
        <v/>
      </c>
      <c r="BA160" s="240" t="str">
        <f aca="false">IF(BA$161="","",LEFT(BA$161,LEN(BA$161)-2))</f>
        <v/>
      </c>
      <c r="BB160" s="240" t="str">
        <f aca="false">IF(BB$161="","",LEFT(BB$161,LEN(BB$161)-2))</f>
        <v>D10</v>
      </c>
      <c r="BC160" s="240" t="str">
        <f aca="false">IF(BC$161="","",LEFT(BC$161,LEN(BC$161)-2))</f>
        <v>D04; D09</v>
      </c>
      <c r="BD160" s="240" t="str">
        <f aca="false">IF(BD$161="","",LEFT(BD$161,LEN(BD$161)-2))</f>
        <v>D09</v>
      </c>
      <c r="BE160" s="240" t="str">
        <f aca="false">IF(BE$161="","",LEFT(BE$161,LEN(BE$161)-2))</f>
        <v>D05; D09</v>
      </c>
      <c r="BF160" s="240" t="str">
        <f aca="false">IF(BF$161="","",LEFT(BF$161,LEN(BF$161)-2))</f>
        <v/>
      </c>
      <c r="BG160" s="240" t="str">
        <f aca="false">IF(BG$161="","",LEFT(BG$161,LEN(BG$161)-2))</f>
        <v>D06</v>
      </c>
      <c r="BH160" s="240" t="str">
        <f aca="false">IF(BH$161="","",LEFT(BH$161,LEN(BH$161)-2))</f>
        <v>D04</v>
      </c>
      <c r="BI160" s="240" t="str">
        <f aca="false">IF(BI$161="","",LEFT(BI$161,LEN(BI$161)-2))</f>
        <v>D06</v>
      </c>
      <c r="BJ160" s="240" t="str">
        <f aca="false">IF(BJ$161="","",LEFT(BJ$161,LEN(BJ$161)-2))</f>
        <v>D01; D04</v>
      </c>
      <c r="BK160" s="240" t="str">
        <f aca="false">IF(BK$161="","",LEFT(BK$161,LEN(BK$161)-2))</f>
        <v>D07</v>
      </c>
      <c r="BL160" s="240" t="str">
        <f aca="false">IF(BL$161="","",LEFT(BL$161,LEN(BL$161)-2))</f>
        <v>D05; D07</v>
      </c>
      <c r="BM160" s="240" t="str">
        <f aca="false">IF(BM$161="","",LEFT(BM$161,LEN(BM$161)-2))</f>
        <v>D08</v>
      </c>
      <c r="BN160" s="240" t="str">
        <f aca="false">IF(BN$161="","",LEFT(BN$161,LEN(BN$161)-2))</f>
        <v>D07; D08</v>
      </c>
      <c r="BO160" s="240" t="str">
        <f aca="false">IF(BO$161="","",LEFT(BO$161,LEN(BO$161)-2))</f>
        <v>D09</v>
      </c>
      <c r="BP160" s="240" t="str">
        <f aca="false">IF(BP$161="","",LEFT(BP$161,LEN(BP$161)-2))</f>
        <v>D03; D05</v>
      </c>
      <c r="BQ160" s="240" t="str">
        <f aca="false">IF(BQ$161="","",LEFT(BQ$161,LEN(BQ$161)-2))</f>
        <v>D05; D09</v>
      </c>
      <c r="BR160" s="240" t="str">
        <f aca="false">IF(BR$161="","",LEFT(BR$161,LEN(BR$161)-2))</f>
        <v>D09</v>
      </c>
      <c r="BS160" s="240" t="str">
        <f aca="false">IF(BS$161="","",LEFT(BS$161,LEN(BS$161)-2))</f>
        <v>D09</v>
      </c>
      <c r="BT160" s="240" t="str">
        <f aca="false">IF(BT$161="","",LEFT(BT$161,LEN(BT$161)-2))</f>
        <v>D03; D09</v>
      </c>
      <c r="BU160" s="240" t="str">
        <f aca="false">IF(BU$161="","",LEFT(BU$161,LEN(BU$161)-2))</f>
        <v>D09</v>
      </c>
      <c r="BV160" s="240" t="str">
        <f aca="false">IF(BV$161="","",LEFT(BV$161,LEN(BV$161)-2))</f>
        <v>D05</v>
      </c>
      <c r="BW160" s="240" t="str">
        <f aca="false">IF(BW$161="","",LEFT(BW$161,LEN(BW$161)-2))</f>
        <v>D02; D05</v>
      </c>
      <c r="BX160" s="240" t="str">
        <f aca="false">IF(BX$161="","",LEFT(BX$161,LEN(BX$161)-2))</f>
        <v>D05</v>
      </c>
      <c r="BY160" s="240" t="str">
        <f aca="false">IF(BY$161="","",LEFT(BY$161,LEN(BY$161)-2))</f>
        <v>D02</v>
      </c>
      <c r="BZ160" s="240" t="str">
        <f aca="false">IF(BZ$161="","",LEFT(BZ$161,LEN(BZ$161)-2))</f>
        <v>D02</v>
      </c>
      <c r="CA160" s="240" t="str">
        <f aca="false">IF(CA$161="","",LEFT(CA$161,LEN(CA$161)-2))</f>
        <v>D05</v>
      </c>
      <c r="CB160" s="240" t="str">
        <f aca="false">IF(CB$161="","",LEFT(CB$161,LEN(CB$161)-2))</f>
        <v>D02; D08</v>
      </c>
      <c r="CC160" s="240" t="str">
        <f aca="false">IF(CC$161="","",LEFT(CC$161,LEN(CC$161)-2))</f>
        <v>D02</v>
      </c>
      <c r="CD160" s="240" t="str">
        <f aca="false">IF(CD$161="","",LEFT(CD$161,LEN(CD$161)-2))</f>
        <v>D02</v>
      </c>
      <c r="CE160" s="240" t="str">
        <f aca="false">IF(CE$161="","",LEFT(CE$161,LEN(CE$161)-2))</f>
        <v>D06</v>
      </c>
      <c r="CF160" s="240" t="str">
        <f aca="false">IF(CF$161="","",LEFT(CF$161,LEN(CF$161)-2))</f>
        <v>D06; D10</v>
      </c>
      <c r="CG160" s="240" t="str">
        <f aca="false">IF(CG$161="","",LEFT(CG$161,LEN(CG$161)-2))</f>
        <v>D10</v>
      </c>
      <c r="CH160" s="240" t="str">
        <f aca="false">IF(CH$161="","",LEFT(CH$161,LEN(CH$161)-2))</f>
        <v>D10</v>
      </c>
      <c r="CI160" s="240" t="str">
        <f aca="false">IF(CI$161="","",LEFT(CI$161,LEN(CI$161)-2))</f>
        <v>D10</v>
      </c>
      <c r="CJ160" s="240" t="str">
        <f aca="false">IF(CJ$161="","",LEFT(CJ$161,LEN(CJ$161)-2))</f>
        <v>D01; D10</v>
      </c>
      <c r="CK160" s="240" t="str">
        <f aca="false">IF(CK$161="","",LEFT(CK$161,LEN(CK$161)-2))</f>
        <v/>
      </c>
      <c r="CL160" s="240" t="str">
        <f aca="false">IF(CL$161="","",LEFT(CL$161,LEN(CL$161)-2))</f>
        <v/>
      </c>
      <c r="CM160" s="240" t="str">
        <f aca="false">IF(CM$161="","",LEFT(CM$161,LEN(CM$161)-2))</f>
        <v/>
      </c>
      <c r="CN160" s="240" t="str">
        <f aca="false">IF(CN$161="","",LEFT(CN$161,LEN(CN$161)-2))</f>
        <v/>
      </c>
      <c r="CO160" s="240" t="str">
        <f aca="false">IF(CO$161="","",LEFT(CO$161,LEN(CO$161)-2))</f>
        <v/>
      </c>
    </row>
    <row r="161" customFormat="false" ht="15" hidden="true" customHeight="false" outlineLevel="0" collapsed="false">
      <c r="D161" s="0" t="str">
        <f aca="false">IF(COUNTIFS(D$5:D$154,"✓",$B$5:$B$154,"D01*")&gt;0,"D01; ","")&amp;IF(COUNTIFS(D$5:D$154,"✓",$B$5:$B$154,"D02*")&gt;0,"D02; ","")&amp;IF(COUNTIFS(D$5:D$154,"✓",$B$5:$B$154,"D03*")&gt;0,"D03; ","")&amp;IF(COUNTIFS(D$5:D$154,"✓",$B$5:$B$154,"D04*")&gt;0,"D04; ","")&amp;IF(COUNTIFS(D$5:D$154,"✓",$B$5:$B$154,"D05*")&gt;0,"D05; ","")&amp;IF(COUNTIFS(D$5:D$154,"✓",$B$5:$B$154,"D06*")&gt;0,"D06; ","")&amp;IF(COUNTIFS(D$5:D$154,"✓",$B$5:$B$154,"D07*")&gt;0,"D07; ","")&amp;IF(COUNTIFS(D$5:D$154,"✓",$B$5:$B$154,"D08*")&gt;0,"D08; ","")&amp;IF(COUNTIFS(D$5:D$154,"✓",$B$5:$B$154,"D09*")&gt;0,"D09; ","")&amp;IF(COUNTIFS(D$5:D$154,"✓",$B$5:$B$154,"D10*")&gt;0,"D10; ","")</f>
        <v>D01; D10; </v>
      </c>
      <c r="E161" s="0" t="str">
        <f aca="false">IF(COUNTIFS(E$5:E$154,"✓",$B$5:$B$154,"D01*")&gt;0,"D01; ","")&amp;IF(COUNTIFS(E$5:E$154,"✓",$B$5:$B$154,"D02*")&gt;0,"D02; ","")&amp;IF(COUNTIFS(E$5:E$154,"✓",$B$5:$B$154,"D03*")&gt;0,"D03; ","")&amp;IF(COUNTIFS(E$5:E$154,"✓",$B$5:$B$154,"D04*")&gt;0,"D04; ","")&amp;IF(COUNTIFS(E$5:E$154,"✓",$B$5:$B$154,"D05*")&gt;0,"D05; ","")&amp;IF(COUNTIFS(E$5:E$154,"✓",$B$5:$B$154,"D06*")&gt;0,"D06; ","")&amp;IF(COUNTIFS(E$5:E$154,"✓",$B$5:$B$154,"D07*")&gt;0,"D07; ","")&amp;IF(COUNTIFS(E$5:E$154,"✓",$B$5:$B$154,"D08*")&gt;0,"D08; ","")&amp;IF(COUNTIFS(E$5:E$154,"✓",$B$5:$B$154,"D09*")&gt;0,"D09; ","")&amp;IF(COUNTIFS(E$5:E$154,"✓",$B$5:$B$154,"D10*")&gt;0,"D10; ","")</f>
        <v>D02; </v>
      </c>
      <c r="F161" s="0" t="str">
        <f aca="false">IF(COUNTIFS(F$5:F$154,"✓",$B$5:$B$154,"D01*")&gt;0,"D01; ","")&amp;IF(COUNTIFS(F$5:F$154,"✓",$B$5:$B$154,"D02*")&gt;0,"D02; ","")&amp;IF(COUNTIFS(F$5:F$154,"✓",$B$5:$B$154,"D03*")&gt;0,"D03; ","")&amp;IF(COUNTIFS(F$5:F$154,"✓",$B$5:$B$154,"D04*")&gt;0,"D04; ","")&amp;IF(COUNTIFS(F$5:F$154,"✓",$B$5:$B$154,"D05*")&gt;0,"D05; ","")&amp;IF(COUNTIFS(F$5:F$154,"✓",$B$5:$B$154,"D06*")&gt;0,"D06; ","")&amp;IF(COUNTIFS(F$5:F$154,"✓",$B$5:$B$154,"D07*")&gt;0,"D07; ","")&amp;IF(COUNTIFS(F$5:F$154,"✓",$B$5:$B$154,"D08*")&gt;0,"D08; ","")&amp;IF(COUNTIFS(F$5:F$154,"✓",$B$5:$B$154,"D09*")&gt;0,"D09; ","")&amp;IF(COUNTIFS(F$5:F$154,"✓",$B$5:$B$154,"D10*")&gt;0,"D10; ","")</f>
        <v>D01; D02; D10; </v>
      </c>
      <c r="G161" s="0" t="str">
        <f aca="false">IF(COUNTIFS(G$5:G$154,"✓",$B$5:$B$154,"D01*")&gt;0,"D01; ","")&amp;IF(COUNTIFS(G$5:G$154,"✓",$B$5:$B$154,"D02*")&gt;0,"D02; ","")&amp;IF(COUNTIFS(G$5:G$154,"✓",$B$5:$B$154,"D03*")&gt;0,"D03; ","")&amp;IF(COUNTIFS(G$5:G$154,"✓",$B$5:$B$154,"D04*")&gt;0,"D04; ","")&amp;IF(COUNTIFS(G$5:G$154,"✓",$B$5:$B$154,"D05*")&gt;0,"D05; ","")&amp;IF(COUNTIFS(G$5:G$154,"✓",$B$5:$B$154,"D06*")&gt;0,"D06; ","")&amp;IF(COUNTIFS(G$5:G$154,"✓",$B$5:$B$154,"D07*")&gt;0,"D07; ","")&amp;IF(COUNTIFS(G$5:G$154,"✓",$B$5:$B$154,"D08*")&gt;0,"D08; ","")&amp;IF(COUNTIFS(G$5:G$154,"✓",$B$5:$B$154,"D09*")&gt;0,"D09; ","")&amp;IF(COUNTIFS(G$5:G$154,"✓",$B$5:$B$154,"D10*")&gt;0,"D10; ","")</f>
        <v>D01; D02; D10; </v>
      </c>
      <c r="H161" s="0" t="str">
        <f aca="false">IF(COUNTIFS(H$5:H$154,"✓",$B$5:$B$154,"D01*")&gt;0,"D01; ","")&amp;IF(COUNTIFS(H$5:H$154,"✓",$B$5:$B$154,"D02*")&gt;0,"D02; ","")&amp;IF(COUNTIFS(H$5:H$154,"✓",$B$5:$B$154,"D03*")&gt;0,"D03; ","")&amp;IF(COUNTIFS(H$5:H$154,"✓",$B$5:$B$154,"D04*")&gt;0,"D04; ","")&amp;IF(COUNTIFS(H$5:H$154,"✓",$B$5:$B$154,"D05*")&gt;0,"D05; ","")&amp;IF(COUNTIFS(H$5:H$154,"✓",$B$5:$B$154,"D06*")&gt;0,"D06; ","")&amp;IF(COUNTIFS(H$5:H$154,"✓",$B$5:$B$154,"D07*")&gt;0,"D07; ","")&amp;IF(COUNTIFS(H$5:H$154,"✓",$B$5:$B$154,"D08*")&gt;0,"D08; ","")&amp;IF(COUNTIFS(H$5:H$154,"✓",$B$5:$B$154,"D09*")&gt;0,"D09; ","")&amp;IF(COUNTIFS(H$5:H$154,"✓",$B$5:$B$154,"D10*")&gt;0,"D10; ","")</f>
        <v>D03; D05; </v>
      </c>
      <c r="I161" s="0" t="str">
        <f aca="false">IF(COUNTIFS(I$5:I$154,"✓",$B$5:$B$154,"D01*")&gt;0,"D01; ","")&amp;IF(COUNTIFS(I$5:I$154,"✓",$B$5:$B$154,"D02*")&gt;0,"D02; ","")&amp;IF(COUNTIFS(I$5:I$154,"✓",$B$5:$B$154,"D03*")&gt;0,"D03; ","")&amp;IF(COUNTIFS(I$5:I$154,"✓",$B$5:$B$154,"D04*")&gt;0,"D04; ","")&amp;IF(COUNTIFS(I$5:I$154,"✓",$B$5:$B$154,"D05*")&gt;0,"D05; ","")&amp;IF(COUNTIFS(I$5:I$154,"✓",$B$5:$B$154,"D06*")&gt;0,"D06; ","")&amp;IF(COUNTIFS(I$5:I$154,"✓",$B$5:$B$154,"D07*")&gt;0,"D07; ","")&amp;IF(COUNTIFS(I$5:I$154,"✓",$B$5:$B$154,"D08*")&gt;0,"D08; ","")&amp;IF(COUNTIFS(I$5:I$154,"✓",$B$5:$B$154,"D09*")&gt;0,"D09; ","")&amp;IF(COUNTIFS(I$5:I$154,"✓",$B$5:$B$154,"D10*")&gt;0,"D10; ","")</f>
        <v>D03; </v>
      </c>
      <c r="J161" s="0" t="str">
        <f aca="false">IF(COUNTIFS(J$5:J$154,"✓",$B$5:$B$154,"D01*")&gt;0,"D01; ","")&amp;IF(COUNTIFS(J$5:J$154,"✓",$B$5:$B$154,"D02*")&gt;0,"D02; ","")&amp;IF(COUNTIFS(J$5:J$154,"✓",$B$5:$B$154,"D03*")&gt;0,"D03; ","")&amp;IF(COUNTIFS(J$5:J$154,"✓",$B$5:$B$154,"D04*")&gt;0,"D04; ","")&amp;IF(COUNTIFS(J$5:J$154,"✓",$B$5:$B$154,"D05*")&gt;0,"D05; ","")&amp;IF(COUNTIFS(J$5:J$154,"✓",$B$5:$B$154,"D06*")&gt;0,"D06; ","")&amp;IF(COUNTIFS(J$5:J$154,"✓",$B$5:$B$154,"D07*")&gt;0,"D07; ","")&amp;IF(COUNTIFS(J$5:J$154,"✓",$B$5:$B$154,"D08*")&gt;0,"D08; ","")&amp;IF(COUNTIFS(J$5:J$154,"✓",$B$5:$B$154,"D09*")&gt;0,"D09; ","")&amp;IF(COUNTIFS(J$5:J$154,"✓",$B$5:$B$154,"D10*")&gt;0,"D10; ","")</f>
        <v>D03; </v>
      </c>
      <c r="K161" s="0" t="str">
        <f aca="false">IF(COUNTIFS(K$5:K$154,"✓",$B$5:$B$154,"D01*")&gt;0,"D01; ","")&amp;IF(COUNTIFS(K$5:K$154,"✓",$B$5:$B$154,"D02*")&gt;0,"D02; ","")&amp;IF(COUNTIFS(K$5:K$154,"✓",$B$5:$B$154,"D03*")&gt;0,"D03; ","")&amp;IF(COUNTIFS(K$5:K$154,"✓",$B$5:$B$154,"D04*")&gt;0,"D04; ","")&amp;IF(COUNTIFS(K$5:K$154,"✓",$B$5:$B$154,"D05*")&gt;0,"D05; ","")&amp;IF(COUNTIFS(K$5:K$154,"✓",$B$5:$B$154,"D06*")&gt;0,"D06; ","")&amp;IF(COUNTIFS(K$5:K$154,"✓",$B$5:$B$154,"D07*")&gt;0,"D07; ","")&amp;IF(COUNTIFS(K$5:K$154,"✓",$B$5:$B$154,"D08*")&gt;0,"D08; ","")&amp;IF(COUNTIFS(K$5:K$154,"✓",$B$5:$B$154,"D09*")&gt;0,"D09; ","")&amp;IF(COUNTIFS(K$5:K$154,"✓",$B$5:$B$154,"D10*")&gt;0,"D10; ","")</f>
        <v>D03; D05; </v>
      </c>
      <c r="L161" s="0" t="str">
        <f aca="false">IF(COUNTIFS(L$5:L$154,"✓",$B$5:$B$154,"D01*")&gt;0,"D01; ","")&amp;IF(COUNTIFS(L$5:L$154,"✓",$B$5:$B$154,"D02*")&gt;0,"D02; ","")&amp;IF(COUNTIFS(L$5:L$154,"✓",$B$5:$B$154,"D03*")&gt;0,"D03; ","")&amp;IF(COUNTIFS(L$5:L$154,"✓",$B$5:$B$154,"D04*")&gt;0,"D04; ","")&amp;IF(COUNTIFS(L$5:L$154,"✓",$B$5:$B$154,"D05*")&gt;0,"D05; ","")&amp;IF(COUNTIFS(L$5:L$154,"✓",$B$5:$B$154,"D06*")&gt;0,"D06; ","")&amp;IF(COUNTIFS(L$5:L$154,"✓",$B$5:$B$154,"D07*")&gt;0,"D07; ","")&amp;IF(COUNTIFS(L$5:L$154,"✓",$B$5:$B$154,"D08*")&gt;0,"D08; ","")&amp;IF(COUNTIFS(L$5:L$154,"✓",$B$5:$B$154,"D09*")&gt;0,"D09; ","")&amp;IF(COUNTIFS(L$5:L$154,"✓",$B$5:$B$154,"D10*")&gt;0,"D10; ","")</f>
        <v>D03; </v>
      </c>
      <c r="M161" s="0" t="str">
        <f aca="false">IF(COUNTIFS(M$5:M$154,"✓",$B$5:$B$154,"D01*")&gt;0,"D01; ","")&amp;IF(COUNTIFS(M$5:M$154,"✓",$B$5:$B$154,"D02*")&gt;0,"D02; ","")&amp;IF(COUNTIFS(M$5:M$154,"✓",$B$5:$B$154,"D03*")&gt;0,"D03; ","")&amp;IF(COUNTIFS(M$5:M$154,"✓",$B$5:$B$154,"D04*")&gt;0,"D04; ","")&amp;IF(COUNTIFS(M$5:M$154,"✓",$B$5:$B$154,"D05*")&gt;0,"D05; ","")&amp;IF(COUNTIFS(M$5:M$154,"✓",$B$5:$B$154,"D06*")&gt;0,"D06; ","")&amp;IF(COUNTIFS(M$5:M$154,"✓",$B$5:$B$154,"D07*")&gt;0,"D07; ","")&amp;IF(COUNTIFS(M$5:M$154,"✓",$B$5:$B$154,"D08*")&gt;0,"D08; ","")&amp;IF(COUNTIFS(M$5:M$154,"✓",$B$5:$B$154,"D09*")&gt;0,"D09; ","")&amp;IF(COUNTIFS(M$5:M$154,"✓",$B$5:$B$154,"D10*")&gt;0,"D10; ","")</f>
        <v>D03; </v>
      </c>
      <c r="N161" s="0" t="str">
        <f aca="false">IF(COUNTIFS(N$5:N$154,"✓",$B$5:$B$154,"D01*")&gt;0,"D01; ","")&amp;IF(COUNTIFS(N$5:N$154,"✓",$B$5:$B$154,"D02*")&gt;0,"D02; ","")&amp;IF(COUNTIFS(N$5:N$154,"✓",$B$5:$B$154,"D03*")&gt;0,"D03; ","")&amp;IF(COUNTIFS(N$5:N$154,"✓",$B$5:$B$154,"D04*")&gt;0,"D04; ","")&amp;IF(COUNTIFS(N$5:N$154,"✓",$B$5:$B$154,"D05*")&gt;0,"D05; ","")&amp;IF(COUNTIFS(N$5:N$154,"✓",$B$5:$B$154,"D06*")&gt;0,"D06; ","")&amp;IF(COUNTIFS(N$5:N$154,"✓",$B$5:$B$154,"D07*")&gt;0,"D07; ","")&amp;IF(COUNTIFS(N$5:N$154,"✓",$B$5:$B$154,"D08*")&gt;0,"D08; ","")&amp;IF(COUNTIFS(N$5:N$154,"✓",$B$5:$B$154,"D09*")&gt;0,"D09; ","")&amp;IF(COUNTIFS(N$5:N$154,"✓",$B$5:$B$154,"D10*")&gt;0,"D10; ","")</f>
        <v>D03; </v>
      </c>
      <c r="O161" s="0" t="str">
        <f aca="false">IF(COUNTIFS(O$5:O$154,"✓",$B$5:$B$154,"D01*")&gt;0,"D01; ","")&amp;IF(COUNTIFS(O$5:O$154,"✓",$B$5:$B$154,"D02*")&gt;0,"D02; ","")&amp;IF(COUNTIFS(O$5:O$154,"✓",$B$5:$B$154,"D03*")&gt;0,"D03; ","")&amp;IF(COUNTIFS(O$5:O$154,"✓",$B$5:$B$154,"D04*")&gt;0,"D04; ","")&amp;IF(COUNTIFS(O$5:O$154,"✓",$B$5:$B$154,"D05*")&gt;0,"D05; ","")&amp;IF(COUNTIFS(O$5:O$154,"✓",$B$5:$B$154,"D06*")&gt;0,"D06; ","")&amp;IF(COUNTIFS(O$5:O$154,"✓",$B$5:$B$154,"D07*")&gt;0,"D07; ","")&amp;IF(COUNTIFS(O$5:O$154,"✓",$B$5:$B$154,"D08*")&gt;0,"D08; ","")&amp;IF(COUNTIFS(O$5:O$154,"✓",$B$5:$B$154,"D09*")&gt;0,"D09; ","")&amp;IF(COUNTIFS(O$5:O$154,"✓",$B$5:$B$154,"D10*")&gt;0,"D10; ","")</f>
        <v>D03; </v>
      </c>
      <c r="P161" s="0" t="str">
        <f aca="false">IF(COUNTIFS(P$5:P$154,"✓",$B$5:$B$154,"D01*")&gt;0,"D01; ","")&amp;IF(COUNTIFS(P$5:P$154,"✓",$B$5:$B$154,"D02*")&gt;0,"D02; ","")&amp;IF(COUNTIFS(P$5:P$154,"✓",$B$5:$B$154,"D03*")&gt;0,"D03; ","")&amp;IF(COUNTIFS(P$5:P$154,"✓",$B$5:$B$154,"D04*")&gt;0,"D04; ","")&amp;IF(COUNTIFS(P$5:P$154,"✓",$B$5:$B$154,"D05*")&gt;0,"D05; ","")&amp;IF(COUNTIFS(P$5:P$154,"✓",$B$5:$B$154,"D06*")&gt;0,"D06; ","")&amp;IF(COUNTIFS(P$5:P$154,"✓",$B$5:$B$154,"D07*")&gt;0,"D07; ","")&amp;IF(COUNTIFS(P$5:P$154,"✓",$B$5:$B$154,"D08*")&gt;0,"D08; ","")&amp;IF(COUNTIFS(P$5:P$154,"✓",$B$5:$B$154,"D09*")&gt;0,"D09; ","")&amp;IF(COUNTIFS(P$5:P$154,"✓",$B$5:$B$154,"D10*")&gt;0,"D10; ","")</f>
        <v>D03; D05; </v>
      </c>
      <c r="Q161" s="0" t="str">
        <f aca="false">IF(COUNTIFS(Q$5:Q$154,"✓",$B$5:$B$154,"D01*")&gt;0,"D01; ","")&amp;IF(COUNTIFS(Q$5:Q$154,"✓",$B$5:$B$154,"D02*")&gt;0,"D02; ","")&amp;IF(COUNTIFS(Q$5:Q$154,"✓",$B$5:$B$154,"D03*")&gt;0,"D03; ","")&amp;IF(COUNTIFS(Q$5:Q$154,"✓",$B$5:$B$154,"D04*")&gt;0,"D04; ","")&amp;IF(COUNTIFS(Q$5:Q$154,"✓",$B$5:$B$154,"D05*")&gt;0,"D05; ","")&amp;IF(COUNTIFS(Q$5:Q$154,"✓",$B$5:$B$154,"D06*")&gt;0,"D06; ","")&amp;IF(COUNTIFS(Q$5:Q$154,"✓",$B$5:$B$154,"D07*")&gt;0,"D07; ","")&amp;IF(COUNTIFS(Q$5:Q$154,"✓",$B$5:$B$154,"D08*")&gt;0,"D08; ","")&amp;IF(COUNTIFS(Q$5:Q$154,"✓",$B$5:$B$154,"D09*")&gt;0,"D09; ","")&amp;IF(COUNTIFS(Q$5:Q$154,"✓",$B$5:$B$154,"D10*")&gt;0,"D10; ","")</f>
        <v>D05; </v>
      </c>
      <c r="R161" s="0" t="str">
        <f aca="false">IF(COUNTIFS(R$5:R$154,"✓",$B$5:$B$154,"D01*")&gt;0,"D01; ","")&amp;IF(COUNTIFS(R$5:R$154,"✓",$B$5:$B$154,"D02*")&gt;0,"D02; ","")&amp;IF(COUNTIFS(R$5:R$154,"✓",$B$5:$B$154,"D03*")&gt;0,"D03; ","")&amp;IF(COUNTIFS(R$5:R$154,"✓",$B$5:$B$154,"D04*")&gt;0,"D04; ","")&amp;IF(COUNTIFS(R$5:R$154,"✓",$B$5:$B$154,"D05*")&gt;0,"D05; ","")&amp;IF(COUNTIFS(R$5:R$154,"✓",$B$5:$B$154,"D06*")&gt;0,"D06; ","")&amp;IF(COUNTIFS(R$5:R$154,"✓",$B$5:$B$154,"D07*")&gt;0,"D07; ","")&amp;IF(COUNTIFS(R$5:R$154,"✓",$B$5:$B$154,"D08*")&gt;0,"D08; ","")&amp;IF(COUNTIFS(R$5:R$154,"✓",$B$5:$B$154,"D09*")&gt;0,"D09; ","")&amp;IF(COUNTIFS(R$5:R$154,"✓",$B$5:$B$154,"D10*")&gt;0,"D10; ","")</f>
        <v>D05; </v>
      </c>
      <c r="S161" s="0" t="str">
        <f aca="false">IF(COUNTIFS(S$5:S$154,"✓",$B$5:$B$154,"D01*")&gt;0,"D01; ","")&amp;IF(COUNTIFS(S$5:S$154,"✓",$B$5:$B$154,"D02*")&gt;0,"D02; ","")&amp;IF(COUNTIFS(S$5:S$154,"✓",$B$5:$B$154,"D03*")&gt;0,"D03; ","")&amp;IF(COUNTIFS(S$5:S$154,"✓",$B$5:$B$154,"D04*")&gt;0,"D04; ","")&amp;IF(COUNTIFS(S$5:S$154,"✓",$B$5:$B$154,"D05*")&gt;0,"D05; ","")&amp;IF(COUNTIFS(S$5:S$154,"✓",$B$5:$B$154,"D06*")&gt;0,"D06; ","")&amp;IF(COUNTIFS(S$5:S$154,"✓",$B$5:$B$154,"D07*")&gt;0,"D07; ","")&amp;IF(COUNTIFS(S$5:S$154,"✓",$B$5:$B$154,"D08*")&gt;0,"D08; ","")&amp;IF(COUNTIFS(S$5:S$154,"✓",$B$5:$B$154,"D09*")&gt;0,"D09; ","")&amp;IF(COUNTIFS(S$5:S$154,"✓",$B$5:$B$154,"D10*")&gt;0,"D10; ","")</f>
        <v>D05; </v>
      </c>
      <c r="T161" s="0" t="str">
        <f aca="false">IF(COUNTIFS(T$5:T$154,"✓",$B$5:$B$154,"D01*")&gt;0,"D01; ","")&amp;IF(COUNTIFS(T$5:T$154,"✓",$B$5:$B$154,"D02*")&gt;0,"D02; ","")&amp;IF(COUNTIFS(T$5:T$154,"✓",$B$5:$B$154,"D03*")&gt;0,"D03; ","")&amp;IF(COUNTIFS(T$5:T$154,"✓",$B$5:$B$154,"D04*")&gt;0,"D04; ","")&amp;IF(COUNTIFS(T$5:T$154,"✓",$B$5:$B$154,"D05*")&gt;0,"D05; ","")&amp;IF(COUNTIFS(T$5:T$154,"✓",$B$5:$B$154,"D06*")&gt;0,"D06; ","")&amp;IF(COUNTIFS(T$5:T$154,"✓",$B$5:$B$154,"D07*")&gt;0,"D07; ","")&amp;IF(COUNTIFS(T$5:T$154,"✓",$B$5:$B$154,"D08*")&gt;0,"D08; ","")&amp;IF(COUNTIFS(T$5:T$154,"✓",$B$5:$B$154,"D09*")&gt;0,"D09; ","")&amp;IF(COUNTIFS(T$5:T$154,"✓",$B$5:$B$154,"D10*")&gt;0,"D10; ","")</f>
        <v>D05; </v>
      </c>
      <c r="U161" s="0" t="str">
        <f aca="false">IF(COUNTIFS(U$5:U$154,"✓",$B$5:$B$154,"D01*")&gt;0,"D01; ","")&amp;IF(COUNTIFS(U$5:U$154,"✓",$B$5:$B$154,"D02*")&gt;0,"D02; ","")&amp;IF(COUNTIFS(U$5:U$154,"✓",$B$5:$B$154,"D03*")&gt;0,"D03; ","")&amp;IF(COUNTIFS(U$5:U$154,"✓",$B$5:$B$154,"D04*")&gt;0,"D04; ","")&amp;IF(COUNTIFS(U$5:U$154,"✓",$B$5:$B$154,"D05*")&gt;0,"D05; ","")&amp;IF(COUNTIFS(U$5:U$154,"✓",$B$5:$B$154,"D06*")&gt;0,"D06; ","")&amp;IF(COUNTIFS(U$5:U$154,"✓",$B$5:$B$154,"D07*")&gt;0,"D07; ","")&amp;IF(COUNTIFS(U$5:U$154,"✓",$B$5:$B$154,"D08*")&gt;0,"D08; ","")&amp;IF(COUNTIFS(U$5:U$154,"✓",$B$5:$B$154,"D09*")&gt;0,"D09; ","")&amp;IF(COUNTIFS(U$5:U$154,"✓",$B$5:$B$154,"D10*")&gt;0,"D10; ","")</f>
        <v>D05; </v>
      </c>
      <c r="V161" s="0" t="str">
        <f aca="false">IF(COUNTIFS(V$5:V$154,"✓",$B$5:$B$154,"D01*")&gt;0,"D01; ","")&amp;IF(COUNTIFS(V$5:V$154,"✓",$B$5:$B$154,"D02*")&gt;0,"D02; ","")&amp;IF(COUNTIFS(V$5:V$154,"✓",$B$5:$B$154,"D03*")&gt;0,"D03; ","")&amp;IF(COUNTIFS(V$5:V$154,"✓",$B$5:$B$154,"D04*")&gt;0,"D04; ","")&amp;IF(COUNTIFS(V$5:V$154,"✓",$B$5:$B$154,"D05*")&gt;0,"D05; ","")&amp;IF(COUNTIFS(V$5:V$154,"✓",$B$5:$B$154,"D06*")&gt;0,"D06; ","")&amp;IF(COUNTIFS(V$5:V$154,"✓",$B$5:$B$154,"D07*")&gt;0,"D07; ","")&amp;IF(COUNTIFS(V$5:V$154,"✓",$B$5:$B$154,"D08*")&gt;0,"D08; ","")&amp;IF(COUNTIFS(V$5:V$154,"✓",$B$5:$B$154,"D09*")&gt;0,"D09; ","")&amp;IF(COUNTIFS(V$5:V$154,"✓",$B$5:$B$154,"D10*")&gt;0,"D10; ","")</f>
        <v>D05; </v>
      </c>
      <c r="W161" s="0" t="str">
        <f aca="false">IF(COUNTIFS(W$5:W$154,"✓",$B$5:$B$154,"D01*")&gt;0,"D01; ","")&amp;IF(COUNTIFS(W$5:W$154,"✓",$B$5:$B$154,"D02*")&gt;0,"D02; ","")&amp;IF(COUNTIFS(W$5:W$154,"✓",$B$5:$B$154,"D03*")&gt;0,"D03; ","")&amp;IF(COUNTIFS(W$5:W$154,"✓",$B$5:$B$154,"D04*")&gt;0,"D04; ","")&amp;IF(COUNTIFS(W$5:W$154,"✓",$B$5:$B$154,"D05*")&gt;0,"D05; ","")&amp;IF(COUNTIFS(W$5:W$154,"✓",$B$5:$B$154,"D06*")&gt;0,"D06; ","")&amp;IF(COUNTIFS(W$5:W$154,"✓",$B$5:$B$154,"D07*")&gt;0,"D07; ","")&amp;IF(COUNTIFS(W$5:W$154,"✓",$B$5:$B$154,"D08*")&gt;0,"D08; ","")&amp;IF(COUNTIFS(W$5:W$154,"✓",$B$5:$B$154,"D09*")&gt;0,"D09; ","")&amp;IF(COUNTIFS(W$5:W$154,"✓",$B$5:$B$154,"D10*")&gt;0,"D10; ","")</f>
        <v>D05; </v>
      </c>
      <c r="X161" s="0" t="str">
        <f aca="false">IF(COUNTIFS(X$5:X$154,"✓",$B$5:$B$154,"D01*")&gt;0,"D01; ","")&amp;IF(COUNTIFS(X$5:X$154,"✓",$B$5:$B$154,"D02*")&gt;0,"D02; ","")&amp;IF(COUNTIFS(X$5:X$154,"✓",$B$5:$B$154,"D03*")&gt;0,"D03; ","")&amp;IF(COUNTIFS(X$5:X$154,"✓",$B$5:$B$154,"D04*")&gt;0,"D04; ","")&amp;IF(COUNTIFS(X$5:X$154,"✓",$B$5:$B$154,"D05*")&gt;0,"D05; ","")&amp;IF(COUNTIFS(X$5:X$154,"✓",$B$5:$B$154,"D06*")&gt;0,"D06; ","")&amp;IF(COUNTIFS(X$5:X$154,"✓",$B$5:$B$154,"D07*")&gt;0,"D07; ","")&amp;IF(COUNTIFS(X$5:X$154,"✓",$B$5:$B$154,"D08*")&gt;0,"D08; ","")&amp;IF(COUNTIFS(X$5:X$154,"✓",$B$5:$B$154,"D09*")&gt;0,"D09; ","")&amp;IF(COUNTIFS(X$5:X$154,"✓",$B$5:$B$154,"D10*")&gt;0,"D10; ","")</f>
        <v>D05; D06; </v>
      </c>
      <c r="Y161" s="0" t="str">
        <f aca="false">IF(COUNTIFS(Y$5:Y$154,"✓",$B$5:$B$154,"D01*")&gt;0,"D01; ","")&amp;IF(COUNTIFS(Y$5:Y$154,"✓",$B$5:$B$154,"D02*")&gt;0,"D02; ","")&amp;IF(COUNTIFS(Y$5:Y$154,"✓",$B$5:$B$154,"D03*")&gt;0,"D03; ","")&amp;IF(COUNTIFS(Y$5:Y$154,"✓",$B$5:$B$154,"D04*")&gt;0,"D04; ","")&amp;IF(COUNTIFS(Y$5:Y$154,"✓",$B$5:$B$154,"D05*")&gt;0,"D05; ","")&amp;IF(COUNTIFS(Y$5:Y$154,"✓",$B$5:$B$154,"D06*")&gt;0,"D06; ","")&amp;IF(COUNTIFS(Y$5:Y$154,"✓",$B$5:$B$154,"D07*")&gt;0,"D07; ","")&amp;IF(COUNTIFS(Y$5:Y$154,"✓",$B$5:$B$154,"D08*")&gt;0,"D08; ","")&amp;IF(COUNTIFS(Y$5:Y$154,"✓",$B$5:$B$154,"D09*")&gt;0,"D09; ","")&amp;IF(COUNTIFS(Y$5:Y$154,"✓",$B$5:$B$154,"D10*")&gt;0,"D10; ","")</f>
        <v>D01; </v>
      </c>
      <c r="Z161" s="0" t="str">
        <f aca="false">IF(COUNTIFS(Z$5:Z$154,"✓",$B$5:$B$154,"D01*")&gt;0,"D01; ","")&amp;IF(COUNTIFS(Z$5:Z$154,"✓",$B$5:$B$154,"D02*")&gt;0,"D02; ","")&amp;IF(COUNTIFS(Z$5:Z$154,"✓",$B$5:$B$154,"D03*")&gt;0,"D03; ","")&amp;IF(COUNTIFS(Z$5:Z$154,"✓",$B$5:$B$154,"D04*")&gt;0,"D04; ","")&amp;IF(COUNTIFS(Z$5:Z$154,"✓",$B$5:$B$154,"D05*")&gt;0,"D05; ","")&amp;IF(COUNTIFS(Z$5:Z$154,"✓",$B$5:$B$154,"D06*")&gt;0,"D06; ","")&amp;IF(COUNTIFS(Z$5:Z$154,"✓",$B$5:$B$154,"D07*")&gt;0,"D07; ","")&amp;IF(COUNTIFS(Z$5:Z$154,"✓",$B$5:$B$154,"D08*")&gt;0,"D08; ","")&amp;IF(COUNTIFS(Z$5:Z$154,"✓",$B$5:$B$154,"D09*")&gt;0,"D09; ","")&amp;IF(COUNTIFS(Z$5:Z$154,"✓",$B$5:$B$154,"D10*")&gt;0,"D10; ","")</f>
        <v>D05; </v>
      </c>
      <c r="AA161" s="0" t="str">
        <f aca="false">IF(COUNTIFS(AA$5:AA$154,"✓",$B$5:$B$154,"D01*")&gt;0,"D01; ","")&amp;IF(COUNTIFS(AA$5:AA$154,"✓",$B$5:$B$154,"D02*")&gt;0,"D02; ","")&amp;IF(COUNTIFS(AA$5:AA$154,"✓",$B$5:$B$154,"D03*")&gt;0,"D03; ","")&amp;IF(COUNTIFS(AA$5:AA$154,"✓",$B$5:$B$154,"D04*")&gt;0,"D04; ","")&amp;IF(COUNTIFS(AA$5:AA$154,"✓",$B$5:$B$154,"D05*")&gt;0,"D05; ","")&amp;IF(COUNTIFS(AA$5:AA$154,"✓",$B$5:$B$154,"D06*")&gt;0,"D06; ","")&amp;IF(COUNTIFS(AA$5:AA$154,"✓",$B$5:$B$154,"D07*")&gt;0,"D07; ","")&amp;IF(COUNTIFS(AA$5:AA$154,"✓",$B$5:$B$154,"D08*")&gt;0,"D08; ","")&amp;IF(COUNTIFS(AA$5:AA$154,"✓",$B$5:$B$154,"D09*")&gt;0,"D09; ","")&amp;IF(COUNTIFS(AA$5:AA$154,"✓",$B$5:$B$154,"D10*")&gt;0,"D10; ","")</f>
        <v>D04; </v>
      </c>
      <c r="AB161" s="0" t="str">
        <f aca="false">IF(COUNTIFS(AB$5:AB$154,"✓",$B$5:$B$154,"D01*")&gt;0,"D01; ","")&amp;IF(COUNTIFS(AB$5:AB$154,"✓",$B$5:$B$154,"D02*")&gt;0,"D02; ","")&amp;IF(COUNTIFS(AB$5:AB$154,"✓",$B$5:$B$154,"D03*")&gt;0,"D03; ","")&amp;IF(COUNTIFS(AB$5:AB$154,"✓",$B$5:$B$154,"D04*")&gt;0,"D04; ","")&amp;IF(COUNTIFS(AB$5:AB$154,"✓",$B$5:$B$154,"D05*")&gt;0,"D05; ","")&amp;IF(COUNTIFS(AB$5:AB$154,"✓",$B$5:$B$154,"D06*")&gt;0,"D06; ","")&amp;IF(COUNTIFS(AB$5:AB$154,"✓",$B$5:$B$154,"D07*")&gt;0,"D07; ","")&amp;IF(COUNTIFS(AB$5:AB$154,"✓",$B$5:$B$154,"D08*")&gt;0,"D08; ","")&amp;IF(COUNTIFS(AB$5:AB$154,"✓",$B$5:$B$154,"D09*")&gt;0,"D09; ","")&amp;IF(COUNTIFS(AB$5:AB$154,"✓",$B$5:$B$154,"D10*")&gt;0,"D10; ","")</f>
        <v>D04; </v>
      </c>
      <c r="AC161" s="0" t="str">
        <f aca="false">IF(COUNTIFS(AC$5:AC$154,"✓",$B$5:$B$154,"D01*")&gt;0,"D01; ","")&amp;IF(COUNTIFS(AC$5:AC$154,"✓",$B$5:$B$154,"D02*")&gt;0,"D02; ","")&amp;IF(COUNTIFS(AC$5:AC$154,"✓",$B$5:$B$154,"D03*")&gt;0,"D03; ","")&amp;IF(COUNTIFS(AC$5:AC$154,"✓",$B$5:$B$154,"D04*")&gt;0,"D04; ","")&amp;IF(COUNTIFS(AC$5:AC$154,"✓",$B$5:$B$154,"D05*")&gt;0,"D05; ","")&amp;IF(COUNTIFS(AC$5:AC$154,"✓",$B$5:$B$154,"D06*")&gt;0,"D06; ","")&amp;IF(COUNTIFS(AC$5:AC$154,"✓",$B$5:$B$154,"D07*")&gt;0,"D07; ","")&amp;IF(COUNTIFS(AC$5:AC$154,"✓",$B$5:$B$154,"D08*")&gt;0,"D08; ","")&amp;IF(COUNTIFS(AC$5:AC$154,"✓",$B$5:$B$154,"D09*")&gt;0,"D09; ","")&amp;IF(COUNTIFS(AC$5:AC$154,"✓",$B$5:$B$154,"D10*")&gt;0,"D10; ","")</f>
        <v>D04; D09; </v>
      </c>
      <c r="AD161" s="0" t="str">
        <f aca="false">IF(COUNTIFS(AD$5:AD$154,"✓",$B$5:$B$154,"D01*")&gt;0,"D01; ","")&amp;IF(COUNTIFS(AD$5:AD$154,"✓",$B$5:$B$154,"D02*")&gt;0,"D02; ","")&amp;IF(COUNTIFS(AD$5:AD$154,"✓",$B$5:$B$154,"D03*")&gt;0,"D03; ","")&amp;IF(COUNTIFS(AD$5:AD$154,"✓",$B$5:$B$154,"D04*")&gt;0,"D04; ","")&amp;IF(COUNTIFS(AD$5:AD$154,"✓",$B$5:$B$154,"D05*")&gt;0,"D05; ","")&amp;IF(COUNTIFS(AD$5:AD$154,"✓",$B$5:$B$154,"D06*")&gt;0,"D06; ","")&amp;IF(COUNTIFS(AD$5:AD$154,"✓",$B$5:$B$154,"D07*")&gt;0,"D07; ","")&amp;IF(COUNTIFS(AD$5:AD$154,"✓",$B$5:$B$154,"D08*")&gt;0,"D08; ","")&amp;IF(COUNTIFS(AD$5:AD$154,"✓",$B$5:$B$154,"D09*")&gt;0,"D09; ","")&amp;IF(COUNTIFS(AD$5:AD$154,"✓",$B$5:$B$154,"D10*")&gt;0,"D10; ","")</f>
        <v>D04; </v>
      </c>
      <c r="AE161" s="0" t="str">
        <f aca="false">IF(COUNTIFS(AE$5:AE$154,"✓",$B$5:$B$154,"D01*")&gt;0,"D01; ","")&amp;IF(COUNTIFS(AE$5:AE$154,"✓",$B$5:$B$154,"D02*")&gt;0,"D02; ","")&amp;IF(COUNTIFS(AE$5:AE$154,"✓",$B$5:$B$154,"D03*")&gt;0,"D03; ","")&amp;IF(COUNTIFS(AE$5:AE$154,"✓",$B$5:$B$154,"D04*")&gt;0,"D04; ","")&amp;IF(COUNTIFS(AE$5:AE$154,"✓",$B$5:$B$154,"D05*")&gt;0,"D05; ","")&amp;IF(COUNTIFS(AE$5:AE$154,"✓",$B$5:$B$154,"D06*")&gt;0,"D06; ","")&amp;IF(COUNTIFS(AE$5:AE$154,"✓",$B$5:$B$154,"D07*")&gt;0,"D07; ","")&amp;IF(COUNTIFS(AE$5:AE$154,"✓",$B$5:$B$154,"D08*")&gt;0,"D08; ","")&amp;IF(COUNTIFS(AE$5:AE$154,"✓",$B$5:$B$154,"D09*")&gt;0,"D09; ","")&amp;IF(COUNTIFS(AE$5:AE$154,"✓",$B$5:$B$154,"D10*")&gt;0,"D10; ","")</f>
        <v>D01; D04; </v>
      </c>
      <c r="AF161" s="0" t="str">
        <f aca="false">IF(COUNTIFS(AF$5:AF$154,"✓",$B$5:$B$154,"D01*")&gt;0,"D01; ","")&amp;IF(COUNTIFS(AF$5:AF$154,"✓",$B$5:$B$154,"D02*")&gt;0,"D02; ","")&amp;IF(COUNTIFS(AF$5:AF$154,"✓",$B$5:$B$154,"D03*")&gt;0,"D03; ","")&amp;IF(COUNTIFS(AF$5:AF$154,"✓",$B$5:$B$154,"D04*")&gt;0,"D04; ","")&amp;IF(COUNTIFS(AF$5:AF$154,"✓",$B$5:$B$154,"D05*")&gt;0,"D05; ","")&amp;IF(COUNTIFS(AF$5:AF$154,"✓",$B$5:$B$154,"D06*")&gt;0,"D06; ","")&amp;IF(COUNTIFS(AF$5:AF$154,"✓",$B$5:$B$154,"D07*")&gt;0,"D07; ","")&amp;IF(COUNTIFS(AF$5:AF$154,"✓",$B$5:$B$154,"D08*")&gt;0,"D08; ","")&amp;IF(COUNTIFS(AF$5:AF$154,"✓",$B$5:$B$154,"D09*")&gt;0,"D09; ","")&amp;IF(COUNTIFS(AF$5:AF$154,"✓",$B$5:$B$154,"D10*")&gt;0,"D10; ","")</f>
        <v>D04; </v>
      </c>
      <c r="AG161" s="0" t="str">
        <f aca="false">IF(COUNTIFS(AG$5:AG$154,"✓",$B$5:$B$154,"D01*")&gt;0,"D01; ","")&amp;IF(COUNTIFS(AG$5:AG$154,"✓",$B$5:$B$154,"D02*")&gt;0,"D02; ","")&amp;IF(COUNTIFS(AG$5:AG$154,"✓",$B$5:$B$154,"D03*")&gt;0,"D03; ","")&amp;IF(COUNTIFS(AG$5:AG$154,"✓",$B$5:$B$154,"D04*")&gt;0,"D04; ","")&amp;IF(COUNTIFS(AG$5:AG$154,"✓",$B$5:$B$154,"D05*")&gt;0,"D05; ","")&amp;IF(COUNTIFS(AG$5:AG$154,"✓",$B$5:$B$154,"D06*")&gt;0,"D06; ","")&amp;IF(COUNTIFS(AG$5:AG$154,"✓",$B$5:$B$154,"D07*")&gt;0,"D07; ","")&amp;IF(COUNTIFS(AG$5:AG$154,"✓",$B$5:$B$154,"D08*")&gt;0,"D08; ","")&amp;IF(COUNTIFS(AG$5:AG$154,"✓",$B$5:$B$154,"D09*")&gt;0,"D09; ","")&amp;IF(COUNTIFS(AG$5:AG$154,"✓",$B$5:$B$154,"D10*")&gt;0,"D10; ","")</f>
        <v>D04; D06; </v>
      </c>
      <c r="AH161" s="0" t="str">
        <f aca="false">IF(COUNTIFS(AH$5:AH$154,"✓",$B$5:$B$154,"D01*")&gt;0,"D01; ","")&amp;IF(COUNTIFS(AH$5:AH$154,"✓",$B$5:$B$154,"D02*")&gt;0,"D02; ","")&amp;IF(COUNTIFS(AH$5:AH$154,"✓",$B$5:$B$154,"D03*")&gt;0,"D03; ","")&amp;IF(COUNTIFS(AH$5:AH$154,"✓",$B$5:$B$154,"D04*")&gt;0,"D04; ","")&amp;IF(COUNTIFS(AH$5:AH$154,"✓",$B$5:$B$154,"D05*")&gt;0,"D05; ","")&amp;IF(COUNTIFS(AH$5:AH$154,"✓",$B$5:$B$154,"D06*")&gt;0,"D06; ","")&amp;IF(COUNTIFS(AH$5:AH$154,"✓",$B$5:$B$154,"D07*")&gt;0,"D07; ","")&amp;IF(COUNTIFS(AH$5:AH$154,"✓",$B$5:$B$154,"D08*")&gt;0,"D08; ","")&amp;IF(COUNTIFS(AH$5:AH$154,"✓",$B$5:$B$154,"D09*")&gt;0,"D09; ","")&amp;IF(COUNTIFS(AH$5:AH$154,"✓",$B$5:$B$154,"D10*")&gt;0,"D10; ","")</f>
        <v>D06; </v>
      </c>
      <c r="AI161" s="0" t="str">
        <f aca="false">IF(COUNTIFS(AI$5:AI$154,"✓",$B$5:$B$154,"D01*")&gt;0,"D01; ","")&amp;IF(COUNTIFS(AI$5:AI$154,"✓",$B$5:$B$154,"D02*")&gt;0,"D02; ","")&amp;IF(COUNTIFS(AI$5:AI$154,"✓",$B$5:$B$154,"D03*")&gt;0,"D03; ","")&amp;IF(COUNTIFS(AI$5:AI$154,"✓",$B$5:$B$154,"D04*")&gt;0,"D04; ","")&amp;IF(COUNTIFS(AI$5:AI$154,"✓",$B$5:$B$154,"D05*")&gt;0,"D05; ","")&amp;IF(COUNTIFS(AI$5:AI$154,"✓",$B$5:$B$154,"D06*")&gt;0,"D06; ","")&amp;IF(COUNTIFS(AI$5:AI$154,"✓",$B$5:$B$154,"D07*")&gt;0,"D07; ","")&amp;IF(COUNTIFS(AI$5:AI$154,"✓",$B$5:$B$154,"D08*")&gt;0,"D08; ","")&amp;IF(COUNTIFS(AI$5:AI$154,"✓",$B$5:$B$154,"D09*")&gt;0,"D09; ","")&amp;IF(COUNTIFS(AI$5:AI$154,"✓",$B$5:$B$154,"D10*")&gt;0,"D10; ","")</f>
        <v>D05; D06; </v>
      </c>
      <c r="AJ161" s="0" t="str">
        <f aca="false">IF(COUNTIFS(AJ$5:AJ$154,"✓",$B$5:$B$154,"D01*")&gt;0,"D01; ","")&amp;IF(COUNTIFS(AJ$5:AJ$154,"✓",$B$5:$B$154,"D02*")&gt;0,"D02; ","")&amp;IF(COUNTIFS(AJ$5:AJ$154,"✓",$B$5:$B$154,"D03*")&gt;0,"D03; ","")&amp;IF(COUNTIFS(AJ$5:AJ$154,"✓",$B$5:$B$154,"D04*")&gt;0,"D04; ","")&amp;IF(COUNTIFS(AJ$5:AJ$154,"✓",$B$5:$B$154,"D05*")&gt;0,"D05; ","")&amp;IF(COUNTIFS(AJ$5:AJ$154,"✓",$B$5:$B$154,"D06*")&gt;0,"D06; ","")&amp;IF(COUNTIFS(AJ$5:AJ$154,"✓",$B$5:$B$154,"D07*")&gt;0,"D07; ","")&amp;IF(COUNTIFS(AJ$5:AJ$154,"✓",$B$5:$B$154,"D08*")&gt;0,"D08; ","")&amp;IF(COUNTIFS(AJ$5:AJ$154,"✓",$B$5:$B$154,"D09*")&gt;0,"D09; ","")&amp;IF(COUNTIFS(AJ$5:AJ$154,"✓",$B$5:$B$154,"D10*")&gt;0,"D10; ","")</f>
        <v>D06; </v>
      </c>
      <c r="AK161" s="0" t="str">
        <f aca="false">IF(COUNTIFS(AK$5:AK$154,"✓",$B$5:$B$154,"D01*")&gt;0,"D01; ","")&amp;IF(COUNTIFS(AK$5:AK$154,"✓",$B$5:$B$154,"D02*")&gt;0,"D02; ","")&amp;IF(COUNTIFS(AK$5:AK$154,"✓",$B$5:$B$154,"D03*")&gt;0,"D03; ","")&amp;IF(COUNTIFS(AK$5:AK$154,"✓",$B$5:$B$154,"D04*")&gt;0,"D04; ","")&amp;IF(COUNTIFS(AK$5:AK$154,"✓",$B$5:$B$154,"D05*")&gt;0,"D05; ","")&amp;IF(COUNTIFS(AK$5:AK$154,"✓",$B$5:$B$154,"D06*")&gt;0,"D06; ","")&amp;IF(COUNTIFS(AK$5:AK$154,"✓",$B$5:$B$154,"D07*")&gt;0,"D07; ","")&amp;IF(COUNTIFS(AK$5:AK$154,"✓",$B$5:$B$154,"D08*")&gt;0,"D08; ","")&amp;IF(COUNTIFS(AK$5:AK$154,"✓",$B$5:$B$154,"D09*")&gt;0,"D09; ","")&amp;IF(COUNTIFS(AK$5:AK$154,"✓",$B$5:$B$154,"D10*")&gt;0,"D10; ","")</f>
        <v>D06; </v>
      </c>
      <c r="AL161" s="0" t="str">
        <f aca="false">IF(COUNTIFS(AL$5:AL$154,"✓",$B$5:$B$154,"D01*")&gt;0,"D01; ","")&amp;IF(COUNTIFS(AL$5:AL$154,"✓",$B$5:$B$154,"D02*")&gt;0,"D02; ","")&amp;IF(COUNTIFS(AL$5:AL$154,"✓",$B$5:$B$154,"D03*")&gt;0,"D03; ","")&amp;IF(COUNTIFS(AL$5:AL$154,"✓",$B$5:$B$154,"D04*")&gt;0,"D04; ","")&amp;IF(COUNTIFS(AL$5:AL$154,"✓",$B$5:$B$154,"D05*")&gt;0,"D05; ","")&amp;IF(COUNTIFS(AL$5:AL$154,"✓",$B$5:$B$154,"D06*")&gt;0,"D06; ","")&amp;IF(COUNTIFS(AL$5:AL$154,"✓",$B$5:$B$154,"D07*")&gt;0,"D07; ","")&amp;IF(COUNTIFS(AL$5:AL$154,"✓",$B$5:$B$154,"D08*")&gt;0,"D08; ","")&amp;IF(COUNTIFS(AL$5:AL$154,"✓",$B$5:$B$154,"D09*")&gt;0,"D09; ","")&amp;IF(COUNTIFS(AL$5:AL$154,"✓",$B$5:$B$154,"D10*")&gt;0,"D10; ","")</f>
        <v>D06; </v>
      </c>
      <c r="AM161" s="0" t="str">
        <f aca="false">IF(COUNTIFS(AM$5:AM$154,"✓",$B$5:$B$154,"D01*")&gt;0,"D01; ","")&amp;IF(COUNTIFS(AM$5:AM$154,"✓",$B$5:$B$154,"D02*")&gt;0,"D02; ","")&amp;IF(COUNTIFS(AM$5:AM$154,"✓",$B$5:$B$154,"D03*")&gt;0,"D03; ","")&amp;IF(COUNTIFS(AM$5:AM$154,"✓",$B$5:$B$154,"D04*")&gt;0,"D04; ","")&amp;IF(COUNTIFS(AM$5:AM$154,"✓",$B$5:$B$154,"D05*")&gt;0,"D05; ","")&amp;IF(COUNTIFS(AM$5:AM$154,"✓",$B$5:$B$154,"D06*")&gt;0,"D06; ","")&amp;IF(COUNTIFS(AM$5:AM$154,"✓",$B$5:$B$154,"D07*")&gt;0,"D07; ","")&amp;IF(COUNTIFS(AM$5:AM$154,"✓",$B$5:$B$154,"D08*")&gt;0,"D08; ","")&amp;IF(COUNTIFS(AM$5:AM$154,"✓",$B$5:$B$154,"D09*")&gt;0,"D09; ","")&amp;IF(COUNTIFS(AM$5:AM$154,"✓",$B$5:$B$154,"D10*")&gt;0,"D10; ","")</f>
        <v>D06; </v>
      </c>
      <c r="AN161" s="0" t="str">
        <f aca="false">IF(COUNTIFS(AN$5:AN$154,"✓",$B$5:$B$154,"D01*")&gt;0,"D01; ","")&amp;IF(COUNTIFS(AN$5:AN$154,"✓",$B$5:$B$154,"D02*")&gt;0,"D02; ","")&amp;IF(COUNTIFS(AN$5:AN$154,"✓",$B$5:$B$154,"D03*")&gt;0,"D03; ","")&amp;IF(COUNTIFS(AN$5:AN$154,"✓",$B$5:$B$154,"D04*")&gt;0,"D04; ","")&amp;IF(COUNTIFS(AN$5:AN$154,"✓",$B$5:$B$154,"D05*")&gt;0,"D05; ","")&amp;IF(COUNTIFS(AN$5:AN$154,"✓",$B$5:$B$154,"D06*")&gt;0,"D06; ","")&amp;IF(COUNTIFS(AN$5:AN$154,"✓",$B$5:$B$154,"D07*")&gt;0,"D07; ","")&amp;IF(COUNTIFS(AN$5:AN$154,"✓",$B$5:$B$154,"D08*")&gt;0,"D08; ","")&amp;IF(COUNTIFS(AN$5:AN$154,"✓",$B$5:$B$154,"D09*")&gt;0,"D09; ","")&amp;IF(COUNTIFS(AN$5:AN$154,"✓",$B$5:$B$154,"D10*")&gt;0,"D10; ","")</f>
        <v>D06; D09; </v>
      </c>
      <c r="AO161" s="0" t="str">
        <f aca="false">IF(COUNTIFS(AO$5:AO$154,"✓",$B$5:$B$154,"D01*")&gt;0,"D01; ","")&amp;IF(COUNTIFS(AO$5:AO$154,"✓",$B$5:$B$154,"D02*")&gt;0,"D02; ","")&amp;IF(COUNTIFS(AO$5:AO$154,"✓",$B$5:$B$154,"D03*")&gt;0,"D03; ","")&amp;IF(COUNTIFS(AO$5:AO$154,"✓",$B$5:$B$154,"D04*")&gt;0,"D04; ","")&amp;IF(COUNTIFS(AO$5:AO$154,"✓",$B$5:$B$154,"D05*")&gt;0,"D05; ","")&amp;IF(COUNTIFS(AO$5:AO$154,"✓",$B$5:$B$154,"D06*")&gt;0,"D06; ","")&amp;IF(COUNTIFS(AO$5:AO$154,"✓",$B$5:$B$154,"D07*")&gt;0,"D07; ","")&amp;IF(COUNTIFS(AO$5:AO$154,"✓",$B$5:$B$154,"D08*")&gt;0,"D08; ","")&amp;IF(COUNTIFS(AO$5:AO$154,"✓",$B$5:$B$154,"D09*")&gt;0,"D09; ","")&amp;IF(COUNTIFS(AO$5:AO$154,"✓",$B$5:$B$154,"D10*")&gt;0,"D10; ","")</f>
        <v>D05; D06; </v>
      </c>
      <c r="AP161" s="0" t="str">
        <f aca="false">IF(COUNTIFS(AP$5:AP$154,"✓",$B$5:$B$154,"D01*")&gt;0,"D01; ","")&amp;IF(COUNTIFS(AP$5:AP$154,"✓",$B$5:$B$154,"D02*")&gt;0,"D02; ","")&amp;IF(COUNTIFS(AP$5:AP$154,"✓",$B$5:$B$154,"D03*")&gt;0,"D03; ","")&amp;IF(COUNTIFS(AP$5:AP$154,"✓",$B$5:$B$154,"D04*")&gt;0,"D04; ","")&amp;IF(COUNTIFS(AP$5:AP$154,"✓",$B$5:$B$154,"D05*")&gt;0,"D05; ","")&amp;IF(COUNTIFS(AP$5:AP$154,"✓",$B$5:$B$154,"D06*")&gt;0,"D06; ","")&amp;IF(COUNTIFS(AP$5:AP$154,"✓",$B$5:$B$154,"D07*")&gt;0,"D07; ","")&amp;IF(COUNTIFS(AP$5:AP$154,"✓",$B$5:$B$154,"D08*")&gt;0,"D08; ","")&amp;IF(COUNTIFS(AP$5:AP$154,"✓",$B$5:$B$154,"D09*")&gt;0,"D09; ","")&amp;IF(COUNTIFS(AP$5:AP$154,"✓",$B$5:$B$154,"D10*")&gt;0,"D10; ","")</f>
        <v>D04; D05; </v>
      </c>
      <c r="AQ161" s="0" t="str">
        <f aca="false">IF(COUNTIFS(AQ$5:AQ$154,"✓",$B$5:$B$154,"D01*")&gt;0,"D01; ","")&amp;IF(COUNTIFS(AQ$5:AQ$154,"✓",$B$5:$B$154,"D02*")&gt;0,"D02; ","")&amp;IF(COUNTIFS(AQ$5:AQ$154,"✓",$B$5:$B$154,"D03*")&gt;0,"D03; ","")&amp;IF(COUNTIFS(AQ$5:AQ$154,"✓",$B$5:$B$154,"D04*")&gt;0,"D04; ","")&amp;IF(COUNTIFS(AQ$5:AQ$154,"✓",$B$5:$B$154,"D05*")&gt;0,"D05; ","")&amp;IF(COUNTIFS(AQ$5:AQ$154,"✓",$B$5:$B$154,"D06*")&gt;0,"D06; ","")&amp;IF(COUNTIFS(AQ$5:AQ$154,"✓",$B$5:$B$154,"D07*")&gt;0,"D07; ","")&amp;IF(COUNTIFS(AQ$5:AQ$154,"✓",$B$5:$B$154,"D08*")&gt;0,"D08; ","")&amp;IF(COUNTIFS(AQ$5:AQ$154,"✓",$B$5:$B$154,"D09*")&gt;0,"D09; ","")&amp;IF(COUNTIFS(AQ$5:AQ$154,"✓",$B$5:$B$154,"D10*")&gt;0,"D10; ","")</f>
        <v>D04; D06; D10; </v>
      </c>
      <c r="AR161" s="0" t="str">
        <f aca="false">IF(COUNTIFS(AR$5:AR$154,"✓",$B$5:$B$154,"D01*")&gt;0,"D01; ","")&amp;IF(COUNTIFS(AR$5:AR$154,"✓",$B$5:$B$154,"D02*")&gt;0,"D02; ","")&amp;IF(COUNTIFS(AR$5:AR$154,"✓",$B$5:$B$154,"D03*")&gt;0,"D03; ","")&amp;IF(COUNTIFS(AR$5:AR$154,"✓",$B$5:$B$154,"D04*")&gt;0,"D04; ","")&amp;IF(COUNTIFS(AR$5:AR$154,"✓",$B$5:$B$154,"D05*")&gt;0,"D05; ","")&amp;IF(COUNTIFS(AR$5:AR$154,"✓",$B$5:$B$154,"D06*")&gt;0,"D06; ","")&amp;IF(COUNTIFS(AR$5:AR$154,"✓",$B$5:$B$154,"D07*")&gt;0,"D07; ","")&amp;IF(COUNTIFS(AR$5:AR$154,"✓",$B$5:$B$154,"D08*")&gt;0,"D08; ","")&amp;IF(COUNTIFS(AR$5:AR$154,"✓",$B$5:$B$154,"D09*")&gt;0,"D09; ","")&amp;IF(COUNTIFS(AR$5:AR$154,"✓",$B$5:$B$154,"D10*")&gt;0,"D10; ","")</f>
        <v>D06; </v>
      </c>
      <c r="AS161" s="0" t="str">
        <f aca="false">IF(COUNTIFS(AS$5:AS$154,"✓",$B$5:$B$154,"D01*")&gt;0,"D01; ","")&amp;IF(COUNTIFS(AS$5:AS$154,"✓",$B$5:$B$154,"D02*")&gt;0,"D02; ","")&amp;IF(COUNTIFS(AS$5:AS$154,"✓",$B$5:$B$154,"D03*")&gt;0,"D03; ","")&amp;IF(COUNTIFS(AS$5:AS$154,"✓",$B$5:$B$154,"D04*")&gt;0,"D04; ","")&amp;IF(COUNTIFS(AS$5:AS$154,"✓",$B$5:$B$154,"D05*")&gt;0,"D05; ","")&amp;IF(COUNTIFS(AS$5:AS$154,"✓",$B$5:$B$154,"D06*")&gt;0,"D06; ","")&amp;IF(COUNTIFS(AS$5:AS$154,"✓",$B$5:$B$154,"D07*")&gt;0,"D07; ","")&amp;IF(COUNTIFS(AS$5:AS$154,"✓",$B$5:$B$154,"D08*")&gt;0,"D08; ","")&amp;IF(COUNTIFS(AS$5:AS$154,"✓",$B$5:$B$154,"D09*")&gt;0,"D09; ","")&amp;IF(COUNTIFS(AS$5:AS$154,"✓",$B$5:$B$154,"D10*")&gt;0,"D10; ","")</f>
        <v>D06; D07; </v>
      </c>
      <c r="AT161" s="0" t="str">
        <f aca="false">IF(COUNTIFS(AT$5:AT$154,"✓",$B$5:$B$154,"D01*")&gt;0,"D01; ","")&amp;IF(COUNTIFS(AT$5:AT$154,"✓",$B$5:$B$154,"D02*")&gt;0,"D02; ","")&amp;IF(COUNTIFS(AT$5:AT$154,"✓",$B$5:$B$154,"D03*")&gt;0,"D03; ","")&amp;IF(COUNTIFS(AT$5:AT$154,"✓",$B$5:$B$154,"D04*")&gt;0,"D04; ","")&amp;IF(COUNTIFS(AT$5:AT$154,"✓",$B$5:$B$154,"D05*")&gt;0,"D05; ","")&amp;IF(COUNTIFS(AT$5:AT$154,"✓",$B$5:$B$154,"D06*")&gt;0,"D06; ","")&amp;IF(COUNTIFS(AT$5:AT$154,"✓",$B$5:$B$154,"D07*")&gt;0,"D07; ","")&amp;IF(COUNTIFS(AT$5:AT$154,"✓",$B$5:$B$154,"D08*")&gt;0,"D08; ","")&amp;IF(COUNTIFS(AT$5:AT$154,"✓",$B$5:$B$154,"D09*")&gt;0,"D09; ","")&amp;IF(COUNTIFS(AT$5:AT$154,"✓",$B$5:$B$154,"D10*")&gt;0,"D10; ","")</f>
        <v/>
      </c>
      <c r="AU161" s="0" t="str">
        <f aca="false">IF(COUNTIFS(AU$5:AU$154,"✓",$B$5:$B$154,"D01*")&gt;0,"D01; ","")&amp;IF(COUNTIFS(AU$5:AU$154,"✓",$B$5:$B$154,"D02*")&gt;0,"D02; ","")&amp;IF(COUNTIFS(AU$5:AU$154,"✓",$B$5:$B$154,"D03*")&gt;0,"D03; ","")&amp;IF(COUNTIFS(AU$5:AU$154,"✓",$B$5:$B$154,"D04*")&gt;0,"D04; ","")&amp;IF(COUNTIFS(AU$5:AU$154,"✓",$B$5:$B$154,"D05*")&gt;0,"D05; ","")&amp;IF(COUNTIFS(AU$5:AU$154,"✓",$B$5:$B$154,"D06*")&gt;0,"D06; ","")&amp;IF(COUNTIFS(AU$5:AU$154,"✓",$B$5:$B$154,"D07*")&gt;0,"D07; ","")&amp;IF(COUNTIFS(AU$5:AU$154,"✓",$B$5:$B$154,"D08*")&gt;0,"D08; ","")&amp;IF(COUNTIFS(AU$5:AU$154,"✓",$B$5:$B$154,"D09*")&gt;0,"D09; ","")&amp;IF(COUNTIFS(AU$5:AU$154,"✓",$B$5:$B$154,"D10*")&gt;0,"D10; ","")</f>
        <v>D05; D06; </v>
      </c>
      <c r="AV161" s="0" t="str">
        <f aca="false">IF(COUNTIFS(AV$5:AV$154,"✓",$B$5:$B$154,"D01*")&gt;0,"D01; ","")&amp;IF(COUNTIFS(AV$5:AV$154,"✓",$B$5:$B$154,"D02*")&gt;0,"D02; ","")&amp;IF(COUNTIFS(AV$5:AV$154,"✓",$B$5:$B$154,"D03*")&gt;0,"D03; ","")&amp;IF(COUNTIFS(AV$5:AV$154,"✓",$B$5:$B$154,"D04*")&gt;0,"D04; ","")&amp;IF(COUNTIFS(AV$5:AV$154,"✓",$B$5:$B$154,"D05*")&gt;0,"D05; ","")&amp;IF(COUNTIFS(AV$5:AV$154,"✓",$B$5:$B$154,"D06*")&gt;0,"D06; ","")&amp;IF(COUNTIFS(AV$5:AV$154,"✓",$B$5:$B$154,"D07*")&gt;0,"D07; ","")&amp;IF(COUNTIFS(AV$5:AV$154,"✓",$B$5:$B$154,"D08*")&gt;0,"D08; ","")&amp;IF(COUNTIFS(AV$5:AV$154,"✓",$B$5:$B$154,"D09*")&gt;0,"D09; ","")&amp;IF(COUNTIFS(AV$5:AV$154,"✓",$B$5:$B$154,"D10*")&gt;0,"D10; ","")</f>
        <v>D05; </v>
      </c>
      <c r="AW161" s="0" t="str">
        <f aca="false">IF(COUNTIFS(AW$5:AW$154,"✓",$B$5:$B$154,"D01*")&gt;0,"D01; ","")&amp;IF(COUNTIFS(AW$5:AW$154,"✓",$B$5:$B$154,"D02*")&gt;0,"D02; ","")&amp;IF(COUNTIFS(AW$5:AW$154,"✓",$B$5:$B$154,"D03*")&gt;0,"D03; ","")&amp;IF(COUNTIFS(AW$5:AW$154,"✓",$B$5:$B$154,"D04*")&gt;0,"D04; ","")&amp;IF(COUNTIFS(AW$5:AW$154,"✓",$B$5:$B$154,"D05*")&gt;0,"D05; ","")&amp;IF(COUNTIFS(AW$5:AW$154,"✓",$B$5:$B$154,"D06*")&gt;0,"D06; ","")&amp;IF(COUNTIFS(AW$5:AW$154,"✓",$B$5:$B$154,"D07*")&gt;0,"D07; ","")&amp;IF(COUNTIFS(AW$5:AW$154,"✓",$B$5:$B$154,"D08*")&gt;0,"D08; ","")&amp;IF(COUNTIFS(AW$5:AW$154,"✓",$B$5:$B$154,"D09*")&gt;0,"D09; ","")&amp;IF(COUNTIFS(AW$5:AW$154,"✓",$B$5:$B$154,"D10*")&gt;0,"D10; ","")</f>
        <v>D05; </v>
      </c>
      <c r="AX161" s="0" t="str">
        <f aca="false">IF(COUNTIFS(AX$5:AX$154,"✓",$B$5:$B$154,"D01*")&gt;0,"D01; ","")&amp;IF(COUNTIFS(AX$5:AX$154,"✓",$B$5:$B$154,"D02*")&gt;0,"D02; ","")&amp;IF(COUNTIFS(AX$5:AX$154,"✓",$B$5:$B$154,"D03*")&gt;0,"D03; ","")&amp;IF(COUNTIFS(AX$5:AX$154,"✓",$B$5:$B$154,"D04*")&gt;0,"D04; ","")&amp;IF(COUNTIFS(AX$5:AX$154,"✓",$B$5:$B$154,"D05*")&gt;0,"D05; ","")&amp;IF(COUNTIFS(AX$5:AX$154,"✓",$B$5:$B$154,"D06*")&gt;0,"D06; ","")&amp;IF(COUNTIFS(AX$5:AX$154,"✓",$B$5:$B$154,"D07*")&gt;0,"D07; ","")&amp;IF(COUNTIFS(AX$5:AX$154,"✓",$B$5:$B$154,"D08*")&gt;0,"D08; ","")&amp;IF(COUNTIFS(AX$5:AX$154,"✓",$B$5:$B$154,"D09*")&gt;0,"D09; ","")&amp;IF(COUNTIFS(AX$5:AX$154,"✓",$B$5:$B$154,"D10*")&gt;0,"D10; ","")</f>
        <v/>
      </c>
      <c r="AY161" s="0" t="str">
        <f aca="false">IF(COUNTIFS(AY$5:AY$154,"✓",$B$5:$B$154,"D01*")&gt;0,"D01; ","")&amp;IF(COUNTIFS(AY$5:AY$154,"✓",$B$5:$B$154,"D02*")&gt;0,"D02; ","")&amp;IF(COUNTIFS(AY$5:AY$154,"✓",$B$5:$B$154,"D03*")&gt;0,"D03; ","")&amp;IF(COUNTIFS(AY$5:AY$154,"✓",$B$5:$B$154,"D04*")&gt;0,"D04; ","")&amp;IF(COUNTIFS(AY$5:AY$154,"✓",$B$5:$B$154,"D05*")&gt;0,"D05; ","")&amp;IF(COUNTIFS(AY$5:AY$154,"✓",$B$5:$B$154,"D06*")&gt;0,"D06; ","")&amp;IF(COUNTIFS(AY$5:AY$154,"✓",$B$5:$B$154,"D07*")&gt;0,"D07; ","")&amp;IF(COUNTIFS(AY$5:AY$154,"✓",$B$5:$B$154,"D08*")&gt;0,"D08; ","")&amp;IF(COUNTIFS(AY$5:AY$154,"✓",$B$5:$B$154,"D09*")&gt;0,"D09; ","")&amp;IF(COUNTIFS(AY$5:AY$154,"✓",$B$5:$B$154,"D10*")&gt;0,"D10; ","")</f>
        <v/>
      </c>
      <c r="AZ161" s="0" t="str">
        <f aca="false">IF(COUNTIFS(AZ$5:AZ$154,"✓",$B$5:$B$154,"D01*")&gt;0,"D01; ","")&amp;IF(COUNTIFS(AZ$5:AZ$154,"✓",$B$5:$B$154,"D02*")&gt;0,"D02; ","")&amp;IF(COUNTIFS(AZ$5:AZ$154,"✓",$B$5:$B$154,"D03*")&gt;0,"D03; ","")&amp;IF(COUNTIFS(AZ$5:AZ$154,"✓",$B$5:$B$154,"D04*")&gt;0,"D04; ","")&amp;IF(COUNTIFS(AZ$5:AZ$154,"✓",$B$5:$B$154,"D05*")&gt;0,"D05; ","")&amp;IF(COUNTIFS(AZ$5:AZ$154,"✓",$B$5:$B$154,"D06*")&gt;0,"D06; ","")&amp;IF(COUNTIFS(AZ$5:AZ$154,"✓",$B$5:$B$154,"D07*")&gt;0,"D07; ","")&amp;IF(COUNTIFS(AZ$5:AZ$154,"✓",$B$5:$B$154,"D08*")&gt;0,"D08; ","")&amp;IF(COUNTIFS(AZ$5:AZ$154,"✓",$B$5:$B$154,"D09*")&gt;0,"D09; ","")&amp;IF(COUNTIFS(AZ$5:AZ$154,"✓",$B$5:$B$154,"D10*")&gt;0,"D10; ","")</f>
        <v/>
      </c>
      <c r="BA161" s="0" t="str">
        <f aca="false">IF(COUNTIFS(BA$5:BA$154,"✓",$B$5:$B$154,"D01*")&gt;0,"D01; ","")&amp;IF(COUNTIFS(BA$5:BA$154,"✓",$B$5:$B$154,"D02*")&gt;0,"D02; ","")&amp;IF(COUNTIFS(BA$5:BA$154,"✓",$B$5:$B$154,"D03*")&gt;0,"D03; ","")&amp;IF(COUNTIFS(BA$5:BA$154,"✓",$B$5:$B$154,"D04*")&gt;0,"D04; ","")&amp;IF(COUNTIFS(BA$5:BA$154,"✓",$B$5:$B$154,"D05*")&gt;0,"D05; ","")&amp;IF(COUNTIFS(BA$5:BA$154,"✓",$B$5:$B$154,"D06*")&gt;0,"D06; ","")&amp;IF(COUNTIFS(BA$5:BA$154,"✓",$B$5:$B$154,"D07*")&gt;0,"D07; ","")&amp;IF(COUNTIFS(BA$5:BA$154,"✓",$B$5:$B$154,"D08*")&gt;0,"D08; ","")&amp;IF(COUNTIFS(BA$5:BA$154,"✓",$B$5:$B$154,"D09*")&gt;0,"D09; ","")&amp;IF(COUNTIFS(BA$5:BA$154,"✓",$B$5:$B$154,"D10*")&gt;0,"D10; ","")</f>
        <v/>
      </c>
      <c r="BB161" s="0" t="str">
        <f aca="false">IF(COUNTIFS(BB$5:BB$154,"✓",$B$5:$B$154,"D01*")&gt;0,"D01; ","")&amp;IF(COUNTIFS(BB$5:BB$154,"✓",$B$5:$B$154,"D02*")&gt;0,"D02; ","")&amp;IF(COUNTIFS(BB$5:BB$154,"✓",$B$5:$B$154,"D03*")&gt;0,"D03; ","")&amp;IF(COUNTIFS(BB$5:BB$154,"✓",$B$5:$B$154,"D04*")&gt;0,"D04; ","")&amp;IF(COUNTIFS(BB$5:BB$154,"✓",$B$5:$B$154,"D05*")&gt;0,"D05; ","")&amp;IF(COUNTIFS(BB$5:BB$154,"✓",$B$5:$B$154,"D06*")&gt;0,"D06; ","")&amp;IF(COUNTIFS(BB$5:BB$154,"✓",$B$5:$B$154,"D07*")&gt;0,"D07; ","")&amp;IF(COUNTIFS(BB$5:BB$154,"✓",$B$5:$B$154,"D08*")&gt;0,"D08; ","")&amp;IF(COUNTIFS(BB$5:BB$154,"✓",$B$5:$B$154,"D09*")&gt;0,"D09; ","")&amp;IF(COUNTIFS(BB$5:BB$154,"✓",$B$5:$B$154,"D10*")&gt;0,"D10; ","")</f>
        <v>D10; </v>
      </c>
      <c r="BC161" s="0" t="str">
        <f aca="false">IF(COUNTIFS(BC$5:BC$154,"✓",$B$5:$B$154,"D01*")&gt;0,"D01; ","")&amp;IF(COUNTIFS(BC$5:BC$154,"✓",$B$5:$B$154,"D02*")&gt;0,"D02; ","")&amp;IF(COUNTIFS(BC$5:BC$154,"✓",$B$5:$B$154,"D03*")&gt;0,"D03; ","")&amp;IF(COUNTIFS(BC$5:BC$154,"✓",$B$5:$B$154,"D04*")&gt;0,"D04; ","")&amp;IF(COUNTIFS(BC$5:BC$154,"✓",$B$5:$B$154,"D05*")&gt;0,"D05; ","")&amp;IF(COUNTIFS(BC$5:BC$154,"✓",$B$5:$B$154,"D06*")&gt;0,"D06; ","")&amp;IF(COUNTIFS(BC$5:BC$154,"✓",$B$5:$B$154,"D07*")&gt;0,"D07; ","")&amp;IF(COUNTIFS(BC$5:BC$154,"✓",$B$5:$B$154,"D08*")&gt;0,"D08; ","")&amp;IF(COUNTIFS(BC$5:BC$154,"✓",$B$5:$B$154,"D09*")&gt;0,"D09; ","")&amp;IF(COUNTIFS(BC$5:BC$154,"✓",$B$5:$B$154,"D10*")&gt;0,"D10; ","")</f>
        <v>D04; D09; </v>
      </c>
      <c r="BD161" s="0" t="str">
        <f aca="false">IF(COUNTIFS(BD$5:BD$154,"✓",$B$5:$B$154,"D01*")&gt;0,"D01; ","")&amp;IF(COUNTIFS(BD$5:BD$154,"✓",$B$5:$B$154,"D02*")&gt;0,"D02; ","")&amp;IF(COUNTIFS(BD$5:BD$154,"✓",$B$5:$B$154,"D03*")&gt;0,"D03; ","")&amp;IF(COUNTIFS(BD$5:BD$154,"✓",$B$5:$B$154,"D04*")&gt;0,"D04; ","")&amp;IF(COUNTIFS(BD$5:BD$154,"✓",$B$5:$B$154,"D05*")&gt;0,"D05; ","")&amp;IF(COUNTIFS(BD$5:BD$154,"✓",$B$5:$B$154,"D06*")&gt;0,"D06; ","")&amp;IF(COUNTIFS(BD$5:BD$154,"✓",$B$5:$B$154,"D07*")&gt;0,"D07; ","")&amp;IF(COUNTIFS(BD$5:BD$154,"✓",$B$5:$B$154,"D08*")&gt;0,"D08; ","")&amp;IF(COUNTIFS(BD$5:BD$154,"✓",$B$5:$B$154,"D09*")&gt;0,"D09; ","")&amp;IF(COUNTIFS(BD$5:BD$154,"✓",$B$5:$B$154,"D10*")&gt;0,"D10; ","")</f>
        <v>D09; </v>
      </c>
      <c r="BE161" s="0" t="str">
        <f aca="false">IF(COUNTIFS(BE$5:BE$154,"✓",$B$5:$B$154,"D01*")&gt;0,"D01; ","")&amp;IF(COUNTIFS(BE$5:BE$154,"✓",$B$5:$B$154,"D02*")&gt;0,"D02; ","")&amp;IF(COUNTIFS(BE$5:BE$154,"✓",$B$5:$B$154,"D03*")&gt;0,"D03; ","")&amp;IF(COUNTIFS(BE$5:BE$154,"✓",$B$5:$B$154,"D04*")&gt;0,"D04; ","")&amp;IF(COUNTIFS(BE$5:BE$154,"✓",$B$5:$B$154,"D05*")&gt;0,"D05; ","")&amp;IF(COUNTIFS(BE$5:BE$154,"✓",$B$5:$B$154,"D06*")&gt;0,"D06; ","")&amp;IF(COUNTIFS(BE$5:BE$154,"✓",$B$5:$B$154,"D07*")&gt;0,"D07; ","")&amp;IF(COUNTIFS(BE$5:BE$154,"✓",$B$5:$B$154,"D08*")&gt;0,"D08; ","")&amp;IF(COUNTIFS(BE$5:BE$154,"✓",$B$5:$B$154,"D09*")&gt;0,"D09; ","")&amp;IF(COUNTIFS(BE$5:BE$154,"✓",$B$5:$B$154,"D10*")&gt;0,"D10; ","")</f>
        <v>D05; D09; </v>
      </c>
      <c r="BF161" s="0" t="str">
        <f aca="false">IF(COUNTIFS(BF$5:BF$154,"✓",$B$5:$B$154,"D01*")&gt;0,"D01; ","")&amp;IF(COUNTIFS(BF$5:BF$154,"✓",$B$5:$B$154,"D02*")&gt;0,"D02; ","")&amp;IF(COUNTIFS(BF$5:BF$154,"✓",$B$5:$B$154,"D03*")&gt;0,"D03; ","")&amp;IF(COUNTIFS(BF$5:BF$154,"✓",$B$5:$B$154,"D04*")&gt;0,"D04; ","")&amp;IF(COUNTIFS(BF$5:BF$154,"✓",$B$5:$B$154,"D05*")&gt;0,"D05; ","")&amp;IF(COUNTIFS(BF$5:BF$154,"✓",$B$5:$B$154,"D06*")&gt;0,"D06; ","")&amp;IF(COUNTIFS(BF$5:BF$154,"✓",$B$5:$B$154,"D07*")&gt;0,"D07; ","")&amp;IF(COUNTIFS(BF$5:BF$154,"✓",$B$5:$B$154,"D08*")&gt;0,"D08; ","")&amp;IF(COUNTIFS(BF$5:BF$154,"✓",$B$5:$B$154,"D09*")&gt;0,"D09; ","")&amp;IF(COUNTIFS(BF$5:BF$154,"✓",$B$5:$B$154,"D10*")&gt;0,"D10; ","")</f>
        <v/>
      </c>
      <c r="BG161" s="0" t="str">
        <f aca="false">IF(COUNTIFS(BG$5:BG$154,"✓",$B$5:$B$154,"D01*")&gt;0,"D01; ","")&amp;IF(COUNTIFS(BG$5:BG$154,"✓",$B$5:$B$154,"D02*")&gt;0,"D02; ","")&amp;IF(COUNTIFS(BG$5:BG$154,"✓",$B$5:$B$154,"D03*")&gt;0,"D03; ","")&amp;IF(COUNTIFS(BG$5:BG$154,"✓",$B$5:$B$154,"D04*")&gt;0,"D04; ","")&amp;IF(COUNTIFS(BG$5:BG$154,"✓",$B$5:$B$154,"D05*")&gt;0,"D05; ","")&amp;IF(COUNTIFS(BG$5:BG$154,"✓",$B$5:$B$154,"D06*")&gt;0,"D06; ","")&amp;IF(COUNTIFS(BG$5:BG$154,"✓",$B$5:$B$154,"D07*")&gt;0,"D07; ","")&amp;IF(COUNTIFS(BG$5:BG$154,"✓",$B$5:$B$154,"D08*")&gt;0,"D08; ","")&amp;IF(COUNTIFS(BG$5:BG$154,"✓",$B$5:$B$154,"D09*")&gt;0,"D09; ","")&amp;IF(COUNTIFS(BG$5:BG$154,"✓",$B$5:$B$154,"D10*")&gt;0,"D10; ","")</f>
        <v>D06; </v>
      </c>
      <c r="BH161" s="0" t="str">
        <f aca="false">IF(COUNTIFS(BH$5:BH$154,"✓",$B$5:$B$154,"D01*")&gt;0,"D01; ","")&amp;IF(COUNTIFS(BH$5:BH$154,"✓",$B$5:$B$154,"D02*")&gt;0,"D02; ","")&amp;IF(COUNTIFS(BH$5:BH$154,"✓",$B$5:$B$154,"D03*")&gt;0,"D03; ","")&amp;IF(COUNTIFS(BH$5:BH$154,"✓",$B$5:$B$154,"D04*")&gt;0,"D04; ","")&amp;IF(COUNTIFS(BH$5:BH$154,"✓",$B$5:$B$154,"D05*")&gt;0,"D05; ","")&amp;IF(COUNTIFS(BH$5:BH$154,"✓",$B$5:$B$154,"D06*")&gt;0,"D06; ","")&amp;IF(COUNTIFS(BH$5:BH$154,"✓",$B$5:$B$154,"D07*")&gt;0,"D07; ","")&amp;IF(COUNTIFS(BH$5:BH$154,"✓",$B$5:$B$154,"D08*")&gt;0,"D08; ","")&amp;IF(COUNTIFS(BH$5:BH$154,"✓",$B$5:$B$154,"D09*")&gt;0,"D09; ","")&amp;IF(COUNTIFS(BH$5:BH$154,"✓",$B$5:$B$154,"D10*")&gt;0,"D10; ","")</f>
        <v>D04; </v>
      </c>
      <c r="BI161" s="0" t="str">
        <f aca="false">IF(COUNTIFS(BI$5:BI$154,"✓",$B$5:$B$154,"D01*")&gt;0,"D01; ","")&amp;IF(COUNTIFS(BI$5:BI$154,"✓",$B$5:$B$154,"D02*")&gt;0,"D02; ","")&amp;IF(COUNTIFS(BI$5:BI$154,"✓",$B$5:$B$154,"D03*")&gt;0,"D03; ","")&amp;IF(COUNTIFS(BI$5:BI$154,"✓",$B$5:$B$154,"D04*")&gt;0,"D04; ","")&amp;IF(COUNTIFS(BI$5:BI$154,"✓",$B$5:$B$154,"D05*")&gt;0,"D05; ","")&amp;IF(COUNTIFS(BI$5:BI$154,"✓",$B$5:$B$154,"D06*")&gt;0,"D06; ","")&amp;IF(COUNTIFS(BI$5:BI$154,"✓",$B$5:$B$154,"D07*")&gt;0,"D07; ","")&amp;IF(COUNTIFS(BI$5:BI$154,"✓",$B$5:$B$154,"D08*")&gt;0,"D08; ","")&amp;IF(COUNTIFS(BI$5:BI$154,"✓",$B$5:$B$154,"D09*")&gt;0,"D09; ","")&amp;IF(COUNTIFS(BI$5:BI$154,"✓",$B$5:$B$154,"D10*")&gt;0,"D10; ","")</f>
        <v>D06; </v>
      </c>
      <c r="BJ161" s="0" t="str">
        <f aca="false">IF(COUNTIFS(BJ$5:BJ$154,"✓",$B$5:$B$154,"D01*")&gt;0,"D01; ","")&amp;IF(COUNTIFS(BJ$5:BJ$154,"✓",$B$5:$B$154,"D02*")&gt;0,"D02; ","")&amp;IF(COUNTIFS(BJ$5:BJ$154,"✓",$B$5:$B$154,"D03*")&gt;0,"D03; ","")&amp;IF(COUNTIFS(BJ$5:BJ$154,"✓",$B$5:$B$154,"D04*")&gt;0,"D04; ","")&amp;IF(COUNTIFS(BJ$5:BJ$154,"✓",$B$5:$B$154,"D05*")&gt;0,"D05; ","")&amp;IF(COUNTIFS(BJ$5:BJ$154,"✓",$B$5:$B$154,"D06*")&gt;0,"D06; ","")&amp;IF(COUNTIFS(BJ$5:BJ$154,"✓",$B$5:$B$154,"D07*")&gt;0,"D07; ","")&amp;IF(COUNTIFS(BJ$5:BJ$154,"✓",$B$5:$B$154,"D08*")&gt;0,"D08; ","")&amp;IF(COUNTIFS(BJ$5:BJ$154,"✓",$B$5:$B$154,"D09*")&gt;0,"D09; ","")&amp;IF(COUNTIFS(BJ$5:BJ$154,"✓",$B$5:$B$154,"D10*")&gt;0,"D10; ","")</f>
        <v>D01; D04; </v>
      </c>
      <c r="BK161" s="0" t="str">
        <f aca="false">IF(COUNTIFS(BK$5:BK$154,"✓",$B$5:$B$154,"D01*")&gt;0,"D01; ","")&amp;IF(COUNTIFS(BK$5:BK$154,"✓",$B$5:$B$154,"D02*")&gt;0,"D02; ","")&amp;IF(COUNTIFS(BK$5:BK$154,"✓",$B$5:$B$154,"D03*")&gt;0,"D03; ","")&amp;IF(COUNTIFS(BK$5:BK$154,"✓",$B$5:$B$154,"D04*")&gt;0,"D04; ","")&amp;IF(COUNTIFS(BK$5:BK$154,"✓",$B$5:$B$154,"D05*")&gt;0,"D05; ","")&amp;IF(COUNTIFS(BK$5:BK$154,"✓",$B$5:$B$154,"D06*")&gt;0,"D06; ","")&amp;IF(COUNTIFS(BK$5:BK$154,"✓",$B$5:$B$154,"D07*")&gt;0,"D07; ","")&amp;IF(COUNTIFS(BK$5:BK$154,"✓",$B$5:$B$154,"D08*")&gt;0,"D08; ","")&amp;IF(COUNTIFS(BK$5:BK$154,"✓",$B$5:$B$154,"D09*")&gt;0,"D09; ","")&amp;IF(COUNTIFS(BK$5:BK$154,"✓",$B$5:$B$154,"D10*")&gt;0,"D10; ","")</f>
        <v>D07; </v>
      </c>
      <c r="BL161" s="0" t="str">
        <f aca="false">IF(COUNTIFS(BL$5:BL$154,"✓",$B$5:$B$154,"D01*")&gt;0,"D01; ","")&amp;IF(COUNTIFS(BL$5:BL$154,"✓",$B$5:$B$154,"D02*")&gt;0,"D02; ","")&amp;IF(COUNTIFS(BL$5:BL$154,"✓",$B$5:$B$154,"D03*")&gt;0,"D03; ","")&amp;IF(COUNTIFS(BL$5:BL$154,"✓",$B$5:$B$154,"D04*")&gt;0,"D04; ","")&amp;IF(COUNTIFS(BL$5:BL$154,"✓",$B$5:$B$154,"D05*")&gt;0,"D05; ","")&amp;IF(COUNTIFS(BL$5:BL$154,"✓",$B$5:$B$154,"D06*")&gt;0,"D06; ","")&amp;IF(COUNTIFS(BL$5:BL$154,"✓",$B$5:$B$154,"D07*")&gt;0,"D07; ","")&amp;IF(COUNTIFS(BL$5:BL$154,"✓",$B$5:$B$154,"D08*")&gt;0,"D08; ","")&amp;IF(COUNTIFS(BL$5:BL$154,"✓",$B$5:$B$154,"D09*")&gt;0,"D09; ","")&amp;IF(COUNTIFS(BL$5:BL$154,"✓",$B$5:$B$154,"D10*")&gt;0,"D10; ","")</f>
        <v>D05; D07; </v>
      </c>
      <c r="BM161" s="0" t="str">
        <f aca="false">IF(COUNTIFS(BM$5:BM$154,"✓",$B$5:$B$154,"D01*")&gt;0,"D01; ","")&amp;IF(COUNTIFS(BM$5:BM$154,"✓",$B$5:$B$154,"D02*")&gt;0,"D02; ","")&amp;IF(COUNTIFS(BM$5:BM$154,"✓",$B$5:$B$154,"D03*")&gt;0,"D03; ","")&amp;IF(COUNTIFS(BM$5:BM$154,"✓",$B$5:$B$154,"D04*")&gt;0,"D04; ","")&amp;IF(COUNTIFS(BM$5:BM$154,"✓",$B$5:$B$154,"D05*")&gt;0,"D05; ","")&amp;IF(COUNTIFS(BM$5:BM$154,"✓",$B$5:$B$154,"D06*")&gt;0,"D06; ","")&amp;IF(COUNTIFS(BM$5:BM$154,"✓",$B$5:$B$154,"D07*")&gt;0,"D07; ","")&amp;IF(COUNTIFS(BM$5:BM$154,"✓",$B$5:$B$154,"D08*")&gt;0,"D08; ","")&amp;IF(COUNTIFS(BM$5:BM$154,"✓",$B$5:$B$154,"D09*")&gt;0,"D09; ","")&amp;IF(COUNTIFS(BM$5:BM$154,"✓",$B$5:$B$154,"D10*")&gt;0,"D10; ","")</f>
        <v>D08; </v>
      </c>
      <c r="BN161" s="0" t="str">
        <f aca="false">IF(COUNTIFS(BN$5:BN$154,"✓",$B$5:$B$154,"D01*")&gt;0,"D01; ","")&amp;IF(COUNTIFS(BN$5:BN$154,"✓",$B$5:$B$154,"D02*")&gt;0,"D02; ","")&amp;IF(COUNTIFS(BN$5:BN$154,"✓",$B$5:$B$154,"D03*")&gt;0,"D03; ","")&amp;IF(COUNTIFS(BN$5:BN$154,"✓",$B$5:$B$154,"D04*")&gt;0,"D04; ","")&amp;IF(COUNTIFS(BN$5:BN$154,"✓",$B$5:$B$154,"D05*")&gt;0,"D05; ","")&amp;IF(COUNTIFS(BN$5:BN$154,"✓",$B$5:$B$154,"D06*")&gt;0,"D06; ","")&amp;IF(COUNTIFS(BN$5:BN$154,"✓",$B$5:$B$154,"D07*")&gt;0,"D07; ","")&amp;IF(COUNTIFS(BN$5:BN$154,"✓",$B$5:$B$154,"D08*")&gt;0,"D08; ","")&amp;IF(COUNTIFS(BN$5:BN$154,"✓",$B$5:$B$154,"D09*")&gt;0,"D09; ","")&amp;IF(COUNTIFS(BN$5:BN$154,"✓",$B$5:$B$154,"D10*")&gt;0,"D10; ","")</f>
        <v>D07; D08; </v>
      </c>
      <c r="BO161" s="0" t="str">
        <f aca="false">IF(COUNTIFS(BO$5:BO$154,"✓",$B$5:$B$154,"D01*")&gt;0,"D01; ","")&amp;IF(COUNTIFS(BO$5:BO$154,"✓",$B$5:$B$154,"D02*")&gt;0,"D02; ","")&amp;IF(COUNTIFS(BO$5:BO$154,"✓",$B$5:$B$154,"D03*")&gt;0,"D03; ","")&amp;IF(COUNTIFS(BO$5:BO$154,"✓",$B$5:$B$154,"D04*")&gt;0,"D04; ","")&amp;IF(COUNTIFS(BO$5:BO$154,"✓",$B$5:$B$154,"D05*")&gt;0,"D05; ","")&amp;IF(COUNTIFS(BO$5:BO$154,"✓",$B$5:$B$154,"D06*")&gt;0,"D06; ","")&amp;IF(COUNTIFS(BO$5:BO$154,"✓",$B$5:$B$154,"D07*")&gt;0,"D07; ","")&amp;IF(COUNTIFS(BO$5:BO$154,"✓",$B$5:$B$154,"D08*")&gt;0,"D08; ","")&amp;IF(COUNTIFS(BO$5:BO$154,"✓",$B$5:$B$154,"D09*")&gt;0,"D09; ","")&amp;IF(COUNTIFS(BO$5:BO$154,"✓",$B$5:$B$154,"D10*")&gt;0,"D10; ","")</f>
        <v>D09; </v>
      </c>
      <c r="BP161" s="0" t="str">
        <f aca="false">IF(COUNTIFS(BP$5:BP$154,"✓",$B$5:$B$154,"D01*")&gt;0,"D01; ","")&amp;IF(COUNTIFS(BP$5:BP$154,"✓",$B$5:$B$154,"D02*")&gt;0,"D02; ","")&amp;IF(COUNTIFS(BP$5:BP$154,"✓",$B$5:$B$154,"D03*")&gt;0,"D03; ","")&amp;IF(COUNTIFS(BP$5:BP$154,"✓",$B$5:$B$154,"D04*")&gt;0,"D04; ","")&amp;IF(COUNTIFS(BP$5:BP$154,"✓",$B$5:$B$154,"D05*")&gt;0,"D05; ","")&amp;IF(COUNTIFS(BP$5:BP$154,"✓",$B$5:$B$154,"D06*")&gt;0,"D06; ","")&amp;IF(COUNTIFS(BP$5:BP$154,"✓",$B$5:$B$154,"D07*")&gt;0,"D07; ","")&amp;IF(COUNTIFS(BP$5:BP$154,"✓",$B$5:$B$154,"D08*")&gt;0,"D08; ","")&amp;IF(COUNTIFS(BP$5:BP$154,"✓",$B$5:$B$154,"D09*")&gt;0,"D09; ","")&amp;IF(COUNTIFS(BP$5:BP$154,"✓",$B$5:$B$154,"D10*")&gt;0,"D10; ","")</f>
        <v>D03; D05; </v>
      </c>
      <c r="BQ161" s="0" t="str">
        <f aca="false">IF(COUNTIFS(BQ$5:BQ$154,"✓",$B$5:$B$154,"D01*")&gt;0,"D01; ","")&amp;IF(COUNTIFS(BQ$5:BQ$154,"✓",$B$5:$B$154,"D02*")&gt;0,"D02; ","")&amp;IF(COUNTIFS(BQ$5:BQ$154,"✓",$B$5:$B$154,"D03*")&gt;0,"D03; ","")&amp;IF(COUNTIFS(BQ$5:BQ$154,"✓",$B$5:$B$154,"D04*")&gt;0,"D04; ","")&amp;IF(COUNTIFS(BQ$5:BQ$154,"✓",$B$5:$B$154,"D05*")&gt;0,"D05; ","")&amp;IF(COUNTIFS(BQ$5:BQ$154,"✓",$B$5:$B$154,"D06*")&gt;0,"D06; ","")&amp;IF(COUNTIFS(BQ$5:BQ$154,"✓",$B$5:$B$154,"D07*")&gt;0,"D07; ","")&amp;IF(COUNTIFS(BQ$5:BQ$154,"✓",$B$5:$B$154,"D08*")&gt;0,"D08; ","")&amp;IF(COUNTIFS(BQ$5:BQ$154,"✓",$B$5:$B$154,"D09*")&gt;0,"D09; ","")&amp;IF(COUNTIFS(BQ$5:BQ$154,"✓",$B$5:$B$154,"D10*")&gt;0,"D10; ","")</f>
        <v>D05; D09; </v>
      </c>
      <c r="BR161" s="0" t="str">
        <f aca="false">IF(COUNTIFS(BR$5:BR$154,"✓",$B$5:$B$154,"D01*")&gt;0,"D01; ","")&amp;IF(COUNTIFS(BR$5:BR$154,"✓",$B$5:$B$154,"D02*")&gt;0,"D02; ","")&amp;IF(COUNTIFS(BR$5:BR$154,"✓",$B$5:$B$154,"D03*")&gt;0,"D03; ","")&amp;IF(COUNTIFS(BR$5:BR$154,"✓",$B$5:$B$154,"D04*")&gt;0,"D04; ","")&amp;IF(COUNTIFS(BR$5:BR$154,"✓",$B$5:$B$154,"D05*")&gt;0,"D05; ","")&amp;IF(COUNTIFS(BR$5:BR$154,"✓",$B$5:$B$154,"D06*")&gt;0,"D06; ","")&amp;IF(COUNTIFS(BR$5:BR$154,"✓",$B$5:$B$154,"D07*")&gt;0,"D07; ","")&amp;IF(COUNTIFS(BR$5:BR$154,"✓",$B$5:$B$154,"D08*")&gt;0,"D08; ","")&amp;IF(COUNTIFS(BR$5:BR$154,"✓",$B$5:$B$154,"D09*")&gt;0,"D09; ","")&amp;IF(COUNTIFS(BR$5:BR$154,"✓",$B$5:$B$154,"D10*")&gt;0,"D10; ","")</f>
        <v>D09; </v>
      </c>
      <c r="BS161" s="0" t="str">
        <f aca="false">IF(COUNTIFS(BS$5:BS$154,"✓",$B$5:$B$154,"D01*")&gt;0,"D01; ","")&amp;IF(COUNTIFS(BS$5:BS$154,"✓",$B$5:$B$154,"D02*")&gt;0,"D02; ","")&amp;IF(COUNTIFS(BS$5:BS$154,"✓",$B$5:$B$154,"D03*")&gt;0,"D03; ","")&amp;IF(COUNTIFS(BS$5:BS$154,"✓",$B$5:$B$154,"D04*")&gt;0,"D04; ","")&amp;IF(COUNTIFS(BS$5:BS$154,"✓",$B$5:$B$154,"D05*")&gt;0,"D05; ","")&amp;IF(COUNTIFS(BS$5:BS$154,"✓",$B$5:$B$154,"D06*")&gt;0,"D06; ","")&amp;IF(COUNTIFS(BS$5:BS$154,"✓",$B$5:$B$154,"D07*")&gt;0,"D07; ","")&amp;IF(COUNTIFS(BS$5:BS$154,"✓",$B$5:$B$154,"D08*")&gt;0,"D08; ","")&amp;IF(COUNTIFS(BS$5:BS$154,"✓",$B$5:$B$154,"D09*")&gt;0,"D09; ","")&amp;IF(COUNTIFS(BS$5:BS$154,"✓",$B$5:$B$154,"D10*")&gt;0,"D10; ","")</f>
        <v>D09; </v>
      </c>
      <c r="BT161" s="0" t="str">
        <f aca="false">IF(COUNTIFS(BT$5:BT$154,"✓",$B$5:$B$154,"D01*")&gt;0,"D01; ","")&amp;IF(COUNTIFS(BT$5:BT$154,"✓",$B$5:$B$154,"D02*")&gt;0,"D02; ","")&amp;IF(COUNTIFS(BT$5:BT$154,"✓",$B$5:$B$154,"D03*")&gt;0,"D03; ","")&amp;IF(COUNTIFS(BT$5:BT$154,"✓",$B$5:$B$154,"D04*")&gt;0,"D04; ","")&amp;IF(COUNTIFS(BT$5:BT$154,"✓",$B$5:$B$154,"D05*")&gt;0,"D05; ","")&amp;IF(COUNTIFS(BT$5:BT$154,"✓",$B$5:$B$154,"D06*")&gt;0,"D06; ","")&amp;IF(COUNTIFS(BT$5:BT$154,"✓",$B$5:$B$154,"D07*")&gt;0,"D07; ","")&amp;IF(COUNTIFS(BT$5:BT$154,"✓",$B$5:$B$154,"D08*")&gt;0,"D08; ","")&amp;IF(COUNTIFS(BT$5:BT$154,"✓",$B$5:$B$154,"D09*")&gt;0,"D09; ","")&amp;IF(COUNTIFS(BT$5:BT$154,"✓",$B$5:$B$154,"D10*")&gt;0,"D10; ","")</f>
        <v>D03; D09; </v>
      </c>
      <c r="BU161" s="0" t="str">
        <f aca="false">IF(COUNTIFS(BU$5:BU$154,"✓",$B$5:$B$154,"D01*")&gt;0,"D01; ","")&amp;IF(COUNTIFS(BU$5:BU$154,"✓",$B$5:$B$154,"D02*")&gt;0,"D02; ","")&amp;IF(COUNTIFS(BU$5:BU$154,"✓",$B$5:$B$154,"D03*")&gt;0,"D03; ","")&amp;IF(COUNTIFS(BU$5:BU$154,"✓",$B$5:$B$154,"D04*")&gt;0,"D04; ","")&amp;IF(COUNTIFS(BU$5:BU$154,"✓",$B$5:$B$154,"D05*")&gt;0,"D05; ","")&amp;IF(COUNTIFS(BU$5:BU$154,"✓",$B$5:$B$154,"D06*")&gt;0,"D06; ","")&amp;IF(COUNTIFS(BU$5:BU$154,"✓",$B$5:$B$154,"D07*")&gt;0,"D07; ","")&amp;IF(COUNTIFS(BU$5:BU$154,"✓",$B$5:$B$154,"D08*")&gt;0,"D08; ","")&amp;IF(COUNTIFS(BU$5:BU$154,"✓",$B$5:$B$154,"D09*")&gt;0,"D09; ","")&amp;IF(COUNTIFS(BU$5:BU$154,"✓",$B$5:$B$154,"D10*")&gt;0,"D10; ","")</f>
        <v>D09; </v>
      </c>
      <c r="BV161" s="0" t="str">
        <f aca="false">IF(COUNTIFS(BV$5:BV$154,"✓",$B$5:$B$154,"D01*")&gt;0,"D01; ","")&amp;IF(COUNTIFS(BV$5:BV$154,"✓",$B$5:$B$154,"D02*")&gt;0,"D02; ","")&amp;IF(COUNTIFS(BV$5:BV$154,"✓",$B$5:$B$154,"D03*")&gt;0,"D03; ","")&amp;IF(COUNTIFS(BV$5:BV$154,"✓",$B$5:$B$154,"D04*")&gt;0,"D04; ","")&amp;IF(COUNTIFS(BV$5:BV$154,"✓",$B$5:$B$154,"D05*")&gt;0,"D05; ","")&amp;IF(COUNTIFS(BV$5:BV$154,"✓",$B$5:$B$154,"D06*")&gt;0,"D06; ","")&amp;IF(COUNTIFS(BV$5:BV$154,"✓",$B$5:$B$154,"D07*")&gt;0,"D07; ","")&amp;IF(COUNTIFS(BV$5:BV$154,"✓",$B$5:$B$154,"D08*")&gt;0,"D08; ","")&amp;IF(COUNTIFS(BV$5:BV$154,"✓",$B$5:$B$154,"D09*")&gt;0,"D09; ","")&amp;IF(COUNTIFS(BV$5:BV$154,"✓",$B$5:$B$154,"D10*")&gt;0,"D10; ","")</f>
        <v>D05; </v>
      </c>
      <c r="BW161" s="0" t="str">
        <f aca="false">IF(COUNTIFS(BW$5:BW$154,"✓",$B$5:$B$154,"D01*")&gt;0,"D01; ","")&amp;IF(COUNTIFS(BW$5:BW$154,"✓",$B$5:$B$154,"D02*")&gt;0,"D02; ","")&amp;IF(COUNTIFS(BW$5:BW$154,"✓",$B$5:$B$154,"D03*")&gt;0,"D03; ","")&amp;IF(COUNTIFS(BW$5:BW$154,"✓",$B$5:$B$154,"D04*")&gt;0,"D04; ","")&amp;IF(COUNTIFS(BW$5:BW$154,"✓",$B$5:$B$154,"D05*")&gt;0,"D05; ","")&amp;IF(COUNTIFS(BW$5:BW$154,"✓",$B$5:$B$154,"D06*")&gt;0,"D06; ","")&amp;IF(COUNTIFS(BW$5:BW$154,"✓",$B$5:$B$154,"D07*")&gt;0,"D07; ","")&amp;IF(COUNTIFS(BW$5:BW$154,"✓",$B$5:$B$154,"D08*")&gt;0,"D08; ","")&amp;IF(COUNTIFS(BW$5:BW$154,"✓",$B$5:$B$154,"D09*")&gt;0,"D09; ","")&amp;IF(COUNTIFS(BW$5:BW$154,"✓",$B$5:$B$154,"D10*")&gt;0,"D10; ","")</f>
        <v>D02; D05; </v>
      </c>
      <c r="BX161" s="0" t="str">
        <f aca="false">IF(COUNTIFS(BX$5:BX$154,"✓",$B$5:$B$154,"D01*")&gt;0,"D01; ","")&amp;IF(COUNTIFS(BX$5:BX$154,"✓",$B$5:$B$154,"D02*")&gt;0,"D02; ","")&amp;IF(COUNTIFS(BX$5:BX$154,"✓",$B$5:$B$154,"D03*")&gt;0,"D03; ","")&amp;IF(COUNTIFS(BX$5:BX$154,"✓",$B$5:$B$154,"D04*")&gt;0,"D04; ","")&amp;IF(COUNTIFS(BX$5:BX$154,"✓",$B$5:$B$154,"D05*")&gt;0,"D05; ","")&amp;IF(COUNTIFS(BX$5:BX$154,"✓",$B$5:$B$154,"D06*")&gt;0,"D06; ","")&amp;IF(COUNTIFS(BX$5:BX$154,"✓",$B$5:$B$154,"D07*")&gt;0,"D07; ","")&amp;IF(COUNTIFS(BX$5:BX$154,"✓",$B$5:$B$154,"D08*")&gt;0,"D08; ","")&amp;IF(COUNTIFS(BX$5:BX$154,"✓",$B$5:$B$154,"D09*")&gt;0,"D09; ","")&amp;IF(COUNTIFS(BX$5:BX$154,"✓",$B$5:$B$154,"D10*")&gt;0,"D10; ","")</f>
        <v>D05; </v>
      </c>
      <c r="BY161" s="0" t="str">
        <f aca="false">IF(COUNTIFS(BY$5:BY$154,"✓",$B$5:$B$154,"D01*")&gt;0,"D01; ","")&amp;IF(COUNTIFS(BY$5:BY$154,"✓",$B$5:$B$154,"D02*")&gt;0,"D02; ","")&amp;IF(COUNTIFS(BY$5:BY$154,"✓",$B$5:$B$154,"D03*")&gt;0,"D03; ","")&amp;IF(COUNTIFS(BY$5:BY$154,"✓",$B$5:$B$154,"D04*")&gt;0,"D04; ","")&amp;IF(COUNTIFS(BY$5:BY$154,"✓",$B$5:$B$154,"D05*")&gt;0,"D05; ","")&amp;IF(COUNTIFS(BY$5:BY$154,"✓",$B$5:$B$154,"D06*")&gt;0,"D06; ","")&amp;IF(COUNTIFS(BY$5:BY$154,"✓",$B$5:$B$154,"D07*")&gt;0,"D07; ","")&amp;IF(COUNTIFS(BY$5:BY$154,"✓",$B$5:$B$154,"D08*")&gt;0,"D08; ","")&amp;IF(COUNTIFS(BY$5:BY$154,"✓",$B$5:$B$154,"D09*")&gt;0,"D09; ","")&amp;IF(COUNTIFS(BY$5:BY$154,"✓",$B$5:$B$154,"D10*")&gt;0,"D10; ","")</f>
        <v>D02; </v>
      </c>
      <c r="BZ161" s="0" t="str">
        <f aca="false">IF(COUNTIFS(BZ$5:BZ$154,"✓",$B$5:$B$154,"D01*")&gt;0,"D01; ","")&amp;IF(COUNTIFS(BZ$5:BZ$154,"✓",$B$5:$B$154,"D02*")&gt;0,"D02; ","")&amp;IF(COUNTIFS(BZ$5:BZ$154,"✓",$B$5:$B$154,"D03*")&gt;0,"D03; ","")&amp;IF(COUNTIFS(BZ$5:BZ$154,"✓",$B$5:$B$154,"D04*")&gt;0,"D04; ","")&amp;IF(COUNTIFS(BZ$5:BZ$154,"✓",$B$5:$B$154,"D05*")&gt;0,"D05; ","")&amp;IF(COUNTIFS(BZ$5:BZ$154,"✓",$B$5:$B$154,"D06*")&gt;0,"D06; ","")&amp;IF(COUNTIFS(BZ$5:BZ$154,"✓",$B$5:$B$154,"D07*")&gt;0,"D07; ","")&amp;IF(COUNTIFS(BZ$5:BZ$154,"✓",$B$5:$B$154,"D08*")&gt;0,"D08; ","")&amp;IF(COUNTIFS(BZ$5:BZ$154,"✓",$B$5:$B$154,"D09*")&gt;0,"D09; ","")&amp;IF(COUNTIFS(BZ$5:BZ$154,"✓",$B$5:$B$154,"D10*")&gt;0,"D10; ","")</f>
        <v>D02; </v>
      </c>
      <c r="CA161" s="0" t="str">
        <f aca="false">IF(COUNTIFS(CA$5:CA$154,"✓",$B$5:$B$154,"D01*")&gt;0,"D01; ","")&amp;IF(COUNTIFS(CA$5:CA$154,"✓",$B$5:$B$154,"D02*")&gt;0,"D02; ","")&amp;IF(COUNTIFS(CA$5:CA$154,"✓",$B$5:$B$154,"D03*")&gt;0,"D03; ","")&amp;IF(COUNTIFS(CA$5:CA$154,"✓",$B$5:$B$154,"D04*")&gt;0,"D04; ","")&amp;IF(COUNTIFS(CA$5:CA$154,"✓",$B$5:$B$154,"D05*")&gt;0,"D05; ","")&amp;IF(COUNTIFS(CA$5:CA$154,"✓",$B$5:$B$154,"D06*")&gt;0,"D06; ","")&amp;IF(COUNTIFS(CA$5:CA$154,"✓",$B$5:$B$154,"D07*")&gt;0,"D07; ","")&amp;IF(COUNTIFS(CA$5:CA$154,"✓",$B$5:$B$154,"D08*")&gt;0,"D08; ","")&amp;IF(COUNTIFS(CA$5:CA$154,"✓",$B$5:$B$154,"D09*")&gt;0,"D09; ","")&amp;IF(COUNTIFS(CA$5:CA$154,"✓",$B$5:$B$154,"D10*")&gt;0,"D10; ","")</f>
        <v>D05; </v>
      </c>
      <c r="CB161" s="0" t="str">
        <f aca="false">IF(COUNTIFS(CB$5:CB$154,"✓",$B$5:$B$154,"D01*")&gt;0,"D01; ","")&amp;IF(COUNTIFS(CB$5:CB$154,"✓",$B$5:$B$154,"D02*")&gt;0,"D02; ","")&amp;IF(COUNTIFS(CB$5:CB$154,"✓",$B$5:$B$154,"D03*")&gt;0,"D03; ","")&amp;IF(COUNTIFS(CB$5:CB$154,"✓",$B$5:$B$154,"D04*")&gt;0,"D04; ","")&amp;IF(COUNTIFS(CB$5:CB$154,"✓",$B$5:$B$154,"D05*")&gt;0,"D05; ","")&amp;IF(COUNTIFS(CB$5:CB$154,"✓",$B$5:$B$154,"D06*")&gt;0,"D06; ","")&amp;IF(COUNTIFS(CB$5:CB$154,"✓",$B$5:$B$154,"D07*")&gt;0,"D07; ","")&amp;IF(COUNTIFS(CB$5:CB$154,"✓",$B$5:$B$154,"D08*")&gt;0,"D08; ","")&amp;IF(COUNTIFS(CB$5:CB$154,"✓",$B$5:$B$154,"D09*")&gt;0,"D09; ","")&amp;IF(COUNTIFS(CB$5:CB$154,"✓",$B$5:$B$154,"D10*")&gt;0,"D10; ","")</f>
        <v>D02; D08; </v>
      </c>
      <c r="CC161" s="0" t="str">
        <f aca="false">IF(COUNTIFS(CC$5:CC$154,"✓",$B$5:$B$154,"D01*")&gt;0,"D01; ","")&amp;IF(COUNTIFS(CC$5:CC$154,"✓",$B$5:$B$154,"D02*")&gt;0,"D02; ","")&amp;IF(COUNTIFS(CC$5:CC$154,"✓",$B$5:$B$154,"D03*")&gt;0,"D03; ","")&amp;IF(COUNTIFS(CC$5:CC$154,"✓",$B$5:$B$154,"D04*")&gt;0,"D04; ","")&amp;IF(COUNTIFS(CC$5:CC$154,"✓",$B$5:$B$154,"D05*")&gt;0,"D05; ","")&amp;IF(COUNTIFS(CC$5:CC$154,"✓",$B$5:$B$154,"D06*")&gt;0,"D06; ","")&amp;IF(COUNTIFS(CC$5:CC$154,"✓",$B$5:$B$154,"D07*")&gt;0,"D07; ","")&amp;IF(COUNTIFS(CC$5:CC$154,"✓",$B$5:$B$154,"D08*")&gt;0,"D08; ","")&amp;IF(COUNTIFS(CC$5:CC$154,"✓",$B$5:$B$154,"D09*")&gt;0,"D09; ","")&amp;IF(COUNTIFS(CC$5:CC$154,"✓",$B$5:$B$154,"D10*")&gt;0,"D10; ","")</f>
        <v>D02; </v>
      </c>
      <c r="CD161" s="0" t="str">
        <f aca="false">IF(COUNTIFS(CD$5:CD$154,"✓",$B$5:$B$154,"D01*")&gt;0,"D01; ","")&amp;IF(COUNTIFS(CD$5:CD$154,"✓",$B$5:$B$154,"D02*")&gt;0,"D02; ","")&amp;IF(COUNTIFS(CD$5:CD$154,"✓",$B$5:$B$154,"D03*")&gt;0,"D03; ","")&amp;IF(COUNTIFS(CD$5:CD$154,"✓",$B$5:$B$154,"D04*")&gt;0,"D04; ","")&amp;IF(COUNTIFS(CD$5:CD$154,"✓",$B$5:$B$154,"D05*")&gt;0,"D05; ","")&amp;IF(COUNTIFS(CD$5:CD$154,"✓",$B$5:$B$154,"D06*")&gt;0,"D06; ","")&amp;IF(COUNTIFS(CD$5:CD$154,"✓",$B$5:$B$154,"D07*")&gt;0,"D07; ","")&amp;IF(COUNTIFS(CD$5:CD$154,"✓",$B$5:$B$154,"D08*")&gt;0,"D08; ","")&amp;IF(COUNTIFS(CD$5:CD$154,"✓",$B$5:$B$154,"D09*")&gt;0,"D09; ","")&amp;IF(COUNTIFS(CD$5:CD$154,"✓",$B$5:$B$154,"D10*")&gt;0,"D10; ","")</f>
        <v>D02; </v>
      </c>
      <c r="CE161" s="0" t="str">
        <f aca="false">IF(COUNTIFS(CE$5:CE$154,"✓",$B$5:$B$154,"D01*")&gt;0,"D01; ","")&amp;IF(COUNTIFS(CE$5:CE$154,"✓",$B$5:$B$154,"D02*")&gt;0,"D02; ","")&amp;IF(COUNTIFS(CE$5:CE$154,"✓",$B$5:$B$154,"D03*")&gt;0,"D03; ","")&amp;IF(COUNTIFS(CE$5:CE$154,"✓",$B$5:$B$154,"D04*")&gt;0,"D04; ","")&amp;IF(COUNTIFS(CE$5:CE$154,"✓",$B$5:$B$154,"D05*")&gt;0,"D05; ","")&amp;IF(COUNTIFS(CE$5:CE$154,"✓",$B$5:$B$154,"D06*")&gt;0,"D06; ","")&amp;IF(COUNTIFS(CE$5:CE$154,"✓",$B$5:$B$154,"D07*")&gt;0,"D07; ","")&amp;IF(COUNTIFS(CE$5:CE$154,"✓",$B$5:$B$154,"D08*")&gt;0,"D08; ","")&amp;IF(COUNTIFS(CE$5:CE$154,"✓",$B$5:$B$154,"D09*")&gt;0,"D09; ","")&amp;IF(COUNTIFS(CE$5:CE$154,"✓",$B$5:$B$154,"D10*")&gt;0,"D10; ","")</f>
        <v>D06; </v>
      </c>
      <c r="CF161" s="0" t="str">
        <f aca="false">IF(COUNTIFS(CF$5:CF$154,"✓",$B$5:$B$154,"D01*")&gt;0,"D01; ","")&amp;IF(COUNTIFS(CF$5:CF$154,"✓",$B$5:$B$154,"D02*")&gt;0,"D02; ","")&amp;IF(COUNTIFS(CF$5:CF$154,"✓",$B$5:$B$154,"D03*")&gt;0,"D03; ","")&amp;IF(COUNTIFS(CF$5:CF$154,"✓",$B$5:$B$154,"D04*")&gt;0,"D04; ","")&amp;IF(COUNTIFS(CF$5:CF$154,"✓",$B$5:$B$154,"D05*")&gt;0,"D05; ","")&amp;IF(COUNTIFS(CF$5:CF$154,"✓",$B$5:$B$154,"D06*")&gt;0,"D06; ","")&amp;IF(COUNTIFS(CF$5:CF$154,"✓",$B$5:$B$154,"D07*")&gt;0,"D07; ","")&amp;IF(COUNTIFS(CF$5:CF$154,"✓",$B$5:$B$154,"D08*")&gt;0,"D08; ","")&amp;IF(COUNTIFS(CF$5:CF$154,"✓",$B$5:$B$154,"D09*")&gt;0,"D09; ","")&amp;IF(COUNTIFS(CF$5:CF$154,"✓",$B$5:$B$154,"D10*")&gt;0,"D10; ","")</f>
        <v>D06; D10; </v>
      </c>
      <c r="CG161" s="0" t="str">
        <f aca="false">IF(COUNTIFS(CG$5:CG$154,"✓",$B$5:$B$154,"D01*")&gt;0,"D01; ","")&amp;IF(COUNTIFS(CG$5:CG$154,"✓",$B$5:$B$154,"D02*")&gt;0,"D02; ","")&amp;IF(COUNTIFS(CG$5:CG$154,"✓",$B$5:$B$154,"D03*")&gt;0,"D03; ","")&amp;IF(COUNTIFS(CG$5:CG$154,"✓",$B$5:$B$154,"D04*")&gt;0,"D04; ","")&amp;IF(COUNTIFS(CG$5:CG$154,"✓",$B$5:$B$154,"D05*")&gt;0,"D05; ","")&amp;IF(COUNTIFS(CG$5:CG$154,"✓",$B$5:$B$154,"D06*")&gt;0,"D06; ","")&amp;IF(COUNTIFS(CG$5:CG$154,"✓",$B$5:$B$154,"D07*")&gt;0,"D07; ","")&amp;IF(COUNTIFS(CG$5:CG$154,"✓",$B$5:$B$154,"D08*")&gt;0,"D08; ","")&amp;IF(COUNTIFS(CG$5:CG$154,"✓",$B$5:$B$154,"D09*")&gt;0,"D09; ","")&amp;IF(COUNTIFS(CG$5:CG$154,"✓",$B$5:$B$154,"D10*")&gt;0,"D10; ","")</f>
        <v>D10; </v>
      </c>
      <c r="CH161" s="0" t="str">
        <f aca="false">IF(COUNTIFS(CH$5:CH$154,"✓",$B$5:$B$154,"D01*")&gt;0,"D01; ","")&amp;IF(COUNTIFS(CH$5:CH$154,"✓",$B$5:$B$154,"D02*")&gt;0,"D02; ","")&amp;IF(COUNTIFS(CH$5:CH$154,"✓",$B$5:$B$154,"D03*")&gt;0,"D03; ","")&amp;IF(COUNTIFS(CH$5:CH$154,"✓",$B$5:$B$154,"D04*")&gt;0,"D04; ","")&amp;IF(COUNTIFS(CH$5:CH$154,"✓",$B$5:$B$154,"D05*")&gt;0,"D05; ","")&amp;IF(COUNTIFS(CH$5:CH$154,"✓",$B$5:$B$154,"D06*")&gt;0,"D06; ","")&amp;IF(COUNTIFS(CH$5:CH$154,"✓",$B$5:$B$154,"D07*")&gt;0,"D07; ","")&amp;IF(COUNTIFS(CH$5:CH$154,"✓",$B$5:$B$154,"D08*")&gt;0,"D08; ","")&amp;IF(COUNTIFS(CH$5:CH$154,"✓",$B$5:$B$154,"D09*")&gt;0,"D09; ","")&amp;IF(COUNTIFS(CH$5:CH$154,"✓",$B$5:$B$154,"D10*")&gt;0,"D10; ","")</f>
        <v>D10; </v>
      </c>
      <c r="CI161" s="0" t="str">
        <f aca="false">IF(COUNTIFS(CI$5:CI$154,"✓",$B$5:$B$154,"D01*")&gt;0,"D01; ","")&amp;IF(COUNTIFS(CI$5:CI$154,"✓",$B$5:$B$154,"D02*")&gt;0,"D02; ","")&amp;IF(COUNTIFS(CI$5:CI$154,"✓",$B$5:$B$154,"D03*")&gt;0,"D03; ","")&amp;IF(COUNTIFS(CI$5:CI$154,"✓",$B$5:$B$154,"D04*")&gt;0,"D04; ","")&amp;IF(COUNTIFS(CI$5:CI$154,"✓",$B$5:$B$154,"D05*")&gt;0,"D05; ","")&amp;IF(COUNTIFS(CI$5:CI$154,"✓",$B$5:$B$154,"D06*")&gt;0,"D06; ","")&amp;IF(COUNTIFS(CI$5:CI$154,"✓",$B$5:$B$154,"D07*")&gt;0,"D07; ","")&amp;IF(COUNTIFS(CI$5:CI$154,"✓",$B$5:$B$154,"D08*")&gt;0,"D08; ","")&amp;IF(COUNTIFS(CI$5:CI$154,"✓",$B$5:$B$154,"D09*")&gt;0,"D09; ","")&amp;IF(COUNTIFS(CI$5:CI$154,"✓",$B$5:$B$154,"D10*")&gt;0,"D10; ","")</f>
        <v>D10; </v>
      </c>
      <c r="CJ161" s="0" t="str">
        <f aca="false">IF(COUNTIFS(CJ$5:CJ$154,"✓",$B$5:$B$154,"D01*")&gt;0,"D01; ","")&amp;IF(COUNTIFS(CJ$5:CJ$154,"✓",$B$5:$B$154,"D02*")&gt;0,"D02; ","")&amp;IF(COUNTIFS(CJ$5:CJ$154,"✓",$B$5:$B$154,"D03*")&gt;0,"D03; ","")&amp;IF(COUNTIFS(CJ$5:CJ$154,"✓",$B$5:$B$154,"D04*")&gt;0,"D04; ","")&amp;IF(COUNTIFS(CJ$5:CJ$154,"✓",$B$5:$B$154,"D05*")&gt;0,"D05; ","")&amp;IF(COUNTIFS(CJ$5:CJ$154,"✓",$B$5:$B$154,"D06*")&gt;0,"D06; ","")&amp;IF(COUNTIFS(CJ$5:CJ$154,"✓",$B$5:$B$154,"D07*")&gt;0,"D07; ","")&amp;IF(COUNTIFS(CJ$5:CJ$154,"✓",$B$5:$B$154,"D08*")&gt;0,"D08; ","")&amp;IF(COUNTIFS(CJ$5:CJ$154,"✓",$B$5:$B$154,"D09*")&gt;0,"D09; ","")&amp;IF(COUNTIFS(CJ$5:CJ$154,"✓",$B$5:$B$154,"D10*")&gt;0,"D10; ","")</f>
        <v>D01; D10; </v>
      </c>
      <c r="CK161" s="0" t="str">
        <f aca="false">IF(COUNTIFS(CK$5:CK$154,"✓",$B$5:$B$154,"D01*")&gt;0,"D01; ","")&amp;IF(COUNTIFS(CK$5:CK$154,"✓",$B$5:$B$154,"D02*")&gt;0,"D02; ","")&amp;IF(COUNTIFS(CK$5:CK$154,"✓",$B$5:$B$154,"D03*")&gt;0,"D03; ","")&amp;IF(COUNTIFS(CK$5:CK$154,"✓",$B$5:$B$154,"D04*")&gt;0,"D04; ","")&amp;IF(COUNTIFS(CK$5:CK$154,"✓",$B$5:$B$154,"D05*")&gt;0,"D05; ","")&amp;IF(COUNTIFS(CK$5:CK$154,"✓",$B$5:$B$154,"D06*")&gt;0,"D06; ","")&amp;IF(COUNTIFS(CK$5:CK$154,"✓",$B$5:$B$154,"D07*")&gt;0,"D07; ","")&amp;IF(COUNTIFS(CK$5:CK$154,"✓",$B$5:$B$154,"D08*")&gt;0,"D08; ","")&amp;IF(COUNTIFS(CK$5:CK$154,"✓",$B$5:$B$154,"D09*")&gt;0,"D09; ","")&amp;IF(COUNTIFS(CK$5:CK$154,"✓",$B$5:$B$154,"D10*")&gt;0,"D10; ","")</f>
        <v/>
      </c>
      <c r="CL161" s="0" t="str">
        <f aca="false">IF(COUNTIFS(CL$5:CL$154,"✓",$B$5:$B$154,"D01*")&gt;0,"D01; ","")&amp;IF(COUNTIFS(CL$5:CL$154,"✓",$B$5:$B$154,"D02*")&gt;0,"D02; ","")&amp;IF(COUNTIFS(CL$5:CL$154,"✓",$B$5:$B$154,"D03*")&gt;0,"D03; ","")&amp;IF(COUNTIFS(CL$5:CL$154,"✓",$B$5:$B$154,"D04*")&gt;0,"D04; ","")&amp;IF(COUNTIFS(CL$5:CL$154,"✓",$B$5:$B$154,"D05*")&gt;0,"D05; ","")&amp;IF(COUNTIFS(CL$5:CL$154,"✓",$B$5:$B$154,"D06*")&gt;0,"D06; ","")&amp;IF(COUNTIFS(CL$5:CL$154,"✓",$B$5:$B$154,"D07*")&gt;0,"D07; ","")&amp;IF(COUNTIFS(CL$5:CL$154,"✓",$B$5:$B$154,"D08*")&gt;0,"D08; ","")&amp;IF(COUNTIFS(CL$5:CL$154,"✓",$B$5:$B$154,"D09*")&gt;0,"D09; ","")&amp;IF(COUNTIFS(CL$5:CL$154,"✓",$B$5:$B$154,"D10*")&gt;0,"D10; ","")</f>
        <v/>
      </c>
      <c r="CM161" s="0" t="str">
        <f aca="false">IF(COUNTIFS(CM$5:CM$154,"✓",$B$5:$B$154,"D01*")&gt;0,"D01; ","")&amp;IF(COUNTIFS(CM$5:CM$154,"✓",$B$5:$B$154,"D02*")&gt;0,"D02; ","")&amp;IF(COUNTIFS(CM$5:CM$154,"✓",$B$5:$B$154,"D03*")&gt;0,"D03; ","")&amp;IF(COUNTIFS(CM$5:CM$154,"✓",$B$5:$B$154,"D04*")&gt;0,"D04; ","")&amp;IF(COUNTIFS(CM$5:CM$154,"✓",$B$5:$B$154,"D05*")&gt;0,"D05; ","")&amp;IF(COUNTIFS(CM$5:CM$154,"✓",$B$5:$B$154,"D06*")&gt;0,"D06; ","")&amp;IF(COUNTIFS(CM$5:CM$154,"✓",$B$5:$B$154,"D07*")&gt;0,"D07; ","")&amp;IF(COUNTIFS(CM$5:CM$154,"✓",$B$5:$B$154,"D08*")&gt;0,"D08; ","")&amp;IF(COUNTIFS(CM$5:CM$154,"✓",$B$5:$B$154,"D09*")&gt;0,"D09; ","")&amp;IF(COUNTIFS(CM$5:CM$154,"✓",$B$5:$B$154,"D10*")&gt;0,"D10; ","")</f>
        <v/>
      </c>
      <c r="CN161" s="0" t="str">
        <f aca="false">IF(COUNTIFS(CN$5:CN$154,"✓",$B$5:$B$154,"D01*")&gt;0,"D01; ","")&amp;IF(COUNTIFS(CN$5:CN$154,"✓",$B$5:$B$154,"D02*")&gt;0,"D02; ","")&amp;IF(COUNTIFS(CN$5:CN$154,"✓",$B$5:$B$154,"D03*")&gt;0,"D03; ","")&amp;IF(COUNTIFS(CN$5:CN$154,"✓",$B$5:$B$154,"D04*")&gt;0,"D04; ","")&amp;IF(COUNTIFS(CN$5:CN$154,"✓",$B$5:$B$154,"D05*")&gt;0,"D05; ","")&amp;IF(COUNTIFS(CN$5:CN$154,"✓",$B$5:$B$154,"D06*")&gt;0,"D06; ","")&amp;IF(COUNTIFS(CN$5:CN$154,"✓",$B$5:$B$154,"D07*")&gt;0,"D07; ","")&amp;IF(COUNTIFS(CN$5:CN$154,"✓",$B$5:$B$154,"D08*")&gt;0,"D08; ","")&amp;IF(COUNTIFS(CN$5:CN$154,"✓",$B$5:$B$154,"D09*")&gt;0,"D09; ","")&amp;IF(COUNTIFS(CN$5:CN$154,"✓",$B$5:$B$154,"D10*")&gt;0,"D10; ","")</f>
        <v/>
      </c>
      <c r="CO161" s="0" t="str">
        <f aca="false">IF(COUNTIFS(CO$5:CO$154,"✓",$B$5:$B$154,"D01*")&gt;0,"D01; ","")&amp;IF(COUNTIFS(CO$5:CO$154,"✓",$B$5:$B$154,"D02*")&gt;0,"D02; ","")&amp;IF(COUNTIFS(CO$5:CO$154,"✓",$B$5:$B$154,"D03*")&gt;0,"D03; ","")&amp;IF(COUNTIFS(CO$5:CO$154,"✓",$B$5:$B$154,"D04*")&gt;0,"D04; ","")&amp;IF(COUNTIFS(CO$5:CO$154,"✓",$B$5:$B$154,"D05*")&gt;0,"D05; ","")&amp;IF(COUNTIFS(CO$5:CO$154,"✓",$B$5:$B$154,"D06*")&gt;0,"D06; ","")&amp;IF(COUNTIFS(CO$5:CO$154,"✓",$B$5:$B$154,"D07*")&gt;0,"D07; ","")&amp;IF(COUNTIFS(CO$5:CO$154,"✓",$B$5:$B$154,"D08*")&gt;0,"D08; ","")&amp;IF(COUNTIFS(CO$5:CO$154,"✓",$B$5:$B$154,"D09*")&gt;0,"D09; ","")&amp;IF(COUNTIFS(CO$5:CO$154,"✓",$B$5:$B$154,"D10*")&gt;0,"D10; ","")</f>
        <v/>
      </c>
    </row>
    <row r="162" customFormat="false" ht="15" hidden="false" customHeight="false" outlineLevel="0" collapsed="false">
      <c r="A162" s="241"/>
      <c r="B162" s="241"/>
      <c r="C162" s="242" t="s">
        <v>1309</v>
      </c>
      <c r="D162" s="243" t="n">
        <f aca="false">COUNTIFS(D$5:D$154,"✓",03_能力總表_Master!$H$5:$H$154,"群晶*")</f>
        <v>0</v>
      </c>
      <c r="E162" s="243" t="n">
        <f aca="false">COUNTIFS(E$5:E$154,"✓",03_能力總表_Master!$H$5:$H$154,"群晶*")</f>
        <v>0</v>
      </c>
      <c r="F162" s="243" t="n">
        <f aca="false">COUNTIFS(F$5:F$154,"✓",03_能力總表_Master!$H$5:$H$154,"群晶*")</f>
        <v>0</v>
      </c>
      <c r="G162" s="243" t="n">
        <f aca="false">COUNTIFS(G$5:G$154,"✓",03_能力總表_Master!$H$5:$H$154,"群晶*")</f>
        <v>0</v>
      </c>
      <c r="H162" s="243" t="n">
        <f aca="false">COUNTIFS(H$5:H$154,"✓",03_能力總表_Master!$H$5:$H$154,"群晶*")</f>
        <v>0</v>
      </c>
      <c r="I162" s="243" t="n">
        <f aca="false">COUNTIFS(I$5:I$154,"✓",03_能力總表_Master!$H$5:$H$154,"群晶*")</f>
        <v>0</v>
      </c>
      <c r="J162" s="243" t="n">
        <f aca="false">COUNTIFS(J$5:J$154,"✓",03_能力總表_Master!$H$5:$H$154,"群晶*")</f>
        <v>1</v>
      </c>
      <c r="K162" s="243" t="n">
        <f aca="false">COUNTIFS(K$5:K$154,"✓",03_能力總表_Master!$H$5:$H$154,"群晶*")</f>
        <v>0</v>
      </c>
      <c r="L162" s="243" t="n">
        <f aca="false">COUNTIFS(L$5:L$154,"✓",03_能力總表_Master!$H$5:$H$154,"群晶*")</f>
        <v>0</v>
      </c>
      <c r="M162" s="243" t="n">
        <f aca="false">COUNTIFS(M$5:M$154,"✓",03_能力總表_Master!$H$5:$H$154,"群晶*")</f>
        <v>1</v>
      </c>
      <c r="N162" s="243" t="n">
        <f aca="false">COUNTIFS(N$5:N$154,"✓",03_能力總表_Master!$H$5:$H$154,"群晶*")</f>
        <v>0</v>
      </c>
      <c r="O162" s="243" t="n">
        <f aca="false">COUNTIFS(O$5:O$154,"✓",03_能力總表_Master!$H$5:$H$154,"群晶*")</f>
        <v>1</v>
      </c>
      <c r="P162" s="243" t="n">
        <f aca="false">COUNTIFS(P$5:P$154,"✓",03_能力總表_Master!$H$5:$H$154,"群晶*")</f>
        <v>0</v>
      </c>
      <c r="Q162" s="243" t="n">
        <f aca="false">COUNTIFS(Q$5:Q$154,"✓",03_能力總表_Master!$H$5:$H$154,"群晶*")</f>
        <v>0</v>
      </c>
      <c r="R162" s="243" t="n">
        <f aca="false">COUNTIFS(R$5:R$154,"✓",03_能力總表_Master!$H$5:$H$154,"群晶*")</f>
        <v>0</v>
      </c>
      <c r="S162" s="243" t="n">
        <f aca="false">COUNTIFS(S$5:S$154,"✓",03_能力總表_Master!$H$5:$H$154,"群晶*")</f>
        <v>0</v>
      </c>
      <c r="T162" s="243" t="n">
        <f aca="false">COUNTIFS(T$5:T$154,"✓",03_能力總表_Master!$H$5:$H$154,"群晶*")</f>
        <v>0</v>
      </c>
      <c r="U162" s="243" t="n">
        <f aca="false">COUNTIFS(U$5:U$154,"✓",03_能力總表_Master!$H$5:$H$154,"群晶*")</f>
        <v>0</v>
      </c>
      <c r="V162" s="243" t="n">
        <f aca="false">COUNTIFS(V$5:V$154,"✓",03_能力總表_Master!$H$5:$H$154,"群晶*")</f>
        <v>0</v>
      </c>
      <c r="W162" s="243" t="n">
        <f aca="false">COUNTIFS(W$5:W$154,"✓",03_能力總表_Master!$H$5:$H$154,"群晶*")</f>
        <v>0</v>
      </c>
      <c r="X162" s="243" t="n">
        <f aca="false">COUNTIFS(X$5:X$154,"✓",03_能力總表_Master!$H$5:$H$154,"群晶*")</f>
        <v>0</v>
      </c>
      <c r="Y162" s="243" t="n">
        <f aca="false">COUNTIFS(Y$5:Y$154,"✓",03_能力總表_Master!$H$5:$H$154,"群晶*")</f>
        <v>0</v>
      </c>
      <c r="Z162" s="243" t="n">
        <f aca="false">COUNTIFS(Z$5:Z$154,"✓",03_能力總表_Master!$H$5:$H$154,"群晶*")</f>
        <v>0</v>
      </c>
      <c r="AA162" s="243" t="n">
        <f aca="false">COUNTIFS(AA$5:AA$154,"✓",03_能力總表_Master!$H$5:$H$154,"群晶*")</f>
        <v>3</v>
      </c>
      <c r="AB162" s="243" t="n">
        <f aca="false">COUNTIFS(AB$5:AB$154,"✓",03_能力總表_Master!$H$5:$H$154,"群晶*")</f>
        <v>2</v>
      </c>
      <c r="AC162" s="243" t="n">
        <f aca="false">COUNTIFS(AC$5:AC$154,"✓",03_能力總表_Master!$H$5:$H$154,"群晶*")</f>
        <v>4</v>
      </c>
      <c r="AD162" s="243" t="n">
        <f aca="false">COUNTIFS(AD$5:AD$154,"✓",03_能力總表_Master!$H$5:$H$154,"群晶*")</f>
        <v>1</v>
      </c>
      <c r="AE162" s="243" t="n">
        <f aca="false">COUNTIFS(AE$5:AE$154,"✓",03_能力總表_Master!$H$5:$H$154,"群晶*")</f>
        <v>0</v>
      </c>
      <c r="AF162" s="243" t="n">
        <f aca="false">COUNTIFS(AF$5:AF$154,"✓",03_能力總表_Master!$H$5:$H$154,"群晶*")</f>
        <v>1</v>
      </c>
      <c r="AG162" s="243" t="n">
        <f aca="false">COUNTIFS(AG$5:AG$154,"✓",03_能力總表_Master!$H$5:$H$154,"群晶*")</f>
        <v>0</v>
      </c>
      <c r="AH162" s="243" t="n">
        <f aca="false">COUNTIFS(AH$5:AH$154,"✓",03_能力總表_Master!$H$5:$H$154,"群晶*")</f>
        <v>0</v>
      </c>
      <c r="AI162" s="243" t="n">
        <f aca="false">COUNTIFS(AI$5:AI$154,"✓",03_能力總表_Master!$H$5:$H$154,"群晶*")</f>
        <v>0</v>
      </c>
      <c r="AJ162" s="243" t="n">
        <f aca="false">COUNTIFS(AJ$5:AJ$154,"✓",03_能力總表_Master!$H$5:$H$154,"群晶*")</f>
        <v>0</v>
      </c>
      <c r="AK162" s="243" t="n">
        <f aca="false">COUNTIFS(AK$5:AK$154,"✓",03_能力總表_Master!$H$5:$H$154,"群晶*")</f>
        <v>0</v>
      </c>
      <c r="AL162" s="243" t="n">
        <f aca="false">COUNTIFS(AL$5:AL$154,"✓",03_能力總表_Master!$H$5:$H$154,"群晶*")</f>
        <v>0</v>
      </c>
      <c r="AM162" s="243" t="n">
        <f aca="false">COUNTIFS(AM$5:AM$154,"✓",03_能力總表_Master!$H$5:$H$154,"群晶*")</f>
        <v>0</v>
      </c>
      <c r="AN162" s="243" t="n">
        <f aca="false">COUNTIFS(AN$5:AN$154,"✓",03_能力總表_Master!$H$5:$H$154,"群晶*")</f>
        <v>1</v>
      </c>
      <c r="AO162" s="243" t="n">
        <f aca="false">COUNTIFS(AO$5:AO$154,"✓",03_能力總表_Master!$H$5:$H$154,"群晶*")</f>
        <v>0</v>
      </c>
      <c r="AP162" s="243" t="n">
        <f aca="false">COUNTIFS(AP$5:AP$154,"✓",03_能力總表_Master!$H$5:$H$154,"群晶*")</f>
        <v>1</v>
      </c>
      <c r="AQ162" s="243" t="n">
        <f aca="false">COUNTIFS(AQ$5:AQ$154,"✓",03_能力總表_Master!$H$5:$H$154,"群晶*")</f>
        <v>1</v>
      </c>
      <c r="AR162" s="243" t="n">
        <f aca="false">COUNTIFS(AR$5:AR$154,"✓",03_能力總表_Master!$H$5:$H$154,"群晶*")</f>
        <v>0</v>
      </c>
      <c r="AS162" s="243" t="n">
        <f aca="false">COUNTIFS(AS$5:AS$154,"✓",03_能力總表_Master!$H$5:$H$154,"群晶*")</f>
        <v>0</v>
      </c>
      <c r="AT162" s="243" t="n">
        <f aca="false">COUNTIFS(AT$5:AT$154,"✓",03_能力總表_Master!$H$5:$H$154,"群晶*")</f>
        <v>0</v>
      </c>
      <c r="AU162" s="243" t="n">
        <f aca="false">COUNTIFS(AU$5:AU$154,"✓",03_能力總表_Master!$H$5:$H$154,"群晶*")</f>
        <v>0</v>
      </c>
      <c r="AV162" s="243" t="n">
        <f aca="false">COUNTIFS(AV$5:AV$154,"✓",03_能力總表_Master!$H$5:$H$154,"群晶*")</f>
        <v>0</v>
      </c>
      <c r="AW162" s="243" t="n">
        <f aca="false">COUNTIFS(AW$5:AW$154,"✓",03_能力總表_Master!$H$5:$H$154,"群晶*")</f>
        <v>0</v>
      </c>
      <c r="AX162" s="243" t="n">
        <f aca="false">COUNTIFS(AX$5:AX$154,"✓",03_能力總表_Master!$H$5:$H$154,"群晶*")</f>
        <v>0</v>
      </c>
      <c r="AY162" s="243" t="n">
        <f aca="false">COUNTIFS(AY$5:AY$154,"✓",03_能力總表_Master!$H$5:$H$154,"群晶*")</f>
        <v>0</v>
      </c>
      <c r="AZ162" s="243" t="n">
        <f aca="false">COUNTIFS(AZ$5:AZ$154,"✓",03_能力總表_Master!$H$5:$H$154,"群晶*")</f>
        <v>0</v>
      </c>
      <c r="BA162" s="243" t="n">
        <f aca="false">COUNTIFS(BA$5:BA$154,"✓",03_能力總表_Master!$H$5:$H$154,"群晶*")</f>
        <v>0</v>
      </c>
      <c r="BB162" s="243" t="n">
        <f aca="false">COUNTIFS(BB$5:BB$154,"✓",03_能力總表_Master!$H$5:$H$154,"群晶*")</f>
        <v>0</v>
      </c>
      <c r="BC162" s="243" t="n">
        <f aca="false">COUNTIFS(BC$5:BC$154,"✓",03_能力總表_Master!$H$5:$H$154,"群晶*")</f>
        <v>2</v>
      </c>
      <c r="BD162" s="243" t="n">
        <f aca="false">COUNTIFS(BD$5:BD$154,"✓",03_能力總表_Master!$H$5:$H$154,"群晶*")</f>
        <v>0</v>
      </c>
      <c r="BE162" s="243" t="n">
        <f aca="false">COUNTIFS(BE$5:BE$154,"✓",03_能力總表_Master!$H$5:$H$154,"群晶*")</f>
        <v>1</v>
      </c>
      <c r="BF162" s="243" t="n">
        <f aca="false">COUNTIFS(BF$5:BF$154,"✓",03_能力總表_Master!$H$5:$H$154,"群晶*")</f>
        <v>0</v>
      </c>
      <c r="BG162" s="243" t="n">
        <f aca="false">COUNTIFS(BG$5:BG$154,"✓",03_能力總表_Master!$H$5:$H$154,"群晶*")</f>
        <v>0</v>
      </c>
      <c r="BH162" s="243" t="n">
        <f aca="false">COUNTIFS(BH$5:BH$154,"✓",03_能力總表_Master!$H$5:$H$154,"群晶*")</f>
        <v>1</v>
      </c>
      <c r="BI162" s="243" t="n">
        <f aca="false">COUNTIFS(BI$5:BI$154,"✓",03_能力總表_Master!$H$5:$H$154,"群晶*")</f>
        <v>0</v>
      </c>
      <c r="BJ162" s="243" t="n">
        <f aca="false">COUNTIFS(BJ$5:BJ$154,"✓",03_能力總表_Master!$H$5:$H$154,"群晶*")</f>
        <v>1</v>
      </c>
      <c r="BK162" s="243" t="n">
        <f aca="false">COUNTIFS(BK$5:BK$154,"✓",03_能力總表_Master!$H$5:$H$154,"群晶*")</f>
        <v>0</v>
      </c>
      <c r="BL162" s="243" t="n">
        <f aca="false">COUNTIFS(BL$5:BL$154,"✓",03_能力總表_Master!$H$5:$H$154,"群晶*")</f>
        <v>0</v>
      </c>
      <c r="BM162" s="243" t="n">
        <f aca="false">COUNTIFS(BM$5:BM$154,"✓",03_能力總表_Master!$H$5:$H$154,"群晶*")</f>
        <v>0</v>
      </c>
      <c r="BN162" s="243" t="n">
        <f aca="false">COUNTIFS(BN$5:BN$154,"✓",03_能力總表_Master!$H$5:$H$154,"群晶*")</f>
        <v>0</v>
      </c>
      <c r="BO162" s="243" t="n">
        <f aca="false">COUNTIFS(BO$5:BO$154,"✓",03_能力總表_Master!$H$5:$H$154,"群晶*")</f>
        <v>0</v>
      </c>
      <c r="BP162" s="243" t="n">
        <f aca="false">COUNTIFS(BP$5:BP$154,"✓",03_能力總表_Master!$H$5:$H$154,"群晶*")</f>
        <v>0</v>
      </c>
      <c r="BQ162" s="243" t="n">
        <f aca="false">COUNTIFS(BQ$5:BQ$154,"✓",03_能力總表_Master!$H$5:$H$154,"群晶*")</f>
        <v>0</v>
      </c>
      <c r="BR162" s="243" t="n">
        <f aca="false">COUNTIFS(BR$5:BR$154,"✓",03_能力總表_Master!$H$5:$H$154,"群晶*")</f>
        <v>1</v>
      </c>
      <c r="BS162" s="243" t="n">
        <f aca="false">COUNTIFS(BS$5:BS$154,"✓",03_能力總表_Master!$H$5:$H$154,"群晶*")</f>
        <v>0</v>
      </c>
      <c r="BT162" s="243" t="n">
        <f aca="false">COUNTIFS(BT$5:BT$154,"✓",03_能力總表_Master!$H$5:$H$154,"群晶*")</f>
        <v>0</v>
      </c>
      <c r="BU162" s="243" t="n">
        <f aca="false">COUNTIFS(BU$5:BU$154,"✓",03_能力總表_Master!$H$5:$H$154,"群晶*")</f>
        <v>0</v>
      </c>
      <c r="BV162" s="243" t="n">
        <f aca="false">COUNTIFS(BV$5:BV$154,"✓",03_能力總表_Master!$H$5:$H$154,"群晶*")</f>
        <v>0</v>
      </c>
      <c r="BW162" s="243" t="n">
        <f aca="false">COUNTIFS(BW$5:BW$154,"✓",03_能力總表_Master!$H$5:$H$154,"群晶*")</f>
        <v>0</v>
      </c>
      <c r="BX162" s="243" t="n">
        <f aca="false">COUNTIFS(BX$5:BX$154,"✓",03_能力總表_Master!$H$5:$H$154,"群晶*")</f>
        <v>0</v>
      </c>
      <c r="BY162" s="243" t="n">
        <f aca="false">COUNTIFS(BY$5:BY$154,"✓",03_能力總表_Master!$H$5:$H$154,"群晶*")</f>
        <v>0</v>
      </c>
      <c r="BZ162" s="243" t="n">
        <f aca="false">COUNTIFS(BZ$5:BZ$154,"✓",03_能力總表_Master!$H$5:$H$154,"群晶*")</f>
        <v>0</v>
      </c>
      <c r="CA162" s="243" t="n">
        <f aca="false">COUNTIFS(CA$5:CA$154,"✓",03_能力總表_Master!$H$5:$H$154,"群晶*")</f>
        <v>0</v>
      </c>
      <c r="CB162" s="243" t="n">
        <f aca="false">COUNTIFS(CB$5:CB$154,"✓",03_能力總表_Master!$H$5:$H$154,"群晶*")</f>
        <v>0</v>
      </c>
      <c r="CC162" s="243" t="n">
        <f aca="false">COUNTIFS(CC$5:CC$154,"✓",03_能力總表_Master!$H$5:$H$154,"群晶*")</f>
        <v>0</v>
      </c>
      <c r="CD162" s="243" t="n">
        <f aca="false">COUNTIFS(CD$5:CD$154,"✓",03_能力總表_Master!$H$5:$H$154,"群晶*")</f>
        <v>0</v>
      </c>
      <c r="CE162" s="243" t="n">
        <f aca="false">COUNTIFS(CE$5:CE$154,"✓",03_能力總表_Master!$H$5:$H$154,"群晶*")</f>
        <v>0</v>
      </c>
      <c r="CF162" s="243" t="n">
        <f aca="false">COUNTIFS(CF$5:CF$154,"✓",03_能力總表_Master!$H$5:$H$154,"群晶*")</f>
        <v>0</v>
      </c>
      <c r="CG162" s="243" t="n">
        <f aca="false">COUNTIFS(CG$5:CG$154,"✓",03_能力總表_Master!$H$5:$H$154,"群晶*")</f>
        <v>0</v>
      </c>
      <c r="CH162" s="243" t="n">
        <f aca="false">COUNTIFS(CH$5:CH$154,"✓",03_能力總表_Master!$H$5:$H$154,"群晶*")</f>
        <v>0</v>
      </c>
      <c r="CI162" s="243" t="n">
        <f aca="false">COUNTIFS(CI$5:CI$154,"✓",03_能力總表_Master!$H$5:$H$154,"群晶*")</f>
        <v>0</v>
      </c>
      <c r="CJ162" s="243" t="n">
        <f aca="false">COUNTIFS(CJ$5:CJ$154,"✓",03_能力總表_Master!$H$5:$H$154,"群晶*")</f>
        <v>0</v>
      </c>
      <c r="CK162" s="243" t="n">
        <f aca="false">COUNTIFS(CK$5:CK$154,"✓",03_能力總表_Master!$H$5:$H$154,"群晶*")</f>
        <v>0</v>
      </c>
      <c r="CL162" s="243" t="n">
        <f aca="false">COUNTIFS(CL$5:CL$154,"✓",03_能力總表_Master!$H$5:$H$154,"群晶*")</f>
        <v>0</v>
      </c>
      <c r="CM162" s="243" t="n">
        <f aca="false">COUNTIFS(CM$5:CM$154,"✓",03_能力總表_Master!$H$5:$H$154,"群晶*")</f>
        <v>0</v>
      </c>
      <c r="CN162" s="243" t="n">
        <f aca="false">COUNTIFS(CN$5:CN$154,"✓",03_能力總表_Master!$H$5:$H$154,"群晶*")</f>
        <v>0</v>
      </c>
      <c r="CO162" s="243" t="n">
        <f aca="false">COUNTIFS(CO$5:CO$154,"✓",03_能力總表_Master!$H$5:$H$154,"群晶*")</f>
        <v>0</v>
      </c>
    </row>
    <row r="163" customFormat="false" ht="15" hidden="false" customHeight="true" outlineLevel="0" collapsed="false">
      <c r="A163" s="98" t="s">
        <v>1310</v>
      </c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</row>
    <row r="164" customFormat="false" ht="15" hidden="false" customHeight="false" outlineLevel="0" collapsed="false">
      <c r="A164" s="98"/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</row>
    <row r="165" customFormat="false" ht="15" hidden="false" customHeight="false" outlineLevel="0" collapsed="false">
      <c r="A165" s="98"/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</row>
  </sheetData>
  <sheetProtection sheet="true" formatColumns="false" formatRows="false" autoFilter="false"/>
  <autoFilter ref="A4:CR154"/>
  <mergeCells count="3">
    <mergeCell ref="A1:L1"/>
    <mergeCell ref="A2:L2"/>
    <mergeCell ref="A163:AD165"/>
  </mergeCells>
  <conditionalFormatting sqref="D5:CO154">
    <cfRule type="expression" priority="2" aboveAverage="0" equalAverage="0" bottom="0" percent="0" rank="0" text="" dxfId="55">
      <formula>D5="✓"</formula>
    </cfRule>
  </conditionalFormatting>
  <dataValidations count="1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D5:CO154" type="list">
      <formula1>L_Check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44"/>
    <col collapsed="false" customWidth="true" hidden="false" outlineLevel="0" max="7" min="5" style="0" width="8"/>
    <col collapsed="false" customWidth="true" hidden="false" outlineLevel="0" max="8" min="8" style="0" width="26"/>
  </cols>
  <sheetData>
    <row r="1" customFormat="false" ht="30" hidden="false" customHeight="true" outlineLevel="0" collapsed="false">
      <c r="A1" s="1" t="s">
        <v>1311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4" t="s">
        <v>1312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946</v>
      </c>
    </row>
    <row r="4" customFormat="false" ht="17.15" hidden="false" customHeight="false" outlineLevel="0" collapsed="false">
      <c r="A4" s="35" t="s">
        <v>1313</v>
      </c>
    </row>
    <row r="5" customFormat="false" ht="19.5" hidden="false" customHeight="true" outlineLevel="0" collapsed="false">
      <c r="A5" s="36" t="s">
        <v>1314</v>
      </c>
      <c r="B5" s="36" t="s">
        <v>1315</v>
      </c>
      <c r="D5" s="36" t="s">
        <v>1316</v>
      </c>
    </row>
    <row r="6" customFormat="false" ht="26.85" hidden="false" customHeight="false" outlineLevel="0" collapsed="false">
      <c r="A6" s="244" t="s">
        <v>1317</v>
      </c>
      <c r="B6" s="245" t="s">
        <v>1318</v>
      </c>
      <c r="D6" s="246" t="s">
        <v>1319</v>
      </c>
    </row>
    <row r="7" customFormat="false" ht="29.85" hidden="false" customHeight="false" outlineLevel="0" collapsed="false">
      <c r="A7" s="244" t="s">
        <v>1320</v>
      </c>
      <c r="B7" s="245" t="s">
        <v>1321</v>
      </c>
      <c r="D7" s="246" t="s">
        <v>1322</v>
      </c>
    </row>
    <row r="8" customFormat="false" ht="29.85" hidden="false" customHeight="false" outlineLevel="0" collapsed="false">
      <c r="A8" s="244" t="s">
        <v>1323</v>
      </c>
      <c r="B8" s="245" t="s">
        <v>1324</v>
      </c>
      <c r="D8" s="246" t="s">
        <v>1325</v>
      </c>
    </row>
    <row r="9" customFormat="false" ht="22.35" hidden="false" customHeight="false" outlineLevel="0" collapsed="false">
      <c r="A9" s="244" t="s">
        <v>1326</v>
      </c>
      <c r="B9" s="245" t="s">
        <v>1327</v>
      </c>
      <c r="D9" s="246" t="s">
        <v>1328</v>
      </c>
    </row>
    <row r="10" customFormat="false" ht="29.85" hidden="false" customHeight="false" outlineLevel="0" collapsed="false">
      <c r="A10" s="244" t="s">
        <v>1329</v>
      </c>
      <c r="B10" s="245" t="s">
        <v>1330</v>
      </c>
      <c r="D10" s="246" t="s">
        <v>1331</v>
      </c>
    </row>
    <row r="11" customFormat="false" ht="29.85" hidden="false" customHeight="false" outlineLevel="0" collapsed="false">
      <c r="A11" s="244" t="s">
        <v>1332</v>
      </c>
      <c r="B11" s="247" t="s">
        <v>1333</v>
      </c>
      <c r="D11" s="246" t="s">
        <v>1334</v>
      </c>
    </row>
    <row r="12" customFormat="false" ht="29.85" hidden="false" customHeight="false" outlineLevel="0" collapsed="false">
      <c r="A12" s="244" t="s">
        <v>1335</v>
      </c>
      <c r="B12" s="245" t="s">
        <v>1336</v>
      </c>
      <c r="D12" s="246" t="s">
        <v>1337</v>
      </c>
    </row>
    <row r="13" customFormat="false" ht="29.85" hidden="false" customHeight="false" outlineLevel="0" collapsed="false">
      <c r="A13" s="244" t="s">
        <v>1338</v>
      </c>
      <c r="B13" s="245" t="s">
        <v>1339</v>
      </c>
      <c r="D13" s="246" t="s">
        <v>1340</v>
      </c>
    </row>
    <row r="14" customFormat="false" ht="29.85" hidden="false" customHeight="false" outlineLevel="0" collapsed="false">
      <c r="A14" s="244" t="s">
        <v>1341</v>
      </c>
      <c r="B14" s="245" t="s">
        <v>1342</v>
      </c>
      <c r="D14" s="246" t="s">
        <v>1343</v>
      </c>
    </row>
    <row r="15" customFormat="false" ht="29.85" hidden="false" customHeight="false" outlineLevel="0" collapsed="false">
      <c r="A15" s="244" t="s">
        <v>1344</v>
      </c>
      <c r="B15" s="248" t="n">
        <v>46266</v>
      </c>
      <c r="D15" s="246" t="s">
        <v>1345</v>
      </c>
    </row>
    <row r="16" customFormat="false" ht="26.85" hidden="false" customHeight="false" outlineLevel="0" collapsed="false">
      <c r="A16" s="244" t="s">
        <v>1346</v>
      </c>
      <c r="B16" s="245" t="n">
        <v>60</v>
      </c>
      <c r="D16" s="246" t="s">
        <v>1347</v>
      </c>
    </row>
    <row r="19" customFormat="false" ht="17.15" hidden="false" customHeight="false" outlineLevel="0" collapsed="false">
      <c r="A19" s="35" t="s">
        <v>1348</v>
      </c>
    </row>
    <row r="20" customFormat="false" ht="19.5" hidden="false" customHeight="true" outlineLevel="0" collapsed="false">
      <c r="A20" s="36" t="s">
        <v>1349</v>
      </c>
      <c r="B20" s="36" t="s">
        <v>1350</v>
      </c>
      <c r="C20" s="36" t="s">
        <v>1351</v>
      </c>
    </row>
    <row r="21" customFormat="false" ht="15" hidden="false" customHeight="false" outlineLevel="0" collapsed="false">
      <c r="A21" s="249" t="s">
        <v>1352</v>
      </c>
      <c r="B21" s="250" t="s">
        <v>1353</v>
      </c>
      <c r="C21" s="251" t="n">
        <v>0.35</v>
      </c>
    </row>
    <row r="22" customFormat="false" ht="15" hidden="false" customHeight="false" outlineLevel="0" collapsed="false">
      <c r="A22" s="249" t="s">
        <v>1354</v>
      </c>
      <c r="B22" s="250" t="s">
        <v>1355</v>
      </c>
      <c r="C22" s="251" t="n">
        <v>0.3</v>
      </c>
    </row>
    <row r="23" customFormat="false" ht="15" hidden="false" customHeight="false" outlineLevel="0" collapsed="false">
      <c r="A23" s="249" t="s">
        <v>1356</v>
      </c>
      <c r="B23" s="250" t="s">
        <v>1357</v>
      </c>
      <c r="C23" s="251" t="n">
        <v>0.35</v>
      </c>
    </row>
    <row r="24" customFormat="false" ht="15" hidden="false" customHeight="false" outlineLevel="0" collapsed="false">
      <c r="A24" s="252" t="s">
        <v>1358</v>
      </c>
      <c r="C24" s="253" t="n">
        <f aca="false">SUM(C21:C23)</f>
        <v>1</v>
      </c>
    </row>
    <row r="25" customFormat="false" ht="17.15" hidden="false" customHeight="false" outlineLevel="0" collapsed="false">
      <c r="A25" s="35" t="s">
        <v>1359</v>
      </c>
    </row>
    <row r="26" customFormat="false" ht="19.5" hidden="false" customHeight="true" outlineLevel="0" collapsed="false">
      <c r="A26" s="36" t="s">
        <v>1349</v>
      </c>
      <c r="B26" s="36" t="s">
        <v>1350</v>
      </c>
      <c r="C26" s="36" t="s">
        <v>1351</v>
      </c>
    </row>
    <row r="27" customFormat="false" ht="15" hidden="false" customHeight="false" outlineLevel="0" collapsed="false">
      <c r="A27" s="249" t="s">
        <v>1360</v>
      </c>
      <c r="B27" s="250" t="s">
        <v>1361</v>
      </c>
      <c r="C27" s="251" t="n">
        <v>0.35</v>
      </c>
    </row>
    <row r="28" customFormat="false" ht="15" hidden="false" customHeight="false" outlineLevel="0" collapsed="false">
      <c r="A28" s="249" t="s">
        <v>1362</v>
      </c>
      <c r="B28" s="250" t="s">
        <v>1363</v>
      </c>
      <c r="C28" s="251" t="n">
        <v>0.35</v>
      </c>
    </row>
    <row r="29" customFormat="false" ht="15" hidden="false" customHeight="false" outlineLevel="0" collapsed="false">
      <c r="A29" s="249" t="s">
        <v>1364</v>
      </c>
      <c r="B29" s="250" t="s">
        <v>1365</v>
      </c>
      <c r="C29" s="251" t="n">
        <v>0.3</v>
      </c>
    </row>
    <row r="30" customFormat="false" ht="15" hidden="false" customHeight="false" outlineLevel="0" collapsed="false">
      <c r="A30" s="252" t="s">
        <v>1358</v>
      </c>
      <c r="C30" s="253" t="n">
        <f aca="false">SUM(C27:C29)</f>
        <v>1</v>
      </c>
    </row>
    <row r="32" customFormat="false" ht="17.15" hidden="false" customHeight="false" outlineLevel="0" collapsed="false">
      <c r="A32" s="35" t="s">
        <v>1366</v>
      </c>
    </row>
    <row r="33" customFormat="false" ht="19.5" hidden="false" customHeight="true" outlineLevel="0" collapsed="false">
      <c r="A33" s="36" t="s">
        <v>921</v>
      </c>
      <c r="B33" s="36" t="s">
        <v>1367</v>
      </c>
      <c r="C33" s="36"/>
      <c r="D33" s="36"/>
      <c r="E33" s="36" t="s">
        <v>1368</v>
      </c>
      <c r="F33" s="36" t="s">
        <v>1369</v>
      </c>
      <c r="G33" s="36" t="s">
        <v>1370</v>
      </c>
      <c r="H33" s="36" t="s">
        <v>1371</v>
      </c>
    </row>
    <row r="34" customFormat="false" ht="17.15" hidden="false" customHeight="true" outlineLevel="0" collapsed="false">
      <c r="A34" s="254" t="s">
        <v>1372</v>
      </c>
      <c r="B34" s="250" t="s">
        <v>1373</v>
      </c>
      <c r="C34" s="250"/>
      <c r="D34" s="250"/>
      <c r="E34" s="255" t="n">
        <v>1</v>
      </c>
      <c r="F34" s="255" t="n">
        <v>4</v>
      </c>
      <c r="G34" s="256" t="n">
        <f aca="false">MAX(0,F34-E34)</f>
        <v>3</v>
      </c>
      <c r="H34" s="257" t="s">
        <v>1374</v>
      </c>
    </row>
    <row r="35" customFormat="false" ht="17.15" hidden="false" customHeight="true" outlineLevel="0" collapsed="false">
      <c r="A35" s="254" t="s">
        <v>1375</v>
      </c>
      <c r="B35" s="250" t="s">
        <v>1376</v>
      </c>
      <c r="C35" s="250"/>
      <c r="D35" s="250"/>
      <c r="E35" s="255" t="n">
        <v>1</v>
      </c>
      <c r="F35" s="255" t="n">
        <v>4</v>
      </c>
      <c r="G35" s="256" t="n">
        <f aca="false">MAX(0,F35-E35)</f>
        <v>3</v>
      </c>
      <c r="H35" s="257" t="s">
        <v>1374</v>
      </c>
    </row>
    <row r="36" customFormat="false" ht="17.15" hidden="false" customHeight="true" outlineLevel="0" collapsed="false">
      <c r="A36" s="254" t="s">
        <v>1377</v>
      </c>
      <c r="B36" s="250" t="s">
        <v>1378</v>
      </c>
      <c r="C36" s="250"/>
      <c r="D36" s="250"/>
      <c r="E36" s="255" t="n">
        <v>1</v>
      </c>
      <c r="F36" s="255" t="n">
        <v>4</v>
      </c>
      <c r="G36" s="256" t="n">
        <f aca="false">MAX(0,F36-E36)</f>
        <v>3</v>
      </c>
      <c r="H36" s="257" t="s">
        <v>1374</v>
      </c>
    </row>
    <row r="37" customFormat="false" ht="17.15" hidden="false" customHeight="true" outlineLevel="0" collapsed="false">
      <c r="A37" s="254" t="s">
        <v>1379</v>
      </c>
      <c r="B37" s="258" t="s">
        <v>1380</v>
      </c>
      <c r="C37" s="258"/>
      <c r="D37" s="258"/>
      <c r="E37" s="255" t="n">
        <v>1</v>
      </c>
      <c r="F37" s="255" t="n">
        <v>4</v>
      </c>
      <c r="G37" s="256" t="n">
        <f aca="false">MAX(0,F37-E37)</f>
        <v>3</v>
      </c>
      <c r="H37" s="257" t="s">
        <v>1374</v>
      </c>
    </row>
    <row r="38" customFormat="false" ht="17.15" hidden="false" customHeight="true" outlineLevel="0" collapsed="false">
      <c r="A38" s="254" t="s">
        <v>1381</v>
      </c>
      <c r="B38" s="250" t="s">
        <v>1382</v>
      </c>
      <c r="C38" s="250"/>
      <c r="D38" s="250"/>
      <c r="E38" s="255" t="n">
        <v>1</v>
      </c>
      <c r="F38" s="255" t="n">
        <v>4</v>
      </c>
      <c r="G38" s="256" t="n">
        <f aca="false">MAX(0,F38-E38)</f>
        <v>3</v>
      </c>
      <c r="H38" s="257" t="s">
        <v>1374</v>
      </c>
    </row>
    <row r="39" customFormat="false" ht="17.15" hidden="false" customHeight="true" outlineLevel="0" collapsed="false">
      <c r="A39" s="254" t="s">
        <v>1383</v>
      </c>
      <c r="B39" s="258" t="s">
        <v>1384</v>
      </c>
      <c r="C39" s="258"/>
      <c r="D39" s="258"/>
      <c r="E39" s="255" t="n">
        <v>1</v>
      </c>
      <c r="F39" s="255" t="n">
        <v>4</v>
      </c>
      <c r="G39" s="256" t="n">
        <f aca="false">MAX(0,F39-E39)</f>
        <v>3</v>
      </c>
      <c r="H39" s="257" t="s">
        <v>1374</v>
      </c>
    </row>
    <row r="40" customFormat="false" ht="17.15" hidden="false" customHeight="true" outlineLevel="0" collapsed="false">
      <c r="A40" s="254" t="s">
        <v>1385</v>
      </c>
      <c r="B40" s="250" t="s">
        <v>1386</v>
      </c>
      <c r="C40" s="250"/>
      <c r="D40" s="250"/>
      <c r="E40" s="255" t="n">
        <v>1</v>
      </c>
      <c r="F40" s="255" t="n">
        <v>4</v>
      </c>
      <c r="G40" s="256" t="n">
        <f aca="false">MAX(0,F40-E40)</f>
        <v>3</v>
      </c>
      <c r="H40" s="257" t="s">
        <v>1374</v>
      </c>
    </row>
    <row r="41" customFormat="false" ht="17.15" hidden="false" customHeight="true" outlineLevel="0" collapsed="false">
      <c r="A41" s="254" t="s">
        <v>1387</v>
      </c>
      <c r="B41" s="250" t="s">
        <v>1388</v>
      </c>
      <c r="C41" s="250"/>
      <c r="D41" s="250"/>
      <c r="E41" s="255" t="n">
        <v>1</v>
      </c>
      <c r="F41" s="255" t="n">
        <v>4</v>
      </c>
      <c r="G41" s="256" t="n">
        <f aca="false">MAX(0,F41-E41)</f>
        <v>3</v>
      </c>
      <c r="H41" s="257" t="s">
        <v>1374</v>
      </c>
    </row>
    <row r="42" customFormat="false" ht="17.15" hidden="false" customHeight="true" outlineLevel="0" collapsed="false">
      <c r="A42" s="254" t="s">
        <v>1389</v>
      </c>
      <c r="B42" s="250" t="s">
        <v>1390</v>
      </c>
      <c r="C42" s="250"/>
      <c r="D42" s="250"/>
      <c r="E42" s="255" t="n">
        <v>1</v>
      </c>
      <c r="F42" s="255" t="n">
        <v>4</v>
      </c>
      <c r="G42" s="256" t="n">
        <f aca="false">MAX(0,F42-E42)</f>
        <v>3</v>
      </c>
      <c r="H42" s="257" t="s">
        <v>1374</v>
      </c>
    </row>
    <row r="43" customFormat="false" ht="17.15" hidden="false" customHeight="true" outlineLevel="0" collapsed="false">
      <c r="A43" s="254" t="s">
        <v>1391</v>
      </c>
      <c r="B43" s="250" t="s">
        <v>1392</v>
      </c>
      <c r="C43" s="250"/>
      <c r="D43" s="250"/>
      <c r="E43" s="255" t="n">
        <v>1</v>
      </c>
      <c r="F43" s="255" t="n">
        <v>4</v>
      </c>
      <c r="G43" s="256" t="n">
        <f aca="false">MAX(0,F43-E43)</f>
        <v>3</v>
      </c>
      <c r="H43" s="257" t="s">
        <v>1374</v>
      </c>
    </row>
  </sheetData>
  <sheetProtection sheet="true" formatColumns="false" formatRows="false" autoFilter="false"/>
  <mergeCells count="13">
    <mergeCell ref="A1:H1"/>
    <mergeCell ref="A2:H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</mergeCells>
  <dataValidations count="3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E34:F43" type="list">
      <formula1>L_S05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H34:H43" type="list">
      <formula1>L_Conf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B12" type="list">
      <formula1>L_Txn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15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6.51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30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9"/>
    <col collapsed="false" customWidth="true" hidden="false" outlineLevel="0" max="11" min="11" style="0" width="24"/>
    <col collapsed="false" customWidth="true" hidden="false" outlineLevel="0" max="12" min="12" style="0" width="15"/>
    <col collapsed="false" customWidth="true" hidden="false" outlineLevel="0" max="13" min="13" style="0" width="9"/>
    <col collapsed="false" customWidth="true" hidden="false" outlineLevel="0" max="16" min="14" style="0" width="6"/>
    <col collapsed="false" customWidth="true" hidden="false" outlineLevel="0" max="17" min="17" style="0" width="7.5"/>
    <col collapsed="false" customWidth="true" hidden="false" outlineLevel="0" max="20" min="18" style="0" width="6"/>
    <col collapsed="false" customWidth="true" hidden="false" outlineLevel="0" max="21" min="21" style="0" width="7.5"/>
    <col collapsed="false" customWidth="true" hidden="false" outlineLevel="0" max="22" min="22" style="0" width="7"/>
    <col collapsed="false" customWidth="true" hidden="false" outlineLevel="0" max="23" min="23" style="0" width="12"/>
    <col collapsed="false" customWidth="true" hidden="true" outlineLevel="1" max="24" min="24" style="0" width="15"/>
    <col collapsed="false" customWidth="true" hidden="true" outlineLevel="1" max="25" min="25" style="0" width="21"/>
    <col collapsed="false" customWidth="true" hidden="true" outlineLevel="1" max="26" min="26" style="0" width="17"/>
    <col collapsed="false" customWidth="true" hidden="true" outlineLevel="1" max="27" min="27" style="0" width="11"/>
    <col collapsed="false" customWidth="true" hidden="true" outlineLevel="1" max="28" min="28" style="0" width="14"/>
    <col collapsed="false" customWidth="true" hidden="true" outlineLevel="1" max="29" min="29" style="0" width="26"/>
    <col collapsed="false" customWidth="true" hidden="true" outlineLevel="1" max="30" min="30" style="0" width="24"/>
    <col collapsed="false" customWidth="true" hidden="true" outlineLevel="1" max="31" min="31" style="0" width="16"/>
    <col collapsed="false" customWidth="true" hidden="false" outlineLevel="0" max="32" min="32" style="0" width="22"/>
    <col collapsed="false" customWidth="true" hidden="false" outlineLevel="0" max="33" min="33" style="0" width="17"/>
    <col collapsed="false" customWidth="true" hidden="false" outlineLevel="0" max="34" min="34" style="0" width="62"/>
    <col collapsed="false" customWidth="true" hidden="false" outlineLevel="0" max="35" min="35" style="0" width="7"/>
    <col collapsed="false" customWidth="true" hidden="false" outlineLevel="0" max="36" min="36" style="0" width="62"/>
  </cols>
  <sheetData>
    <row r="1" customFormat="false" ht="30" hidden="false" customHeight="true" outlineLevel="0" collapsed="false">
      <c r="A1" s="1" t="s">
        <v>1393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25.5" hidden="false" customHeight="true" outlineLevel="0" collapsed="false">
      <c r="A2" s="4" t="s">
        <v>1394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customFormat="false" ht="15" hidden="false" customHeight="false" outlineLevel="0" collapsed="false">
      <c r="A3" s="5" t="s">
        <v>946</v>
      </c>
    </row>
    <row r="4" customFormat="false" ht="33.75" hidden="false" customHeight="true" outlineLevel="0" collapsed="false">
      <c r="A4" s="220" t="s">
        <v>903</v>
      </c>
      <c r="B4" s="36" t="s">
        <v>1301</v>
      </c>
      <c r="C4" s="36" t="s">
        <v>1395</v>
      </c>
      <c r="D4" s="36" t="s">
        <v>1396</v>
      </c>
      <c r="E4" s="36" t="s">
        <v>1397</v>
      </c>
      <c r="F4" s="220" t="s">
        <v>1398</v>
      </c>
      <c r="G4" s="36" t="s">
        <v>1399</v>
      </c>
      <c r="H4" s="48" t="s">
        <v>1400</v>
      </c>
      <c r="I4" s="48" t="s">
        <v>1401</v>
      </c>
      <c r="J4" s="48" t="s">
        <v>1402</v>
      </c>
      <c r="K4" s="48" t="s">
        <v>1403</v>
      </c>
      <c r="L4" s="36" t="s">
        <v>1404</v>
      </c>
      <c r="M4" s="36" t="s">
        <v>1405</v>
      </c>
      <c r="N4" s="46" t="s">
        <v>1406</v>
      </c>
      <c r="O4" s="46" t="s">
        <v>1407</v>
      </c>
      <c r="P4" s="46" t="s">
        <v>1408</v>
      </c>
      <c r="Q4" s="46" t="s">
        <v>1409</v>
      </c>
      <c r="R4" s="9" t="s">
        <v>1410</v>
      </c>
      <c r="S4" s="9" t="s">
        <v>1411</v>
      </c>
      <c r="T4" s="9" t="s">
        <v>1412</v>
      </c>
      <c r="U4" s="9" t="s">
        <v>1413</v>
      </c>
      <c r="V4" s="47" t="s">
        <v>1414</v>
      </c>
      <c r="W4" s="115" t="s">
        <v>1415</v>
      </c>
      <c r="X4" s="36" t="s">
        <v>1416</v>
      </c>
      <c r="Y4" s="36" t="s">
        <v>1417</v>
      </c>
      <c r="Z4" s="36" t="s">
        <v>1418</v>
      </c>
      <c r="AA4" s="36" t="s">
        <v>1419</v>
      </c>
      <c r="AB4" s="259" t="s">
        <v>1420</v>
      </c>
      <c r="AC4" s="259" t="s">
        <v>1421</v>
      </c>
      <c r="AD4" s="259" t="s">
        <v>1422</v>
      </c>
      <c r="AE4" s="259" t="s">
        <v>1423</v>
      </c>
      <c r="AF4" s="115" t="s">
        <v>1424</v>
      </c>
      <c r="AG4" s="49" t="s">
        <v>216</v>
      </c>
      <c r="AH4" s="49" t="s">
        <v>217</v>
      </c>
      <c r="AI4" s="49" t="s">
        <v>218</v>
      </c>
      <c r="AJ4" s="49" t="s">
        <v>219</v>
      </c>
    </row>
    <row r="5" customFormat="false" ht="30" hidden="false" customHeight="true" outlineLevel="0" collapsed="false">
      <c r="A5" s="93" t="s">
        <v>1425</v>
      </c>
      <c r="B5" s="260" t="s">
        <v>1426</v>
      </c>
      <c r="C5" s="59" t="s">
        <v>226</v>
      </c>
      <c r="D5" s="60" t="s">
        <v>1427</v>
      </c>
      <c r="E5" s="107" t="s">
        <v>1428</v>
      </c>
      <c r="F5" s="95" t="s">
        <v>1429</v>
      </c>
      <c r="G5" s="107" t="s">
        <v>1430</v>
      </c>
      <c r="H5" s="60" t="s">
        <v>1431</v>
      </c>
      <c r="I5" s="59" t="s">
        <v>890</v>
      </c>
      <c r="J5" s="52" t="s">
        <v>1432</v>
      </c>
      <c r="K5" s="53" t="s">
        <v>1433</v>
      </c>
      <c r="L5" s="52" t="s">
        <v>1434</v>
      </c>
      <c r="M5" s="60" t="s">
        <v>1435</v>
      </c>
      <c r="N5" s="59" t="n">
        <v>5</v>
      </c>
      <c r="O5" s="59" t="n">
        <v>2</v>
      </c>
      <c r="P5" s="59" t="n">
        <v>3</v>
      </c>
      <c r="Q5" s="55" t="n">
        <f aca="false">ROUND(N5*02_情境權重_Scenario!$C$21+O5*02_情境權重_Scenario!$C$22+P5*02_情境權重_Scenario!$C$23,1)</f>
        <v>3.4</v>
      </c>
      <c r="R5" s="59" t="n">
        <v>2</v>
      </c>
      <c r="S5" s="59" t="n">
        <v>2</v>
      </c>
      <c r="T5" s="59" t="n">
        <v>2</v>
      </c>
      <c r="U5" s="55" t="n">
        <f aca="false">ROUND(R5*02_情境權重_Scenario!$C$27+S5*02_情境權重_Scenario!$C$28+T5*02_情境權重_Scenario!$C$29,1)</f>
        <v>2</v>
      </c>
      <c r="V5" s="60" t="s">
        <v>1436</v>
      </c>
      <c r="W5" s="261" t="str">
        <f aca="false">IF(OR(M5="未通過",V5="極高"),"暫緩 Hold",IF(AND(Q5&gt;=3.5,U5&gt;=3),"立即推進 Go",IF(Q5&gt;=3.5,"先補條件 Prepare",IF(U5&gt;=3,"快速小案 Quick-win","儲備觀察 Backlog"))))</f>
        <v>儲備觀察 Backlog</v>
      </c>
      <c r="X5" s="52"/>
      <c r="Y5" s="52" t="s">
        <v>1437</v>
      </c>
      <c r="Z5" s="53" t="s">
        <v>1438</v>
      </c>
      <c r="AA5" s="59" t="s">
        <v>1439</v>
      </c>
      <c r="AB5" s="59"/>
      <c r="AC5" s="52"/>
      <c r="AD5" s="52"/>
      <c r="AE5" s="60" t="s">
        <v>1440</v>
      </c>
      <c r="AF5" s="54" t="str">
        <f aca="false">IF($A5="","",16_能力商機矩陣_CapOppMap!$CQ5)</f>
        <v>OPP-01</v>
      </c>
      <c r="AG5" s="63" t="s">
        <v>235</v>
      </c>
      <c r="AH5" s="69" t="s">
        <v>1441</v>
      </c>
      <c r="AI5" s="65" t="s">
        <v>237</v>
      </c>
      <c r="AJ5" s="66" t="s">
        <v>1442</v>
      </c>
    </row>
    <row r="6" customFormat="false" ht="30" hidden="false" customHeight="true" outlineLevel="0" collapsed="false">
      <c r="A6" s="93" t="s">
        <v>1443</v>
      </c>
      <c r="B6" s="260" t="s">
        <v>1426</v>
      </c>
      <c r="C6" s="59" t="s">
        <v>226</v>
      </c>
      <c r="D6" s="60" t="s">
        <v>1427</v>
      </c>
      <c r="E6" s="107" t="s">
        <v>1444</v>
      </c>
      <c r="F6" s="95" t="s">
        <v>1445</v>
      </c>
      <c r="G6" s="107" t="s">
        <v>1446</v>
      </c>
      <c r="H6" s="60" t="s">
        <v>1431</v>
      </c>
      <c r="I6" s="59" t="s">
        <v>890</v>
      </c>
      <c r="J6" s="52" t="s">
        <v>1447</v>
      </c>
      <c r="K6" s="53" t="s">
        <v>1448</v>
      </c>
      <c r="L6" s="52" t="s">
        <v>1449</v>
      </c>
      <c r="M6" s="60" t="s">
        <v>1435</v>
      </c>
      <c r="N6" s="59" t="n">
        <v>5</v>
      </c>
      <c r="O6" s="59" t="n">
        <v>2</v>
      </c>
      <c r="P6" s="59" t="n">
        <v>3</v>
      </c>
      <c r="Q6" s="55" t="n">
        <f aca="false">ROUND(N6*02_情境權重_Scenario!$C$21+O6*02_情境權重_Scenario!$C$22+P6*02_情境權重_Scenario!$C$23,1)</f>
        <v>3.4</v>
      </c>
      <c r="R6" s="59" t="n">
        <v>2</v>
      </c>
      <c r="S6" s="59" t="n">
        <v>2</v>
      </c>
      <c r="T6" s="59" t="n">
        <v>2</v>
      </c>
      <c r="U6" s="55" t="n">
        <f aca="false">ROUND(R6*02_情境權重_Scenario!$C$27+S6*02_情境權重_Scenario!$C$28+T6*02_情境權重_Scenario!$C$29,1)</f>
        <v>2</v>
      </c>
      <c r="V6" s="60" t="s">
        <v>1436</v>
      </c>
      <c r="W6" s="261" t="str">
        <f aca="false">IF(OR(M6="未通過",V6="極高"),"暫緩 Hold",IF(AND(Q6&gt;=3.5,U6&gt;=3),"立即推進 Go",IF(Q6&gt;=3.5,"先補條件 Prepare",IF(U6&gt;=3,"快速小案 Quick-win","儲備觀察 Backlog"))))</f>
        <v>儲備觀察 Backlog</v>
      </c>
      <c r="X6" s="52" t="s">
        <v>1425</v>
      </c>
      <c r="Y6" s="52" t="s">
        <v>1450</v>
      </c>
      <c r="Z6" s="53" t="s">
        <v>1438</v>
      </c>
      <c r="AA6" s="59" t="s">
        <v>1439</v>
      </c>
      <c r="AB6" s="59"/>
      <c r="AC6" s="52"/>
      <c r="AD6" s="52"/>
      <c r="AE6" s="60" t="s">
        <v>1440</v>
      </c>
      <c r="AF6" s="54" t="str">
        <f aca="false">IF($A6="","",16_能力商機矩陣_CapOppMap!$CQ6)</f>
        <v>OPP-01</v>
      </c>
      <c r="AG6" s="63" t="s">
        <v>235</v>
      </c>
      <c r="AH6" s="64" t="s">
        <v>250</v>
      </c>
      <c r="AI6" s="67" t="s">
        <v>251</v>
      </c>
      <c r="AJ6" s="66" t="s">
        <v>1442</v>
      </c>
    </row>
    <row r="7" customFormat="false" ht="30" hidden="false" customHeight="true" outlineLevel="0" collapsed="false">
      <c r="A7" s="93" t="s">
        <v>1451</v>
      </c>
      <c r="B7" s="260" t="s">
        <v>1426</v>
      </c>
      <c r="C7" s="59" t="s">
        <v>243</v>
      </c>
      <c r="D7" s="60" t="s">
        <v>1427</v>
      </c>
      <c r="E7" s="107" t="s">
        <v>1452</v>
      </c>
      <c r="F7" s="95" t="s">
        <v>1453</v>
      </c>
      <c r="G7" s="107" t="s">
        <v>1454</v>
      </c>
      <c r="H7" s="60" t="s">
        <v>1431</v>
      </c>
      <c r="I7" s="59" t="s">
        <v>231</v>
      </c>
      <c r="J7" s="52" t="s">
        <v>1455</v>
      </c>
      <c r="K7" s="53" t="s">
        <v>1456</v>
      </c>
      <c r="L7" s="52" t="s">
        <v>1457</v>
      </c>
      <c r="M7" s="60" t="s">
        <v>1435</v>
      </c>
      <c r="N7" s="59" t="n">
        <v>5</v>
      </c>
      <c r="O7" s="59" t="n">
        <v>2</v>
      </c>
      <c r="P7" s="59" t="n">
        <v>4</v>
      </c>
      <c r="Q7" s="55" t="n">
        <f aca="false">ROUND(N7*02_情境權重_Scenario!$C$21+O7*02_情境權重_Scenario!$C$22+P7*02_情境權重_Scenario!$C$23,1)</f>
        <v>3.8</v>
      </c>
      <c r="R7" s="59" t="n">
        <v>2</v>
      </c>
      <c r="S7" s="59" t="n">
        <v>2</v>
      </c>
      <c r="T7" s="59" t="n">
        <v>2</v>
      </c>
      <c r="U7" s="55" t="n">
        <f aca="false">ROUND(R7*02_情境權重_Scenario!$C$27+S7*02_情境權重_Scenario!$C$28+T7*02_情境權重_Scenario!$C$29,1)</f>
        <v>2</v>
      </c>
      <c r="V7" s="60" t="s">
        <v>1436</v>
      </c>
      <c r="W7" s="261" t="str">
        <f aca="false">IF(OR(M7="未通過",V7="極高"),"暫緩 Hold",IF(AND(Q7&gt;=3.5,U7&gt;=3),"立即推進 Go",IF(Q7&gt;=3.5,"先補條件 Prepare",IF(U7&gt;=3,"快速小案 Quick-win","儲備觀察 Backlog"))))</f>
        <v>先補條件 Prepare</v>
      </c>
      <c r="X7" s="52" t="s">
        <v>1425</v>
      </c>
      <c r="Y7" s="52" t="s">
        <v>1458</v>
      </c>
      <c r="Z7" s="53" t="s">
        <v>1438</v>
      </c>
      <c r="AA7" s="59" t="s">
        <v>1439</v>
      </c>
      <c r="AB7" s="59"/>
      <c r="AC7" s="52"/>
      <c r="AD7" s="52"/>
      <c r="AE7" s="60" t="s">
        <v>1440</v>
      </c>
      <c r="AF7" s="54" t="str">
        <f aca="false">IF($A7="","",16_能力商機矩陣_CapOppMap!$CQ7)</f>
        <v>OPP-01; OPP-03; OPP-04</v>
      </c>
      <c r="AG7" s="63" t="s">
        <v>235</v>
      </c>
      <c r="AH7" s="64" t="s">
        <v>250</v>
      </c>
      <c r="AI7" s="67" t="s">
        <v>251</v>
      </c>
      <c r="AJ7" s="66" t="s">
        <v>1442</v>
      </c>
    </row>
    <row r="8" customFormat="false" ht="30" hidden="false" customHeight="true" outlineLevel="0" collapsed="false">
      <c r="A8" s="93" t="s">
        <v>1459</v>
      </c>
      <c r="B8" s="260" t="s">
        <v>1426</v>
      </c>
      <c r="C8" s="59" t="s">
        <v>243</v>
      </c>
      <c r="D8" s="60" t="s">
        <v>1427</v>
      </c>
      <c r="E8" s="107" t="s">
        <v>1460</v>
      </c>
      <c r="F8" s="95" t="s">
        <v>1461</v>
      </c>
      <c r="G8" s="107" t="s">
        <v>1462</v>
      </c>
      <c r="H8" s="60" t="s">
        <v>1431</v>
      </c>
      <c r="I8" s="59" t="s">
        <v>424</v>
      </c>
      <c r="J8" s="52" t="s">
        <v>1463</v>
      </c>
      <c r="K8" s="53" t="s">
        <v>1464</v>
      </c>
      <c r="L8" s="52" t="s">
        <v>1465</v>
      </c>
      <c r="M8" s="60" t="s">
        <v>1435</v>
      </c>
      <c r="N8" s="59" t="n">
        <v>5</v>
      </c>
      <c r="O8" s="59" t="n">
        <v>3</v>
      </c>
      <c r="P8" s="59" t="n">
        <v>5</v>
      </c>
      <c r="Q8" s="55" t="n">
        <f aca="false">ROUND(N8*02_情境權重_Scenario!$C$21+O8*02_情境權重_Scenario!$C$22+P8*02_情境權重_Scenario!$C$23,1)</f>
        <v>4.4</v>
      </c>
      <c r="R8" s="59" t="n">
        <v>2</v>
      </c>
      <c r="S8" s="59" t="n">
        <v>2</v>
      </c>
      <c r="T8" s="59" t="n">
        <v>2</v>
      </c>
      <c r="U8" s="55" t="n">
        <f aca="false">ROUND(R8*02_情境權重_Scenario!$C$27+S8*02_情境權重_Scenario!$C$28+T8*02_情境權重_Scenario!$C$29,1)</f>
        <v>2</v>
      </c>
      <c r="V8" s="60" t="s">
        <v>1436</v>
      </c>
      <c r="W8" s="261" t="str">
        <f aca="false">IF(OR(M8="未通過",V8="極高"),"暫緩 Hold",IF(AND(Q8&gt;=3.5,U8&gt;=3),"立即推進 Go",IF(Q8&gt;=3.5,"先補條件 Prepare",IF(U8&gt;=3,"快速小案 Quick-win","儲備觀察 Backlog"))))</f>
        <v>先補條件 Prepare</v>
      </c>
      <c r="X8" s="52" t="s">
        <v>1425</v>
      </c>
      <c r="Y8" s="52" t="s">
        <v>1466</v>
      </c>
      <c r="Z8" s="53" t="s">
        <v>1438</v>
      </c>
      <c r="AA8" s="59" t="s">
        <v>1439</v>
      </c>
      <c r="AB8" s="59"/>
      <c r="AC8" s="52"/>
      <c r="AD8" s="52"/>
      <c r="AE8" s="60" t="s">
        <v>1440</v>
      </c>
      <c r="AF8" s="54" t="str">
        <f aca="false">IF($A8="","",16_能力商機矩陣_CapOppMap!$CQ8)</f>
        <v>OPP-01; OPP-22; OPP-28; OPP-59</v>
      </c>
      <c r="AG8" s="63" t="s">
        <v>235</v>
      </c>
      <c r="AH8" s="64" t="s">
        <v>1467</v>
      </c>
      <c r="AI8" s="65" t="s">
        <v>237</v>
      </c>
      <c r="AJ8" s="66" t="s">
        <v>1442</v>
      </c>
    </row>
    <row r="9" customFormat="false" ht="30" hidden="false" customHeight="true" outlineLevel="0" collapsed="false">
      <c r="A9" s="93" t="s">
        <v>1468</v>
      </c>
      <c r="B9" s="260" t="s">
        <v>1426</v>
      </c>
      <c r="C9" s="59" t="s">
        <v>226</v>
      </c>
      <c r="D9" s="60" t="s">
        <v>1427</v>
      </c>
      <c r="E9" s="107" t="s">
        <v>1469</v>
      </c>
      <c r="F9" s="95" t="s">
        <v>1470</v>
      </c>
      <c r="G9" s="107" t="s">
        <v>1471</v>
      </c>
      <c r="H9" s="60" t="s">
        <v>1431</v>
      </c>
      <c r="I9" s="59" t="s">
        <v>890</v>
      </c>
      <c r="J9" s="52" t="s">
        <v>1472</v>
      </c>
      <c r="K9" s="53" t="s">
        <v>1473</v>
      </c>
      <c r="L9" s="52" t="s">
        <v>1449</v>
      </c>
      <c r="M9" s="60" t="s">
        <v>1435</v>
      </c>
      <c r="N9" s="59" t="n">
        <v>5</v>
      </c>
      <c r="O9" s="59" t="n">
        <v>2</v>
      </c>
      <c r="P9" s="59" t="n">
        <v>3</v>
      </c>
      <c r="Q9" s="55" t="n">
        <f aca="false">ROUND(N9*02_情境權重_Scenario!$C$21+O9*02_情境權重_Scenario!$C$22+P9*02_情境權重_Scenario!$C$23,1)</f>
        <v>3.4</v>
      </c>
      <c r="R9" s="59" t="n">
        <v>2</v>
      </c>
      <c r="S9" s="59" t="n">
        <v>2</v>
      </c>
      <c r="T9" s="59" t="n">
        <v>2</v>
      </c>
      <c r="U9" s="55" t="n">
        <f aca="false">ROUND(R9*02_情境權重_Scenario!$C$27+S9*02_情境權重_Scenario!$C$28+T9*02_情境權重_Scenario!$C$29,1)</f>
        <v>2</v>
      </c>
      <c r="V9" s="60" t="s">
        <v>1436</v>
      </c>
      <c r="W9" s="261" t="str">
        <f aca="false">IF(OR(M9="未通過",V9="極高"),"暫緩 Hold",IF(AND(Q9&gt;=3.5,U9&gt;=3),"立即推進 Go",IF(Q9&gt;=3.5,"先補條件 Prepare",IF(U9&gt;=3,"快速小案 Quick-win","儲備觀察 Backlog"))))</f>
        <v>儲備觀察 Backlog</v>
      </c>
      <c r="X9" s="52" t="s">
        <v>1425</v>
      </c>
      <c r="Y9" s="52" t="s">
        <v>1474</v>
      </c>
      <c r="Z9" s="53" t="s">
        <v>1438</v>
      </c>
      <c r="AA9" s="59" t="s">
        <v>1439</v>
      </c>
      <c r="AB9" s="59"/>
      <c r="AC9" s="52"/>
      <c r="AD9" s="52"/>
      <c r="AE9" s="60" t="s">
        <v>1440</v>
      </c>
      <c r="AF9" s="54" t="str">
        <f aca="false">IF($A9="","",16_能力商機矩陣_CapOppMap!$CQ9)</f>
        <v>OPP-01</v>
      </c>
      <c r="AG9" s="63" t="s">
        <v>235</v>
      </c>
      <c r="AH9" s="64" t="s">
        <v>250</v>
      </c>
      <c r="AI9" s="67" t="s">
        <v>251</v>
      </c>
      <c r="AJ9" s="66" t="s">
        <v>1442</v>
      </c>
    </row>
    <row r="10" customFormat="false" ht="30" hidden="false" customHeight="true" outlineLevel="0" collapsed="false">
      <c r="A10" s="93" t="s">
        <v>1475</v>
      </c>
      <c r="B10" s="260" t="s">
        <v>1426</v>
      </c>
      <c r="C10" s="59" t="s">
        <v>269</v>
      </c>
      <c r="D10" s="60" t="s">
        <v>1427</v>
      </c>
      <c r="E10" s="107" t="s">
        <v>1476</v>
      </c>
      <c r="F10" s="95" t="s">
        <v>1477</v>
      </c>
      <c r="G10" s="107" t="s">
        <v>1478</v>
      </c>
      <c r="H10" s="60" t="s">
        <v>1431</v>
      </c>
      <c r="I10" s="59" t="s">
        <v>273</v>
      </c>
      <c r="J10" s="52" t="s">
        <v>1479</v>
      </c>
      <c r="K10" s="53" t="s">
        <v>1480</v>
      </c>
      <c r="L10" s="52" t="s">
        <v>1457</v>
      </c>
      <c r="M10" s="60" t="s">
        <v>1435</v>
      </c>
      <c r="N10" s="59" t="n">
        <v>5</v>
      </c>
      <c r="O10" s="59" t="n">
        <v>2</v>
      </c>
      <c r="P10" s="59" t="n">
        <v>4</v>
      </c>
      <c r="Q10" s="55" t="n">
        <f aca="false">ROUND(N10*02_情境權重_Scenario!$C$21+O10*02_情境權重_Scenario!$C$22+P10*02_情境權重_Scenario!$C$23,1)</f>
        <v>3.8</v>
      </c>
      <c r="R10" s="59" t="n">
        <v>2</v>
      </c>
      <c r="S10" s="59" t="n">
        <v>2</v>
      </c>
      <c r="T10" s="59" t="n">
        <v>2</v>
      </c>
      <c r="U10" s="55" t="n">
        <f aca="false">ROUND(R10*02_情境權重_Scenario!$C$27+S10*02_情境權重_Scenario!$C$28+T10*02_情境權重_Scenario!$C$29,1)</f>
        <v>2</v>
      </c>
      <c r="V10" s="60" t="s">
        <v>1436</v>
      </c>
      <c r="W10" s="261" t="str">
        <f aca="false">IF(OR(M10="未通過",V10="極高"),"暫緩 Hold",IF(AND(Q10&gt;=3.5,U10&gt;=3),"立即推進 Go",IF(Q10&gt;=3.5,"先補條件 Prepare",IF(U10&gt;=3,"快速小案 Quick-win","儲備觀察 Backlog"))))</f>
        <v>先補條件 Prepare</v>
      </c>
      <c r="X10" s="52" t="s">
        <v>1451</v>
      </c>
      <c r="Y10" s="52" t="s">
        <v>1481</v>
      </c>
      <c r="Z10" s="53" t="s">
        <v>1438</v>
      </c>
      <c r="AA10" s="59" t="s">
        <v>1439</v>
      </c>
      <c r="AB10" s="59"/>
      <c r="AC10" s="52"/>
      <c r="AD10" s="52"/>
      <c r="AE10" s="60" t="s">
        <v>1440</v>
      </c>
      <c r="AF10" s="54" t="str">
        <f aca="false">IF($A10="","",16_能力商機矩陣_CapOppMap!$CQ10)</f>
        <v>OPP-01; OPP-04; OPP-85</v>
      </c>
      <c r="AG10" s="63" t="s">
        <v>235</v>
      </c>
      <c r="AH10" s="64" t="s">
        <v>250</v>
      </c>
      <c r="AI10" s="67" t="s">
        <v>251</v>
      </c>
      <c r="AJ10" s="66" t="s">
        <v>1442</v>
      </c>
    </row>
    <row r="11" customFormat="false" ht="30" hidden="false" customHeight="true" outlineLevel="0" collapsed="false">
      <c r="A11" s="93" t="s">
        <v>1482</v>
      </c>
      <c r="B11" s="260" t="s">
        <v>1483</v>
      </c>
      <c r="C11" s="59" t="s">
        <v>243</v>
      </c>
      <c r="D11" s="60" t="s">
        <v>1484</v>
      </c>
      <c r="E11" s="107" t="s">
        <v>1485</v>
      </c>
      <c r="F11" s="95" t="s">
        <v>1486</v>
      </c>
      <c r="G11" s="107" t="s">
        <v>1487</v>
      </c>
      <c r="H11" s="60" t="s">
        <v>1431</v>
      </c>
      <c r="I11" s="59" t="s">
        <v>246</v>
      </c>
      <c r="J11" s="52" t="s">
        <v>1488</v>
      </c>
      <c r="K11" s="53" t="s">
        <v>1489</v>
      </c>
      <c r="L11" s="52" t="s">
        <v>1490</v>
      </c>
      <c r="M11" s="60" t="s">
        <v>1435</v>
      </c>
      <c r="N11" s="59" t="n">
        <v>5</v>
      </c>
      <c r="O11" s="59" t="n">
        <v>5</v>
      </c>
      <c r="P11" s="59" t="n">
        <v>4</v>
      </c>
      <c r="Q11" s="55" t="n">
        <f aca="false">ROUND(N11*02_情境權重_Scenario!$C$21+O11*02_情境權重_Scenario!$C$22+P11*02_情境權重_Scenario!$C$23,1)</f>
        <v>4.7</v>
      </c>
      <c r="R11" s="59" t="n">
        <v>3</v>
      </c>
      <c r="S11" s="59" t="n">
        <v>3</v>
      </c>
      <c r="T11" s="59" t="n">
        <v>2</v>
      </c>
      <c r="U11" s="55" t="n">
        <f aca="false">ROUND(R11*02_情境權重_Scenario!$C$27+S11*02_情境權重_Scenario!$C$28+T11*02_情境權重_Scenario!$C$29,1)</f>
        <v>2.7</v>
      </c>
      <c r="V11" s="60" t="s">
        <v>1436</v>
      </c>
      <c r="W11" s="261" t="str">
        <f aca="false">IF(OR(M11="未通過",V11="極高"),"暫緩 Hold",IF(AND(Q11&gt;=3.5,U11&gt;=3),"立即推進 Go",IF(Q11&gt;=3.5,"先補條件 Prepare",IF(U11&gt;=3,"快速小案 Quick-win","儲備觀察 Backlog"))))</f>
        <v>先補條件 Prepare</v>
      </c>
      <c r="X11" s="52" t="s">
        <v>1443</v>
      </c>
      <c r="Y11" s="52" t="s">
        <v>1491</v>
      </c>
      <c r="Z11" s="53" t="s">
        <v>1438</v>
      </c>
      <c r="AA11" s="59" t="s">
        <v>1439</v>
      </c>
      <c r="AB11" s="59"/>
      <c r="AC11" s="52"/>
      <c r="AD11" s="52"/>
      <c r="AE11" s="60" t="s">
        <v>1440</v>
      </c>
      <c r="AF11" s="54" t="str">
        <f aca="false">IF($A11="","",16_能力商機矩陣_CapOppMap!$CQ11)</f>
        <v>OPP-02; OPP-75</v>
      </c>
      <c r="AG11" s="79" t="s">
        <v>707</v>
      </c>
      <c r="AH11" s="64" t="s">
        <v>250</v>
      </c>
      <c r="AI11" s="67" t="s">
        <v>251</v>
      </c>
      <c r="AJ11" s="66" t="s">
        <v>1492</v>
      </c>
    </row>
    <row r="12" customFormat="false" ht="30" hidden="false" customHeight="true" outlineLevel="0" collapsed="false">
      <c r="A12" s="93" t="s">
        <v>1493</v>
      </c>
      <c r="B12" s="260" t="s">
        <v>1483</v>
      </c>
      <c r="C12" s="59" t="s">
        <v>243</v>
      </c>
      <c r="D12" s="60" t="s">
        <v>1484</v>
      </c>
      <c r="E12" s="107" t="s">
        <v>1494</v>
      </c>
      <c r="F12" s="95" t="s">
        <v>1495</v>
      </c>
      <c r="G12" s="107" t="s">
        <v>1496</v>
      </c>
      <c r="H12" s="60" t="s">
        <v>1431</v>
      </c>
      <c r="I12" s="59" t="s">
        <v>246</v>
      </c>
      <c r="J12" s="52" t="s">
        <v>1479</v>
      </c>
      <c r="K12" s="53" t="s">
        <v>1480</v>
      </c>
      <c r="L12" s="52" t="s">
        <v>1497</v>
      </c>
      <c r="M12" s="60" t="s">
        <v>1435</v>
      </c>
      <c r="N12" s="59" t="n">
        <v>5</v>
      </c>
      <c r="O12" s="59" t="n">
        <v>5</v>
      </c>
      <c r="P12" s="59" t="n">
        <v>5</v>
      </c>
      <c r="Q12" s="55" t="n">
        <f aca="false">ROUND(N12*02_情境權重_Scenario!$C$21+O12*02_情境權重_Scenario!$C$22+P12*02_情境權重_Scenario!$C$23,1)</f>
        <v>5</v>
      </c>
      <c r="R12" s="59" t="n">
        <v>3</v>
      </c>
      <c r="S12" s="59" t="n">
        <v>3</v>
      </c>
      <c r="T12" s="59" t="n">
        <v>2</v>
      </c>
      <c r="U12" s="55" t="n">
        <f aca="false">ROUND(R12*02_情境權重_Scenario!$C$27+S12*02_情境權重_Scenario!$C$28+T12*02_情境權重_Scenario!$C$29,1)</f>
        <v>2.7</v>
      </c>
      <c r="V12" s="60" t="s">
        <v>1436</v>
      </c>
      <c r="W12" s="261" t="str">
        <f aca="false">IF(OR(M12="未通過",V12="極高"),"暫緩 Hold",IF(AND(Q12&gt;=3.5,U12&gt;=3),"立即推進 Go",IF(Q12&gt;=3.5,"先補條件 Prepare",IF(U12&gt;=3,"快速小案 Quick-win","儲備觀察 Backlog"))))</f>
        <v>先補條件 Prepare</v>
      </c>
      <c r="X12" s="52" t="s">
        <v>1482</v>
      </c>
      <c r="Y12" s="52" t="s">
        <v>1498</v>
      </c>
      <c r="Z12" s="53" t="s">
        <v>1438</v>
      </c>
      <c r="AA12" s="59" t="s">
        <v>1439</v>
      </c>
      <c r="AB12" s="59"/>
      <c r="AC12" s="52"/>
      <c r="AD12" s="52"/>
      <c r="AE12" s="60" t="s">
        <v>1440</v>
      </c>
      <c r="AF12" s="54" t="str">
        <f aca="false">IF($A12="","",16_能力商機矩陣_CapOppMap!$CQ12)</f>
        <v>OPP-02; OPP-03; OPP-04; OPP-74; OPP-75</v>
      </c>
      <c r="AG12" s="79" t="s">
        <v>707</v>
      </c>
      <c r="AH12" s="64" t="s">
        <v>250</v>
      </c>
      <c r="AI12" s="67" t="s">
        <v>251</v>
      </c>
      <c r="AJ12" s="66" t="s">
        <v>1492</v>
      </c>
    </row>
    <row r="13" customFormat="false" ht="30" hidden="false" customHeight="true" outlineLevel="0" collapsed="false">
      <c r="A13" s="93" t="s">
        <v>1499</v>
      </c>
      <c r="B13" s="260" t="s">
        <v>1483</v>
      </c>
      <c r="C13" s="59" t="s">
        <v>243</v>
      </c>
      <c r="D13" s="60" t="s">
        <v>1484</v>
      </c>
      <c r="E13" s="107" t="s">
        <v>1500</v>
      </c>
      <c r="F13" s="95" t="s">
        <v>1501</v>
      </c>
      <c r="G13" s="107" t="s">
        <v>1502</v>
      </c>
      <c r="H13" s="60" t="s">
        <v>1431</v>
      </c>
      <c r="I13" s="59" t="s">
        <v>785</v>
      </c>
      <c r="J13" s="52" t="s">
        <v>1488</v>
      </c>
      <c r="K13" s="53" t="s">
        <v>1503</v>
      </c>
      <c r="L13" s="52" t="s">
        <v>1449</v>
      </c>
      <c r="M13" s="60" t="s">
        <v>1435</v>
      </c>
      <c r="N13" s="59" t="n">
        <v>5</v>
      </c>
      <c r="O13" s="59" t="n">
        <v>5</v>
      </c>
      <c r="P13" s="59" t="n">
        <v>4</v>
      </c>
      <c r="Q13" s="55" t="n">
        <f aca="false">ROUND(N13*02_情境權重_Scenario!$C$21+O13*02_情境權重_Scenario!$C$22+P13*02_情境權重_Scenario!$C$23,1)</f>
        <v>4.7</v>
      </c>
      <c r="R13" s="59" t="n">
        <v>3</v>
      </c>
      <c r="S13" s="59" t="n">
        <v>3</v>
      </c>
      <c r="T13" s="59" t="n">
        <v>2</v>
      </c>
      <c r="U13" s="55" t="n">
        <f aca="false">ROUND(R13*02_情境權重_Scenario!$C$27+S13*02_情境權重_Scenario!$C$28+T13*02_情境權重_Scenario!$C$29,1)</f>
        <v>2.7</v>
      </c>
      <c r="V13" s="60" t="s">
        <v>1436</v>
      </c>
      <c r="W13" s="261" t="str">
        <f aca="false">IF(OR(M13="未通過",V13="極高"),"暫緩 Hold",IF(AND(Q13&gt;=3.5,U13&gt;=3),"立即推進 Go",IF(Q13&gt;=3.5,"先補條件 Prepare",IF(U13&gt;=3,"快速小案 Quick-win","儲備觀察 Backlog"))))</f>
        <v>先補條件 Prepare</v>
      </c>
      <c r="X13" s="52" t="s">
        <v>1504</v>
      </c>
      <c r="Y13" s="52" t="s">
        <v>1505</v>
      </c>
      <c r="Z13" s="53" t="s">
        <v>1438</v>
      </c>
      <c r="AA13" s="59" t="s">
        <v>1439</v>
      </c>
      <c r="AB13" s="59"/>
      <c r="AC13" s="52"/>
      <c r="AD13" s="52"/>
      <c r="AE13" s="60" t="s">
        <v>1440</v>
      </c>
      <c r="AF13" s="54" t="str">
        <f aca="false">IF($A13="","",16_能力商機矩陣_CapOppMap!$CQ13)</f>
        <v>OPP-02; OPP-74</v>
      </c>
      <c r="AG13" s="79" t="s">
        <v>707</v>
      </c>
      <c r="AH13" s="64" t="s">
        <v>250</v>
      </c>
      <c r="AI13" s="67" t="s">
        <v>251</v>
      </c>
      <c r="AJ13" s="66" t="s">
        <v>1492</v>
      </c>
    </row>
    <row r="14" customFormat="false" ht="30" hidden="false" customHeight="true" outlineLevel="0" collapsed="false">
      <c r="A14" s="93" t="s">
        <v>1506</v>
      </c>
      <c r="B14" s="260" t="s">
        <v>1483</v>
      </c>
      <c r="C14" s="59" t="s">
        <v>243</v>
      </c>
      <c r="D14" s="60" t="s">
        <v>1484</v>
      </c>
      <c r="E14" s="107" t="s">
        <v>1507</v>
      </c>
      <c r="F14" s="95" t="s">
        <v>1508</v>
      </c>
      <c r="G14" s="107" t="s">
        <v>1509</v>
      </c>
      <c r="H14" s="60" t="s">
        <v>1431</v>
      </c>
      <c r="I14" s="59" t="s">
        <v>246</v>
      </c>
      <c r="J14" s="52" t="s">
        <v>1510</v>
      </c>
      <c r="K14" s="53" t="s">
        <v>1511</v>
      </c>
      <c r="L14" s="52" t="s">
        <v>1512</v>
      </c>
      <c r="M14" s="60" t="s">
        <v>1435</v>
      </c>
      <c r="N14" s="59" t="n">
        <v>5</v>
      </c>
      <c r="O14" s="59" t="n">
        <v>5</v>
      </c>
      <c r="P14" s="59" t="n">
        <v>4</v>
      </c>
      <c r="Q14" s="55" t="n">
        <f aca="false">ROUND(N14*02_情境權重_Scenario!$C$21+O14*02_情境權重_Scenario!$C$22+P14*02_情境權重_Scenario!$C$23,1)</f>
        <v>4.7</v>
      </c>
      <c r="R14" s="59" t="n">
        <v>3</v>
      </c>
      <c r="S14" s="59" t="n">
        <v>3</v>
      </c>
      <c r="T14" s="59" t="n">
        <v>2</v>
      </c>
      <c r="U14" s="55" t="n">
        <f aca="false">ROUND(R14*02_情境權重_Scenario!$C$27+S14*02_情境權重_Scenario!$C$28+T14*02_情境權重_Scenario!$C$29,1)</f>
        <v>2.7</v>
      </c>
      <c r="V14" s="60" t="s">
        <v>1436</v>
      </c>
      <c r="W14" s="261" t="str">
        <f aca="false">IF(OR(M14="未通過",V14="極高"),"暫緩 Hold",IF(AND(Q14&gt;=3.5,U14&gt;=3),"立即推進 Go",IF(Q14&gt;=3.5,"先補條件 Prepare",IF(U14&gt;=3,"快速小案 Quick-win","儲備觀察 Backlog"))))</f>
        <v>先補條件 Prepare</v>
      </c>
      <c r="X14" s="52" t="s">
        <v>1493</v>
      </c>
      <c r="Y14" s="52" t="s">
        <v>1513</v>
      </c>
      <c r="Z14" s="53" t="s">
        <v>1438</v>
      </c>
      <c r="AA14" s="59" t="s">
        <v>1439</v>
      </c>
      <c r="AB14" s="59"/>
      <c r="AC14" s="52"/>
      <c r="AD14" s="52"/>
      <c r="AE14" s="60" t="s">
        <v>1440</v>
      </c>
      <c r="AF14" s="54" t="str">
        <f aca="false">IF($A14="","",16_能力商機矩陣_CapOppMap!$CQ14)</f>
        <v>OPP-02; OPP-72; OPP-79</v>
      </c>
      <c r="AG14" s="79" t="s">
        <v>707</v>
      </c>
      <c r="AH14" s="64" t="s">
        <v>250</v>
      </c>
      <c r="AI14" s="67" t="s">
        <v>251</v>
      </c>
      <c r="AJ14" s="66" t="s">
        <v>1492</v>
      </c>
    </row>
    <row r="15" customFormat="false" ht="30" hidden="false" customHeight="true" outlineLevel="0" collapsed="false">
      <c r="A15" s="93" t="s">
        <v>1514</v>
      </c>
      <c r="B15" s="260" t="s">
        <v>1483</v>
      </c>
      <c r="C15" s="59" t="s">
        <v>243</v>
      </c>
      <c r="D15" s="60" t="s">
        <v>1484</v>
      </c>
      <c r="E15" s="107" t="s">
        <v>1515</v>
      </c>
      <c r="F15" s="95" t="s">
        <v>1516</v>
      </c>
      <c r="G15" s="107" t="s">
        <v>1517</v>
      </c>
      <c r="H15" s="60" t="s">
        <v>1431</v>
      </c>
      <c r="I15" s="59" t="s">
        <v>785</v>
      </c>
      <c r="J15" s="52" t="s">
        <v>1479</v>
      </c>
      <c r="K15" s="53" t="s">
        <v>1518</v>
      </c>
      <c r="L15" s="52" t="s">
        <v>1490</v>
      </c>
      <c r="M15" s="60" t="s">
        <v>1435</v>
      </c>
      <c r="N15" s="59" t="n">
        <v>5</v>
      </c>
      <c r="O15" s="59" t="n">
        <v>5</v>
      </c>
      <c r="P15" s="59" t="n">
        <v>5</v>
      </c>
      <c r="Q15" s="55" t="n">
        <f aca="false">ROUND(N15*02_情境權重_Scenario!$C$21+O15*02_情境權重_Scenario!$C$22+P15*02_情境權重_Scenario!$C$23,1)</f>
        <v>5</v>
      </c>
      <c r="R15" s="59" t="n">
        <v>3</v>
      </c>
      <c r="S15" s="59" t="n">
        <v>3</v>
      </c>
      <c r="T15" s="59" t="n">
        <v>2</v>
      </c>
      <c r="U15" s="55" t="n">
        <f aca="false">ROUND(R15*02_情境權重_Scenario!$C$27+S15*02_情境權重_Scenario!$C$28+T15*02_情境權重_Scenario!$C$29,1)</f>
        <v>2.7</v>
      </c>
      <c r="V15" s="60" t="s">
        <v>1436</v>
      </c>
      <c r="W15" s="261" t="str">
        <f aca="false">IF(OR(M15="未通過",V15="極高"),"暫緩 Hold",IF(AND(Q15&gt;=3.5,U15&gt;=3),"立即推進 Go",IF(Q15&gt;=3.5,"先補條件 Prepare",IF(U15&gt;=3,"快速小案 Quick-win","儲備觀察 Backlog"))))</f>
        <v>先補條件 Prepare</v>
      </c>
      <c r="X15" s="52" t="s">
        <v>1482</v>
      </c>
      <c r="Y15" s="52" t="s">
        <v>1519</v>
      </c>
      <c r="Z15" s="53" t="s">
        <v>1438</v>
      </c>
      <c r="AA15" s="59" t="s">
        <v>1439</v>
      </c>
      <c r="AB15" s="59"/>
      <c r="AC15" s="52"/>
      <c r="AD15" s="52"/>
      <c r="AE15" s="60" t="s">
        <v>1440</v>
      </c>
      <c r="AF15" s="54" t="str">
        <f aca="false">IF($A15="","",16_能力商機矩陣_CapOppMap!$CQ15)</f>
        <v>OPP-02; OPP-77; OPP-78; OPP-79</v>
      </c>
      <c r="AG15" s="79" t="s">
        <v>707</v>
      </c>
      <c r="AH15" s="64" t="s">
        <v>250</v>
      </c>
      <c r="AI15" s="67" t="s">
        <v>251</v>
      </c>
      <c r="AJ15" s="66" t="s">
        <v>1492</v>
      </c>
    </row>
    <row r="16" customFormat="false" ht="30" hidden="false" customHeight="true" outlineLevel="0" collapsed="false">
      <c r="A16" s="93" t="s">
        <v>1520</v>
      </c>
      <c r="B16" s="260" t="s">
        <v>1483</v>
      </c>
      <c r="C16" s="59" t="s">
        <v>243</v>
      </c>
      <c r="D16" s="60" t="s">
        <v>1484</v>
      </c>
      <c r="E16" s="107" t="s">
        <v>1521</v>
      </c>
      <c r="F16" s="95" t="s">
        <v>1522</v>
      </c>
      <c r="G16" s="107" t="s">
        <v>1523</v>
      </c>
      <c r="H16" s="60" t="s">
        <v>1431</v>
      </c>
      <c r="I16" s="59" t="s">
        <v>785</v>
      </c>
      <c r="J16" s="52" t="s">
        <v>1488</v>
      </c>
      <c r="K16" s="53" t="s">
        <v>1489</v>
      </c>
      <c r="L16" s="52" t="s">
        <v>1512</v>
      </c>
      <c r="M16" s="60" t="s">
        <v>1435</v>
      </c>
      <c r="N16" s="59" t="n">
        <v>5</v>
      </c>
      <c r="O16" s="59" t="n">
        <v>5</v>
      </c>
      <c r="P16" s="59" t="n">
        <v>3</v>
      </c>
      <c r="Q16" s="55" t="n">
        <f aca="false">ROUND(N16*02_情境權重_Scenario!$C$21+O16*02_情境權重_Scenario!$C$22+P16*02_情境權重_Scenario!$C$23,1)</f>
        <v>4.3</v>
      </c>
      <c r="R16" s="59" t="n">
        <v>3</v>
      </c>
      <c r="S16" s="59" t="n">
        <v>3</v>
      </c>
      <c r="T16" s="59" t="n">
        <v>2</v>
      </c>
      <c r="U16" s="55" t="n">
        <f aca="false">ROUND(R16*02_情境權重_Scenario!$C$27+S16*02_情境權重_Scenario!$C$28+T16*02_情境權重_Scenario!$C$29,1)</f>
        <v>2.7</v>
      </c>
      <c r="V16" s="60" t="s">
        <v>1436</v>
      </c>
      <c r="W16" s="261" t="str">
        <f aca="false">IF(OR(M16="未通過",V16="極高"),"暫緩 Hold",IF(AND(Q16&gt;=3.5,U16&gt;=3),"立即推進 Go",IF(Q16&gt;=3.5,"先補條件 Prepare",IF(U16&gt;=3,"快速小案 Quick-win","儲備觀察 Backlog"))))</f>
        <v>先補條件 Prepare</v>
      </c>
      <c r="X16" s="52" t="s">
        <v>1493</v>
      </c>
      <c r="Y16" s="52" t="s">
        <v>1524</v>
      </c>
      <c r="Z16" s="53" t="s">
        <v>1438</v>
      </c>
      <c r="AA16" s="59" t="s">
        <v>1439</v>
      </c>
      <c r="AB16" s="59"/>
      <c r="AC16" s="52"/>
      <c r="AD16" s="52"/>
      <c r="AE16" s="60" t="s">
        <v>1440</v>
      </c>
      <c r="AF16" s="54" t="str">
        <f aca="false">IF($A16="","",16_能力商機矩陣_CapOppMap!$CQ16)</f>
        <v>OPP-02</v>
      </c>
      <c r="AG16" s="79" t="s">
        <v>707</v>
      </c>
      <c r="AH16" s="64" t="s">
        <v>250</v>
      </c>
      <c r="AI16" s="67" t="s">
        <v>251</v>
      </c>
      <c r="AJ16" s="66" t="s">
        <v>1492</v>
      </c>
    </row>
    <row r="17" customFormat="false" ht="30" hidden="false" customHeight="true" outlineLevel="0" collapsed="false">
      <c r="A17" s="93" t="s">
        <v>1525</v>
      </c>
      <c r="B17" s="260" t="s">
        <v>1526</v>
      </c>
      <c r="C17" s="59" t="s">
        <v>243</v>
      </c>
      <c r="D17" s="60" t="s">
        <v>1527</v>
      </c>
      <c r="E17" s="107" t="s">
        <v>1528</v>
      </c>
      <c r="F17" s="95" t="s">
        <v>1529</v>
      </c>
      <c r="G17" s="107" t="s">
        <v>1530</v>
      </c>
      <c r="H17" s="60" t="s">
        <v>1431</v>
      </c>
      <c r="I17" s="59" t="s">
        <v>283</v>
      </c>
      <c r="J17" s="52" t="s">
        <v>1531</v>
      </c>
      <c r="K17" s="53" t="s">
        <v>1532</v>
      </c>
      <c r="L17" s="52" t="s">
        <v>1533</v>
      </c>
      <c r="M17" s="60" t="s">
        <v>1435</v>
      </c>
      <c r="N17" s="59" t="n">
        <v>5</v>
      </c>
      <c r="O17" s="59" t="n">
        <v>4</v>
      </c>
      <c r="P17" s="59" t="n">
        <v>4</v>
      </c>
      <c r="Q17" s="55" t="n">
        <f aca="false">ROUND(N17*02_情境權重_Scenario!$C$21+O17*02_情境權重_Scenario!$C$22+P17*02_情境權重_Scenario!$C$23,1)</f>
        <v>4.4</v>
      </c>
      <c r="R17" s="59" t="n">
        <v>2</v>
      </c>
      <c r="S17" s="59" t="n">
        <v>3</v>
      </c>
      <c r="T17" s="59" t="n">
        <v>2</v>
      </c>
      <c r="U17" s="55" t="n">
        <f aca="false">ROUND(R17*02_情境權重_Scenario!$C$27+S17*02_情境權重_Scenario!$C$28+T17*02_情境權重_Scenario!$C$29,1)</f>
        <v>2.4</v>
      </c>
      <c r="V17" s="60" t="s">
        <v>1436</v>
      </c>
      <c r="W17" s="261" t="str">
        <f aca="false">IF(OR(M17="未通過",V17="極高"),"暫緩 Hold",IF(AND(Q17&gt;=3.5,U17&gt;=3),"立即推進 Go",IF(Q17&gt;=3.5,"先補條件 Prepare",IF(U17&gt;=3,"快速小案 Quick-win","儲備觀察 Backlog"))))</f>
        <v>先補條件 Prepare</v>
      </c>
      <c r="X17" s="52" t="s">
        <v>1534</v>
      </c>
      <c r="Y17" s="52" t="s">
        <v>1535</v>
      </c>
      <c r="Z17" s="53" t="s">
        <v>1438</v>
      </c>
      <c r="AA17" s="59" t="s">
        <v>1439</v>
      </c>
      <c r="AB17" s="59"/>
      <c r="AC17" s="52"/>
      <c r="AD17" s="52"/>
      <c r="AE17" s="60" t="s">
        <v>1440</v>
      </c>
      <c r="AF17" s="54" t="str">
        <f aca="false">IF($A17="","",16_能力商機矩陣_CapOppMap!$CQ17)</f>
        <v>OPP-05; OPP-06; OPP-07</v>
      </c>
      <c r="AG17" s="71" t="s">
        <v>287</v>
      </c>
      <c r="AH17" s="64" t="s">
        <v>250</v>
      </c>
      <c r="AI17" s="67" t="s">
        <v>251</v>
      </c>
      <c r="AJ17" s="72" t="s">
        <v>1536</v>
      </c>
    </row>
    <row r="18" customFormat="false" ht="30" hidden="false" customHeight="true" outlineLevel="0" collapsed="false">
      <c r="A18" s="93" t="s">
        <v>1537</v>
      </c>
      <c r="B18" s="260" t="s">
        <v>1526</v>
      </c>
      <c r="C18" s="59" t="s">
        <v>269</v>
      </c>
      <c r="D18" s="60" t="s">
        <v>1527</v>
      </c>
      <c r="E18" s="107" t="s">
        <v>1538</v>
      </c>
      <c r="F18" s="95" t="s">
        <v>1539</v>
      </c>
      <c r="G18" s="107" t="s">
        <v>1540</v>
      </c>
      <c r="H18" s="60" t="s">
        <v>1431</v>
      </c>
      <c r="I18" s="59" t="s">
        <v>283</v>
      </c>
      <c r="J18" s="52" t="s">
        <v>1541</v>
      </c>
      <c r="K18" s="53" t="s">
        <v>1542</v>
      </c>
      <c r="L18" s="52" t="s">
        <v>1543</v>
      </c>
      <c r="M18" s="60" t="s">
        <v>1435</v>
      </c>
      <c r="N18" s="59" t="n">
        <v>5</v>
      </c>
      <c r="O18" s="59" t="n">
        <v>4</v>
      </c>
      <c r="P18" s="59" t="n">
        <v>4</v>
      </c>
      <c r="Q18" s="55" t="n">
        <f aca="false">ROUND(N18*02_情境權重_Scenario!$C$21+O18*02_情境權重_Scenario!$C$22+P18*02_情境權重_Scenario!$C$23,1)</f>
        <v>4.4</v>
      </c>
      <c r="R18" s="59" t="n">
        <v>2</v>
      </c>
      <c r="S18" s="59" t="n">
        <v>3</v>
      </c>
      <c r="T18" s="59" t="n">
        <v>2</v>
      </c>
      <c r="U18" s="55" t="n">
        <f aca="false">ROUND(R18*02_情境權重_Scenario!$C$27+S18*02_情境權重_Scenario!$C$28+T18*02_情境權重_Scenario!$C$29,1)</f>
        <v>2.4</v>
      </c>
      <c r="V18" s="60" t="s">
        <v>1436</v>
      </c>
      <c r="W18" s="261" t="str">
        <f aca="false">IF(OR(M18="未通過",V18="極高"),"暫緩 Hold",IF(AND(Q18&gt;=3.5,U18&gt;=3),"立即推進 Go",IF(Q18&gt;=3.5,"先補條件 Prepare",IF(U18&gt;=3,"快速小案 Quick-win","儲備觀察 Backlog"))))</f>
        <v>先補條件 Prepare</v>
      </c>
      <c r="X18" s="52" t="s">
        <v>1544</v>
      </c>
      <c r="Y18" s="52" t="s">
        <v>1545</v>
      </c>
      <c r="Z18" s="53" t="s">
        <v>1438</v>
      </c>
      <c r="AA18" s="59" t="s">
        <v>1439</v>
      </c>
      <c r="AB18" s="59"/>
      <c r="AC18" s="52"/>
      <c r="AD18" s="52"/>
      <c r="AE18" s="60" t="s">
        <v>1440</v>
      </c>
      <c r="AF18" s="54" t="str">
        <f aca="false">IF($A18="","",16_能力商機矩陣_CapOppMap!$CQ18)</f>
        <v>OPP-05; OPP-06; OPP-07</v>
      </c>
      <c r="AG18" s="71" t="s">
        <v>287</v>
      </c>
      <c r="AH18" s="64" t="s">
        <v>250</v>
      </c>
      <c r="AI18" s="67" t="s">
        <v>251</v>
      </c>
      <c r="AJ18" s="72" t="s">
        <v>1536</v>
      </c>
    </row>
    <row r="19" customFormat="false" ht="30" hidden="false" customHeight="true" outlineLevel="0" collapsed="false">
      <c r="A19" s="93" t="s">
        <v>1546</v>
      </c>
      <c r="B19" s="260" t="s">
        <v>1526</v>
      </c>
      <c r="C19" s="59" t="s">
        <v>269</v>
      </c>
      <c r="D19" s="60" t="s">
        <v>1527</v>
      </c>
      <c r="E19" s="107" t="s">
        <v>1547</v>
      </c>
      <c r="F19" s="95" t="s">
        <v>1548</v>
      </c>
      <c r="G19" s="107" t="s">
        <v>1549</v>
      </c>
      <c r="H19" s="60" t="s">
        <v>1431</v>
      </c>
      <c r="I19" s="59" t="s">
        <v>1550</v>
      </c>
      <c r="J19" s="52" t="s">
        <v>1541</v>
      </c>
      <c r="K19" s="53" t="s">
        <v>1551</v>
      </c>
      <c r="L19" s="52" t="s">
        <v>1552</v>
      </c>
      <c r="M19" s="60" t="s">
        <v>1435</v>
      </c>
      <c r="N19" s="59" t="n">
        <v>5</v>
      </c>
      <c r="O19" s="59" t="n">
        <v>4</v>
      </c>
      <c r="P19" s="59" t="n">
        <v>5</v>
      </c>
      <c r="Q19" s="55" t="n">
        <f aca="false">ROUND(N19*02_情境權重_Scenario!$C$21+O19*02_情境權重_Scenario!$C$22+P19*02_情境權重_Scenario!$C$23,1)</f>
        <v>4.7</v>
      </c>
      <c r="R19" s="59" t="n">
        <v>2</v>
      </c>
      <c r="S19" s="59" t="n">
        <v>3</v>
      </c>
      <c r="T19" s="59" t="n">
        <v>2</v>
      </c>
      <c r="U19" s="55" t="n">
        <f aca="false">ROUND(R19*02_情境權重_Scenario!$C$27+S19*02_情境權重_Scenario!$C$28+T19*02_情境權重_Scenario!$C$29,1)</f>
        <v>2.4</v>
      </c>
      <c r="V19" s="60" t="s">
        <v>1436</v>
      </c>
      <c r="W19" s="261" t="str">
        <f aca="false">IF(OR(M19="未通過",V19="極高"),"暫緩 Hold",IF(AND(Q19&gt;=3.5,U19&gt;=3),"立即推進 Go",IF(Q19&gt;=3.5,"先補條件 Prepare",IF(U19&gt;=3,"快速小案 Quick-win","儲備觀察 Backlog"))))</f>
        <v>先補條件 Prepare</v>
      </c>
      <c r="X19" s="52" t="s">
        <v>1537</v>
      </c>
      <c r="Y19" s="52" t="s">
        <v>1553</v>
      </c>
      <c r="Z19" s="53" t="s">
        <v>1438</v>
      </c>
      <c r="AA19" s="59" t="s">
        <v>1439</v>
      </c>
      <c r="AB19" s="59"/>
      <c r="AC19" s="52"/>
      <c r="AD19" s="52"/>
      <c r="AE19" s="60" t="s">
        <v>1440</v>
      </c>
      <c r="AF19" s="54" t="str">
        <f aca="false">IF($A19="","",16_能力商機矩陣_CapOppMap!$CQ19)</f>
        <v>OPP-06; OPP-08; OPP-13; OPP-65</v>
      </c>
      <c r="AG19" s="71" t="s">
        <v>287</v>
      </c>
      <c r="AH19" s="64" t="s">
        <v>1554</v>
      </c>
      <c r="AI19" s="65" t="s">
        <v>237</v>
      </c>
      <c r="AJ19" s="72" t="s">
        <v>1536</v>
      </c>
    </row>
    <row r="20" customFormat="false" ht="30" hidden="false" customHeight="true" outlineLevel="0" collapsed="false">
      <c r="A20" s="93" t="s">
        <v>1555</v>
      </c>
      <c r="B20" s="260" t="s">
        <v>1526</v>
      </c>
      <c r="C20" s="59" t="s">
        <v>361</v>
      </c>
      <c r="D20" s="60" t="s">
        <v>1556</v>
      </c>
      <c r="E20" s="107" t="s">
        <v>1557</v>
      </c>
      <c r="F20" s="95" t="s">
        <v>1558</v>
      </c>
      <c r="G20" s="107" t="s">
        <v>1559</v>
      </c>
      <c r="H20" s="60" t="s">
        <v>899</v>
      </c>
      <c r="I20" s="59" t="s">
        <v>304</v>
      </c>
      <c r="J20" s="52" t="s">
        <v>1560</v>
      </c>
      <c r="K20" s="53" t="s">
        <v>1561</v>
      </c>
      <c r="L20" s="52" t="s">
        <v>1562</v>
      </c>
      <c r="M20" s="60" t="s">
        <v>1435</v>
      </c>
      <c r="N20" s="59" t="n">
        <v>5</v>
      </c>
      <c r="O20" s="59" t="n">
        <v>4</v>
      </c>
      <c r="P20" s="59" t="n">
        <v>4</v>
      </c>
      <c r="Q20" s="55" t="n">
        <f aca="false">ROUND(N20*02_情境權重_Scenario!$C$21+O20*02_情境權重_Scenario!$C$22+P20*02_情境權重_Scenario!$C$23,1)</f>
        <v>4.4</v>
      </c>
      <c r="R20" s="59" t="n">
        <v>2</v>
      </c>
      <c r="S20" s="59" t="n">
        <v>4</v>
      </c>
      <c r="T20" s="59" t="n">
        <v>2</v>
      </c>
      <c r="U20" s="55" t="n">
        <f aca="false">ROUND(R20*02_情境權重_Scenario!$C$27+S20*02_情境權重_Scenario!$C$28+T20*02_情境權重_Scenario!$C$29,1)</f>
        <v>2.7</v>
      </c>
      <c r="V20" s="60" t="s">
        <v>1436</v>
      </c>
      <c r="W20" s="261" t="str">
        <f aca="false">IF(OR(M20="未通過",V20="極高"),"暫緩 Hold",IF(AND(Q20&gt;=3.5,U20&gt;=3),"立即推進 Go",IF(Q20&gt;=3.5,"先補條件 Prepare",IF(U20&gt;=3,"快速小案 Quick-win","儲備觀察 Backlog"))))</f>
        <v>先補條件 Prepare</v>
      </c>
      <c r="X20" s="52" t="s">
        <v>1525</v>
      </c>
      <c r="Y20" s="52" t="s">
        <v>1563</v>
      </c>
      <c r="Z20" s="53" t="s">
        <v>1438</v>
      </c>
      <c r="AA20" s="59" t="s">
        <v>1439</v>
      </c>
      <c r="AB20" s="59"/>
      <c r="AC20" s="52"/>
      <c r="AD20" s="52"/>
      <c r="AE20" s="60" t="s">
        <v>1440</v>
      </c>
      <c r="AF20" s="54" t="str">
        <f aca="false">IF($A20="","",16_能力商機矩陣_CapOppMap!$CQ20)</f>
        <v>OPP-07; OPP-10; OPP-12</v>
      </c>
      <c r="AG20" s="71" t="s">
        <v>287</v>
      </c>
      <c r="AH20" s="64" t="s">
        <v>1564</v>
      </c>
      <c r="AI20" s="73" t="s">
        <v>327</v>
      </c>
      <c r="AJ20" s="72" t="s">
        <v>1536</v>
      </c>
    </row>
    <row r="21" customFormat="false" ht="30" hidden="false" customHeight="true" outlineLevel="0" collapsed="false">
      <c r="A21" s="93" t="s">
        <v>1565</v>
      </c>
      <c r="B21" s="260" t="s">
        <v>1526</v>
      </c>
      <c r="C21" s="59" t="s">
        <v>361</v>
      </c>
      <c r="D21" s="60" t="s">
        <v>1527</v>
      </c>
      <c r="E21" s="107" t="s">
        <v>1566</v>
      </c>
      <c r="F21" s="95" t="s">
        <v>1567</v>
      </c>
      <c r="G21" s="107" t="s">
        <v>1568</v>
      </c>
      <c r="H21" s="60" t="s">
        <v>1431</v>
      </c>
      <c r="I21" s="59" t="s">
        <v>304</v>
      </c>
      <c r="J21" s="52" t="s">
        <v>1531</v>
      </c>
      <c r="K21" s="53" t="s">
        <v>1569</v>
      </c>
      <c r="L21" s="52" t="s">
        <v>1533</v>
      </c>
      <c r="M21" s="60" t="s">
        <v>1435</v>
      </c>
      <c r="N21" s="59" t="n">
        <v>5</v>
      </c>
      <c r="O21" s="59" t="n">
        <v>4</v>
      </c>
      <c r="P21" s="59" t="n">
        <v>4</v>
      </c>
      <c r="Q21" s="55" t="n">
        <f aca="false">ROUND(N21*02_情境權重_Scenario!$C$21+O21*02_情境權重_Scenario!$C$22+P21*02_情境權重_Scenario!$C$23,1)</f>
        <v>4.4</v>
      </c>
      <c r="R21" s="59" t="n">
        <v>2</v>
      </c>
      <c r="S21" s="59" t="n">
        <v>3</v>
      </c>
      <c r="T21" s="59" t="n">
        <v>2</v>
      </c>
      <c r="U21" s="55" t="n">
        <f aca="false">ROUND(R21*02_情境權重_Scenario!$C$27+S21*02_情境權重_Scenario!$C$28+T21*02_情境權重_Scenario!$C$29,1)</f>
        <v>2.4</v>
      </c>
      <c r="V21" s="60" t="s">
        <v>1436</v>
      </c>
      <c r="W21" s="261" t="str">
        <f aca="false">IF(OR(M21="未通過",V21="極高"),"暫緩 Hold",IF(AND(Q21&gt;=3.5,U21&gt;=3),"立即推進 Go",IF(Q21&gt;=3.5,"先補條件 Prepare",IF(U21&gt;=3,"快速小案 Quick-win","儲備觀察 Backlog"))))</f>
        <v>先補條件 Prepare</v>
      </c>
      <c r="X21" s="52" t="s">
        <v>1537</v>
      </c>
      <c r="Y21" s="52" t="s">
        <v>1570</v>
      </c>
      <c r="Z21" s="53" t="s">
        <v>1438</v>
      </c>
      <c r="AA21" s="59" t="s">
        <v>1439</v>
      </c>
      <c r="AB21" s="59"/>
      <c r="AC21" s="52"/>
      <c r="AD21" s="52"/>
      <c r="AE21" s="60" t="s">
        <v>1440</v>
      </c>
      <c r="AF21" s="54" t="str">
        <f aca="false">IF($A21="","",16_能力商機矩陣_CapOppMap!$CQ21)</f>
        <v>OPP-07; OPP-08; OPP-09</v>
      </c>
      <c r="AG21" s="71" t="s">
        <v>287</v>
      </c>
      <c r="AH21" s="69" t="s">
        <v>1571</v>
      </c>
      <c r="AI21" s="65" t="s">
        <v>237</v>
      </c>
      <c r="AJ21" s="72" t="s">
        <v>1536</v>
      </c>
    </row>
    <row r="22" customFormat="false" ht="30" hidden="false" customHeight="true" outlineLevel="0" collapsed="false">
      <c r="A22" s="93" t="s">
        <v>1572</v>
      </c>
      <c r="B22" s="260" t="s">
        <v>1526</v>
      </c>
      <c r="C22" s="59" t="s">
        <v>361</v>
      </c>
      <c r="D22" s="60" t="s">
        <v>1527</v>
      </c>
      <c r="E22" s="107" t="s">
        <v>1573</v>
      </c>
      <c r="F22" s="95" t="s">
        <v>1574</v>
      </c>
      <c r="G22" s="107" t="s">
        <v>1575</v>
      </c>
      <c r="H22" s="60" t="s">
        <v>1431</v>
      </c>
      <c r="I22" s="59" t="s">
        <v>334</v>
      </c>
      <c r="J22" s="52" t="s">
        <v>1576</v>
      </c>
      <c r="K22" s="53" t="s">
        <v>1577</v>
      </c>
      <c r="L22" s="52" t="s">
        <v>1578</v>
      </c>
      <c r="M22" s="60" t="s">
        <v>1435</v>
      </c>
      <c r="N22" s="59" t="n">
        <v>5</v>
      </c>
      <c r="O22" s="59" t="n">
        <v>3</v>
      </c>
      <c r="P22" s="59" t="n">
        <v>4</v>
      </c>
      <c r="Q22" s="55" t="n">
        <f aca="false">ROUND(N22*02_情境權重_Scenario!$C$21+O22*02_情境權重_Scenario!$C$22+P22*02_情境權重_Scenario!$C$23,1)</f>
        <v>4.1</v>
      </c>
      <c r="R22" s="59" t="n">
        <v>2</v>
      </c>
      <c r="S22" s="59" t="n">
        <v>3</v>
      </c>
      <c r="T22" s="59" t="n">
        <v>2</v>
      </c>
      <c r="U22" s="55" t="n">
        <f aca="false">ROUND(R22*02_情境權重_Scenario!$C$27+S22*02_情境權重_Scenario!$C$28+T22*02_情境權重_Scenario!$C$29,1)</f>
        <v>2.4</v>
      </c>
      <c r="V22" s="60" t="s">
        <v>1436</v>
      </c>
      <c r="W22" s="261" t="str">
        <f aca="false">IF(OR(M22="未通過",V22="極高"),"暫緩 Hold",IF(AND(Q22&gt;=3.5,U22&gt;=3),"立即推進 Go",IF(Q22&gt;=3.5,"先補條件 Prepare",IF(U22&gt;=3,"快速小案 Quick-win","儲備觀察 Backlog"))))</f>
        <v>先補條件 Prepare</v>
      </c>
      <c r="X22" s="52" t="s">
        <v>1525</v>
      </c>
      <c r="Y22" s="52" t="s">
        <v>1579</v>
      </c>
      <c r="Z22" s="53" t="s">
        <v>1438</v>
      </c>
      <c r="AA22" s="59" t="s">
        <v>1439</v>
      </c>
      <c r="AB22" s="59"/>
      <c r="AC22" s="52"/>
      <c r="AD22" s="52"/>
      <c r="AE22" s="60" t="s">
        <v>1440</v>
      </c>
      <c r="AF22" s="54" t="str">
        <f aca="false">IF($A22="","",16_能力商機矩陣_CapOppMap!$CQ22)</f>
        <v>OPP-07; OPP-11; OPP-69</v>
      </c>
      <c r="AG22" s="71" t="s">
        <v>287</v>
      </c>
      <c r="AH22" s="69" t="s">
        <v>1580</v>
      </c>
      <c r="AI22" s="65" t="s">
        <v>237</v>
      </c>
      <c r="AJ22" s="72" t="s">
        <v>1536</v>
      </c>
    </row>
    <row r="23" customFormat="false" ht="30" hidden="false" customHeight="true" outlineLevel="0" collapsed="false">
      <c r="A23" s="93" t="s">
        <v>1581</v>
      </c>
      <c r="B23" s="260" t="s">
        <v>1526</v>
      </c>
      <c r="C23" s="59" t="s">
        <v>269</v>
      </c>
      <c r="D23" s="60" t="s">
        <v>1527</v>
      </c>
      <c r="E23" s="107" t="s">
        <v>1582</v>
      </c>
      <c r="F23" s="95" t="s">
        <v>1583</v>
      </c>
      <c r="G23" s="107" t="s">
        <v>1584</v>
      </c>
      <c r="H23" s="60" t="s">
        <v>1431</v>
      </c>
      <c r="I23" s="59" t="s">
        <v>346</v>
      </c>
      <c r="J23" s="52" t="s">
        <v>1531</v>
      </c>
      <c r="K23" s="53" t="s">
        <v>1585</v>
      </c>
      <c r="L23" s="52" t="s">
        <v>1578</v>
      </c>
      <c r="M23" s="60" t="s">
        <v>1435</v>
      </c>
      <c r="N23" s="59" t="n">
        <v>5</v>
      </c>
      <c r="O23" s="59" t="n">
        <v>3</v>
      </c>
      <c r="P23" s="59" t="n">
        <v>4</v>
      </c>
      <c r="Q23" s="55" t="n">
        <f aca="false">ROUND(N23*02_情境權重_Scenario!$C$21+O23*02_情境權重_Scenario!$C$22+P23*02_情境權重_Scenario!$C$23,1)</f>
        <v>4.1</v>
      </c>
      <c r="R23" s="59" t="n">
        <v>2</v>
      </c>
      <c r="S23" s="59" t="n">
        <v>3</v>
      </c>
      <c r="T23" s="59" t="n">
        <v>2</v>
      </c>
      <c r="U23" s="55" t="n">
        <f aca="false">ROUND(R23*02_情境權重_Scenario!$C$27+S23*02_情境權重_Scenario!$C$28+T23*02_情境權重_Scenario!$C$29,1)</f>
        <v>2.4</v>
      </c>
      <c r="V23" s="60" t="s">
        <v>1436</v>
      </c>
      <c r="W23" s="261" t="str">
        <f aca="false">IF(OR(M23="未通過",V23="極高"),"暫緩 Hold",IF(AND(Q23&gt;=3.5,U23&gt;=3),"立即推進 Go",IF(Q23&gt;=3.5,"先補條件 Prepare",IF(U23&gt;=3,"快速小案 Quick-win","儲備觀察 Backlog"))))</f>
        <v>先補條件 Prepare</v>
      </c>
      <c r="X23" s="52" t="s">
        <v>1525</v>
      </c>
      <c r="Y23" s="52" t="s">
        <v>1586</v>
      </c>
      <c r="Z23" s="53" t="s">
        <v>1438</v>
      </c>
      <c r="AA23" s="59" t="s">
        <v>1439</v>
      </c>
      <c r="AB23" s="59"/>
      <c r="AC23" s="52"/>
      <c r="AD23" s="52"/>
      <c r="AE23" s="60" t="s">
        <v>1440</v>
      </c>
      <c r="AF23" s="54" t="str">
        <f aca="false">IF($A23="","",16_能力商機矩陣_CapOppMap!$CQ23)</f>
        <v>OPP-06; OPP-12</v>
      </c>
      <c r="AG23" s="71" t="s">
        <v>287</v>
      </c>
      <c r="AH23" s="69" t="s">
        <v>1587</v>
      </c>
      <c r="AI23" s="65" t="s">
        <v>237</v>
      </c>
      <c r="AJ23" s="72" t="s">
        <v>1536</v>
      </c>
    </row>
    <row r="24" customFormat="false" ht="30" hidden="false" customHeight="true" outlineLevel="0" collapsed="false">
      <c r="A24" s="93" t="s">
        <v>1588</v>
      </c>
      <c r="B24" s="260" t="s">
        <v>1589</v>
      </c>
      <c r="C24" s="59" t="s">
        <v>361</v>
      </c>
      <c r="D24" s="59" t="s">
        <v>1590</v>
      </c>
      <c r="E24" s="95" t="s">
        <v>1591</v>
      </c>
      <c r="F24" s="95" t="s">
        <v>1592</v>
      </c>
      <c r="G24" s="107" t="s">
        <v>1593</v>
      </c>
      <c r="H24" s="60" t="s">
        <v>899</v>
      </c>
      <c r="I24" s="59" t="s">
        <v>439</v>
      </c>
      <c r="J24" s="52" t="s">
        <v>1560</v>
      </c>
      <c r="K24" s="53" t="s">
        <v>1561</v>
      </c>
      <c r="L24" s="52" t="s">
        <v>1594</v>
      </c>
      <c r="M24" s="60" t="s">
        <v>1435</v>
      </c>
      <c r="N24" s="59" t="n">
        <v>4</v>
      </c>
      <c r="O24" s="59" t="n">
        <v>3</v>
      </c>
      <c r="P24" s="59" t="n">
        <v>5</v>
      </c>
      <c r="Q24" s="55" t="n">
        <f aca="false">ROUND(N24*02_情境權重_Scenario!$C$21+O24*02_情境權重_Scenario!$C$22+P24*02_情境權重_Scenario!$C$23,1)</f>
        <v>4.1</v>
      </c>
      <c r="R24" s="59" t="n">
        <v>3</v>
      </c>
      <c r="S24" s="59" t="n">
        <v>4</v>
      </c>
      <c r="T24" s="59" t="n">
        <v>3</v>
      </c>
      <c r="U24" s="55" t="n">
        <f aca="false">ROUND(R24*02_情境權重_Scenario!$C$27+S24*02_情境權重_Scenario!$C$28+T24*02_情境權重_Scenario!$C$29,1)</f>
        <v>3.4</v>
      </c>
      <c r="V24" s="60" t="s">
        <v>1595</v>
      </c>
      <c r="W24" s="261" t="str">
        <f aca="false">IF(OR(M24="未通過",V24="極高"),"暫緩 Hold",IF(AND(Q24&gt;=3.5,U24&gt;=3),"立即推進 Go",IF(Q24&gt;=3.5,"先補條件 Prepare",IF(U24&gt;=3,"快速小案 Quick-win","儲備觀察 Backlog"))))</f>
        <v>立即推進 Go</v>
      </c>
      <c r="X24" s="52" t="s">
        <v>1596</v>
      </c>
      <c r="Y24" s="52" t="s">
        <v>1597</v>
      </c>
      <c r="Z24" s="53" t="s">
        <v>1438</v>
      </c>
      <c r="AA24" s="59" t="s">
        <v>1439</v>
      </c>
      <c r="AB24" s="59"/>
      <c r="AC24" s="52"/>
      <c r="AD24" s="52"/>
      <c r="AE24" s="60" t="s">
        <v>1440</v>
      </c>
      <c r="AF24" s="54" t="str">
        <f aca="false">IF($A24="","",16_能力商機矩陣_CapOppMap!$CQ24)</f>
        <v>OPP-24; OPP-25; OPP-40; OPP-57</v>
      </c>
      <c r="AG24" s="75" t="s">
        <v>443</v>
      </c>
      <c r="AH24" s="69" t="s">
        <v>1598</v>
      </c>
      <c r="AI24" s="65" t="s">
        <v>237</v>
      </c>
      <c r="AJ24" s="72" t="s">
        <v>1599</v>
      </c>
    </row>
    <row r="25" customFormat="false" ht="30" hidden="false" customHeight="true" outlineLevel="0" collapsed="false">
      <c r="A25" s="93" t="s">
        <v>1600</v>
      </c>
      <c r="B25" s="260" t="s">
        <v>1589</v>
      </c>
      <c r="C25" s="59" t="s">
        <v>302</v>
      </c>
      <c r="D25" s="60" t="s">
        <v>1601</v>
      </c>
      <c r="E25" s="107" t="s">
        <v>1602</v>
      </c>
      <c r="F25" s="95" t="s">
        <v>1603</v>
      </c>
      <c r="G25" s="107" t="s">
        <v>1604</v>
      </c>
      <c r="H25" s="60" t="s">
        <v>899</v>
      </c>
      <c r="I25" s="59" t="s">
        <v>1605</v>
      </c>
      <c r="J25" s="52" t="s">
        <v>1560</v>
      </c>
      <c r="K25" s="53" t="s">
        <v>1561</v>
      </c>
      <c r="L25" s="52" t="s">
        <v>1594</v>
      </c>
      <c r="M25" s="60" t="s">
        <v>1435</v>
      </c>
      <c r="N25" s="59" t="n">
        <v>4</v>
      </c>
      <c r="O25" s="59" t="n">
        <v>3</v>
      </c>
      <c r="P25" s="59" t="n">
        <v>3</v>
      </c>
      <c r="Q25" s="55" t="n">
        <f aca="false">ROUND(N25*02_情境權重_Scenario!$C$21+O25*02_情境權重_Scenario!$C$22+P25*02_情境權重_Scenario!$C$23,1)</f>
        <v>3.4</v>
      </c>
      <c r="R25" s="59" t="n">
        <v>3</v>
      </c>
      <c r="S25" s="59" t="n">
        <v>4</v>
      </c>
      <c r="T25" s="59" t="n">
        <v>3</v>
      </c>
      <c r="U25" s="55" t="n">
        <f aca="false">ROUND(R25*02_情境權重_Scenario!$C$27+S25*02_情境權重_Scenario!$C$28+T25*02_情境權重_Scenario!$C$29,1)</f>
        <v>3.4</v>
      </c>
      <c r="V25" s="60" t="s">
        <v>1595</v>
      </c>
      <c r="W25" s="261" t="str">
        <f aca="false">IF(OR(M25="未通過",V25="極高"),"暫緩 Hold",IF(AND(Q25&gt;=3.5,U25&gt;=3),"立即推進 Go",IF(Q25&gt;=3.5,"先補條件 Prepare",IF(U25&gt;=3,"快速小案 Quick-win","儲備觀察 Backlog"))))</f>
        <v>快速小案 Quick-win</v>
      </c>
      <c r="X25" s="52" t="s">
        <v>1581</v>
      </c>
      <c r="Y25" s="52" t="s">
        <v>1606</v>
      </c>
      <c r="Z25" s="53" t="s">
        <v>1438</v>
      </c>
      <c r="AA25" s="59" t="s">
        <v>1439</v>
      </c>
      <c r="AB25" s="59"/>
      <c r="AC25" s="52"/>
      <c r="AD25" s="52"/>
      <c r="AE25" s="60" t="s">
        <v>1440</v>
      </c>
      <c r="AF25" s="54" t="str">
        <f aca="false">IF($A25="","",16_能力商機矩陣_CapOppMap!$CQ25)</f>
        <v>OPP-24</v>
      </c>
      <c r="AG25" s="75" t="s">
        <v>443</v>
      </c>
      <c r="AH25" s="64" t="s">
        <v>250</v>
      </c>
      <c r="AI25" s="67" t="s">
        <v>251</v>
      </c>
      <c r="AJ25" s="72" t="s">
        <v>1599</v>
      </c>
    </row>
    <row r="26" customFormat="false" ht="30" hidden="false" customHeight="true" outlineLevel="0" collapsed="false">
      <c r="A26" s="93" t="s">
        <v>1607</v>
      </c>
      <c r="B26" s="260" t="s">
        <v>1589</v>
      </c>
      <c r="C26" s="59" t="s">
        <v>302</v>
      </c>
      <c r="D26" s="60" t="s">
        <v>1601</v>
      </c>
      <c r="E26" s="107" t="s">
        <v>1608</v>
      </c>
      <c r="F26" s="95" t="s">
        <v>1609</v>
      </c>
      <c r="G26" s="107" t="s">
        <v>1610</v>
      </c>
      <c r="H26" s="60" t="s">
        <v>1431</v>
      </c>
      <c r="I26" s="59" t="s">
        <v>464</v>
      </c>
      <c r="J26" s="52" t="s">
        <v>1611</v>
      </c>
      <c r="K26" s="53" t="s">
        <v>1612</v>
      </c>
      <c r="L26" s="52" t="s">
        <v>1613</v>
      </c>
      <c r="M26" s="60" t="s">
        <v>1435</v>
      </c>
      <c r="N26" s="59" t="n">
        <v>4</v>
      </c>
      <c r="O26" s="59" t="n">
        <v>3</v>
      </c>
      <c r="P26" s="59" t="n">
        <v>4</v>
      </c>
      <c r="Q26" s="55" t="n">
        <f aca="false">ROUND(N26*02_情境權重_Scenario!$C$21+O26*02_情境權重_Scenario!$C$22+P26*02_情境權重_Scenario!$C$23,1)</f>
        <v>3.7</v>
      </c>
      <c r="R26" s="59" t="n">
        <v>3</v>
      </c>
      <c r="S26" s="59" t="n">
        <v>4</v>
      </c>
      <c r="T26" s="59" t="n">
        <v>3</v>
      </c>
      <c r="U26" s="55" t="n">
        <f aca="false">ROUND(R26*02_情境權重_Scenario!$C$27+S26*02_情境權重_Scenario!$C$28+T26*02_情境權重_Scenario!$C$29,1)</f>
        <v>3.4</v>
      </c>
      <c r="V26" s="60" t="s">
        <v>1595</v>
      </c>
      <c r="W26" s="261" t="str">
        <f aca="false">IF(OR(M26="未通過",V26="極高"),"暫緩 Hold",IF(AND(Q26&gt;=3.5,U26&gt;=3),"立即推進 Go",IF(Q26&gt;=3.5,"先補條件 Prepare",IF(U26&gt;=3,"快速小案 Quick-win","儲備觀察 Backlog"))))</f>
        <v>立即推進 Go</v>
      </c>
      <c r="X26" s="52" t="s">
        <v>1614</v>
      </c>
      <c r="Y26" s="52" t="s">
        <v>1615</v>
      </c>
      <c r="Z26" s="53" t="s">
        <v>1438</v>
      </c>
      <c r="AA26" s="59" t="s">
        <v>1439</v>
      </c>
      <c r="AB26" s="59"/>
      <c r="AC26" s="52"/>
      <c r="AD26" s="52"/>
      <c r="AE26" s="60" t="s">
        <v>1440</v>
      </c>
      <c r="AF26" s="54" t="str">
        <f aca="false">IF($A26="","",16_能力商機矩陣_CapOppMap!$CQ26)</f>
        <v>OPP-27; OPP-28; OPP-30</v>
      </c>
      <c r="AG26" s="75" t="s">
        <v>443</v>
      </c>
      <c r="AH26" s="64" t="s">
        <v>1616</v>
      </c>
      <c r="AI26" s="65" t="s">
        <v>237</v>
      </c>
      <c r="AJ26" s="72" t="s">
        <v>1599</v>
      </c>
    </row>
    <row r="27" customFormat="false" ht="30" hidden="false" customHeight="true" outlineLevel="0" collapsed="false">
      <c r="A27" s="93" t="s">
        <v>1617</v>
      </c>
      <c r="B27" s="260" t="s">
        <v>1589</v>
      </c>
      <c r="C27" s="59" t="s">
        <v>302</v>
      </c>
      <c r="D27" s="59" t="s">
        <v>1618</v>
      </c>
      <c r="E27" s="95" t="s">
        <v>1619</v>
      </c>
      <c r="F27" s="95" t="s">
        <v>1620</v>
      </c>
      <c r="G27" s="107" t="s">
        <v>1621</v>
      </c>
      <c r="H27" s="60" t="s">
        <v>899</v>
      </c>
      <c r="I27" s="59" t="s">
        <v>457</v>
      </c>
      <c r="J27" s="52" t="s">
        <v>1560</v>
      </c>
      <c r="K27" s="53" t="s">
        <v>1561</v>
      </c>
      <c r="L27" s="52" t="s">
        <v>1622</v>
      </c>
      <c r="M27" s="60" t="s">
        <v>1435</v>
      </c>
      <c r="N27" s="59" t="n">
        <v>3</v>
      </c>
      <c r="O27" s="59" t="n">
        <v>3</v>
      </c>
      <c r="P27" s="59" t="n">
        <v>3</v>
      </c>
      <c r="Q27" s="55" t="n">
        <f aca="false">ROUND(N27*02_情境權重_Scenario!$C$21+O27*02_情境權重_Scenario!$C$22+P27*02_情境權重_Scenario!$C$23,1)</f>
        <v>3</v>
      </c>
      <c r="R27" s="59" t="n">
        <v>3</v>
      </c>
      <c r="S27" s="59" t="n">
        <v>4</v>
      </c>
      <c r="T27" s="59" t="n">
        <v>3</v>
      </c>
      <c r="U27" s="55" t="n">
        <f aca="false">ROUND(R27*02_情境權重_Scenario!$C$27+S27*02_情境權重_Scenario!$C$28+T27*02_情境權重_Scenario!$C$29,1)</f>
        <v>3.4</v>
      </c>
      <c r="V27" s="60" t="s">
        <v>1595</v>
      </c>
      <c r="W27" s="261" t="str">
        <f aca="false">IF(OR(M27="未通過",V27="極高"),"暫緩 Hold",IF(AND(Q27&gt;=3.5,U27&gt;=3),"立即推進 Go",IF(Q27&gt;=3.5,"先補條件 Prepare",IF(U27&gt;=3,"快速小案 Quick-win","儲備觀察 Backlog"))))</f>
        <v>快速小案 Quick-win</v>
      </c>
      <c r="X27" s="52" t="s">
        <v>1623</v>
      </c>
      <c r="Y27" s="52" t="s">
        <v>1624</v>
      </c>
      <c r="Z27" s="53" t="s">
        <v>1438</v>
      </c>
      <c r="AA27" s="59" t="s">
        <v>1439</v>
      </c>
      <c r="AB27" s="59"/>
      <c r="AC27" s="52"/>
      <c r="AD27" s="52"/>
      <c r="AE27" s="60" t="s">
        <v>1440</v>
      </c>
      <c r="AF27" s="54" t="str">
        <f aca="false">IF($A27="","",16_能力商機矩陣_CapOppMap!$CQ27)</f>
        <v>OPP-26</v>
      </c>
      <c r="AG27" s="75" t="s">
        <v>443</v>
      </c>
      <c r="AH27" s="69" t="s">
        <v>1625</v>
      </c>
      <c r="AI27" s="65" t="s">
        <v>237</v>
      </c>
      <c r="AJ27" s="72" t="s">
        <v>1599</v>
      </c>
    </row>
    <row r="28" customFormat="false" ht="30" hidden="false" customHeight="true" outlineLevel="0" collapsed="false">
      <c r="A28" s="93" t="s">
        <v>1626</v>
      </c>
      <c r="B28" s="260" t="s">
        <v>1589</v>
      </c>
      <c r="C28" s="59" t="s">
        <v>302</v>
      </c>
      <c r="D28" s="59" t="s">
        <v>1618</v>
      </c>
      <c r="E28" s="95" t="s">
        <v>1627</v>
      </c>
      <c r="F28" s="95" t="s">
        <v>1628</v>
      </c>
      <c r="G28" s="107" t="s">
        <v>1629</v>
      </c>
      <c r="H28" s="60" t="s">
        <v>899</v>
      </c>
      <c r="I28" s="59" t="s">
        <v>457</v>
      </c>
      <c r="J28" s="52" t="s">
        <v>1560</v>
      </c>
      <c r="K28" s="53" t="s">
        <v>1561</v>
      </c>
      <c r="L28" s="52" t="s">
        <v>1630</v>
      </c>
      <c r="M28" s="60" t="s">
        <v>1435</v>
      </c>
      <c r="N28" s="59" t="n">
        <v>3</v>
      </c>
      <c r="O28" s="59" t="n">
        <v>3</v>
      </c>
      <c r="P28" s="59" t="n">
        <v>3</v>
      </c>
      <c r="Q28" s="55" t="n">
        <f aca="false">ROUND(N28*02_情境權重_Scenario!$C$21+O28*02_情境權重_Scenario!$C$22+P28*02_情境權重_Scenario!$C$23,1)</f>
        <v>3</v>
      </c>
      <c r="R28" s="59" t="n">
        <v>3</v>
      </c>
      <c r="S28" s="59" t="n">
        <v>4</v>
      </c>
      <c r="T28" s="59" t="n">
        <v>3</v>
      </c>
      <c r="U28" s="55" t="n">
        <f aca="false">ROUND(R28*02_情境權重_Scenario!$C$27+S28*02_情境權重_Scenario!$C$28+T28*02_情境權重_Scenario!$C$29,1)</f>
        <v>3.4</v>
      </c>
      <c r="V28" s="60" t="s">
        <v>1595</v>
      </c>
      <c r="W28" s="261" t="str">
        <f aca="false">IF(OR(M28="未通過",V28="極高"),"暫緩 Hold",IF(AND(Q28&gt;=3.5,U28&gt;=3),"立即推進 Go",IF(Q28&gt;=3.5,"先補條件 Prepare",IF(U28&gt;=3,"快速小案 Quick-win","儲備觀察 Backlog"))))</f>
        <v>快速小案 Quick-win</v>
      </c>
      <c r="X28" s="52" t="s">
        <v>1588</v>
      </c>
      <c r="Y28" s="52" t="s">
        <v>1631</v>
      </c>
      <c r="Z28" s="53" t="s">
        <v>1438</v>
      </c>
      <c r="AA28" s="59" t="s">
        <v>1439</v>
      </c>
      <c r="AB28" s="59"/>
      <c r="AC28" s="52"/>
      <c r="AD28" s="52"/>
      <c r="AE28" s="60" t="s">
        <v>1440</v>
      </c>
      <c r="AF28" s="54" t="str">
        <f aca="false">IF($A28="","",16_能力商機矩陣_CapOppMap!$CQ28)</f>
        <v>OPP-26</v>
      </c>
      <c r="AG28" s="75" t="s">
        <v>443</v>
      </c>
      <c r="AH28" s="64" t="s">
        <v>1632</v>
      </c>
      <c r="AI28" s="65" t="s">
        <v>237</v>
      </c>
      <c r="AJ28" s="72" t="s">
        <v>1599</v>
      </c>
    </row>
    <row r="29" customFormat="false" ht="30" hidden="false" customHeight="true" outlineLevel="0" collapsed="false">
      <c r="A29" s="93" t="s">
        <v>1633</v>
      </c>
      <c r="B29" s="260" t="s">
        <v>1589</v>
      </c>
      <c r="C29" s="59" t="s">
        <v>302</v>
      </c>
      <c r="D29" s="59" t="s">
        <v>1618</v>
      </c>
      <c r="E29" s="107" t="s">
        <v>1634</v>
      </c>
      <c r="F29" s="95" t="s">
        <v>1635</v>
      </c>
      <c r="G29" s="107" t="s">
        <v>1636</v>
      </c>
      <c r="H29" s="60" t="s">
        <v>899</v>
      </c>
      <c r="I29" s="59" t="s">
        <v>457</v>
      </c>
      <c r="J29" s="52" t="s">
        <v>1560</v>
      </c>
      <c r="K29" s="53" t="s">
        <v>1561</v>
      </c>
      <c r="L29" s="52" t="s">
        <v>1637</v>
      </c>
      <c r="M29" s="60" t="s">
        <v>1435</v>
      </c>
      <c r="N29" s="59" t="n">
        <v>3</v>
      </c>
      <c r="O29" s="59" t="n">
        <v>4</v>
      </c>
      <c r="P29" s="59" t="n">
        <v>4</v>
      </c>
      <c r="Q29" s="55" t="n">
        <f aca="false">ROUND(N29*02_情境權重_Scenario!$C$21+O29*02_情境權重_Scenario!$C$22+P29*02_情境權重_Scenario!$C$23,1)</f>
        <v>3.7</v>
      </c>
      <c r="R29" s="59" t="n">
        <v>3</v>
      </c>
      <c r="S29" s="59" t="n">
        <v>4</v>
      </c>
      <c r="T29" s="59" t="n">
        <v>3</v>
      </c>
      <c r="U29" s="55" t="n">
        <f aca="false">ROUND(R29*02_情境權重_Scenario!$C$27+S29*02_情境權重_Scenario!$C$28+T29*02_情境權重_Scenario!$C$29,1)</f>
        <v>3.4</v>
      </c>
      <c r="V29" s="60" t="s">
        <v>1595</v>
      </c>
      <c r="W29" s="261" t="str">
        <f aca="false">IF(OR(M29="未通過",V29="極高"),"暫緩 Hold",IF(AND(Q29&gt;=3.5,U29&gt;=3),"立即推進 Go",IF(Q29&gt;=3.5,"先補條件 Prepare",IF(U29&gt;=3,"快速小案 Quick-win","儲備觀察 Backlog"))))</f>
        <v>立即推進 Go</v>
      </c>
      <c r="X29" s="52" t="s">
        <v>1638</v>
      </c>
      <c r="Y29" s="52" t="s">
        <v>1639</v>
      </c>
      <c r="Z29" s="53" t="s">
        <v>1438</v>
      </c>
      <c r="AA29" s="59" t="s">
        <v>1439</v>
      </c>
      <c r="AB29" s="59"/>
      <c r="AC29" s="52"/>
      <c r="AD29" s="52"/>
      <c r="AE29" s="60" t="s">
        <v>1440</v>
      </c>
      <c r="AF29" s="54" t="str">
        <f aca="false">IF($A29="","",16_能力商機矩陣_CapOppMap!$CQ29)</f>
        <v>OPP-26; OPP-52</v>
      </c>
      <c r="AG29" s="75" t="s">
        <v>443</v>
      </c>
      <c r="AH29" s="64" t="s">
        <v>1640</v>
      </c>
      <c r="AI29" s="65" t="s">
        <v>237</v>
      </c>
      <c r="AJ29" s="72" t="s">
        <v>1599</v>
      </c>
    </row>
    <row r="30" customFormat="false" ht="30" hidden="false" customHeight="true" outlineLevel="0" collapsed="false">
      <c r="A30" s="93" t="s">
        <v>1641</v>
      </c>
      <c r="B30" s="260" t="s">
        <v>1589</v>
      </c>
      <c r="C30" s="59" t="s">
        <v>302</v>
      </c>
      <c r="D30" s="59" t="s">
        <v>1590</v>
      </c>
      <c r="E30" s="107" t="s">
        <v>1642</v>
      </c>
      <c r="F30" s="95" t="s">
        <v>1643</v>
      </c>
      <c r="G30" s="107" t="s">
        <v>1644</v>
      </c>
      <c r="H30" s="60" t="s">
        <v>899</v>
      </c>
      <c r="I30" s="59" t="s">
        <v>480</v>
      </c>
      <c r="J30" s="52" t="s">
        <v>1560</v>
      </c>
      <c r="K30" s="53" t="s">
        <v>1561</v>
      </c>
      <c r="L30" s="52" t="s">
        <v>1645</v>
      </c>
      <c r="M30" s="60" t="s">
        <v>1435</v>
      </c>
      <c r="N30" s="59" t="n">
        <v>4</v>
      </c>
      <c r="O30" s="59" t="n">
        <v>3</v>
      </c>
      <c r="P30" s="59" t="n">
        <v>5</v>
      </c>
      <c r="Q30" s="55" t="n">
        <f aca="false">ROUND(N30*02_情境權重_Scenario!$C$21+O30*02_情境權重_Scenario!$C$22+P30*02_情境權重_Scenario!$C$23,1)</f>
        <v>4.1</v>
      </c>
      <c r="R30" s="59" t="n">
        <v>3</v>
      </c>
      <c r="S30" s="59" t="n">
        <v>4</v>
      </c>
      <c r="T30" s="59" t="n">
        <v>3</v>
      </c>
      <c r="U30" s="55" t="n">
        <f aca="false">ROUND(R30*02_情境權重_Scenario!$C$27+S30*02_情境權重_Scenario!$C$28+T30*02_情境權重_Scenario!$C$29,1)</f>
        <v>3.4</v>
      </c>
      <c r="V30" s="60" t="s">
        <v>1595</v>
      </c>
      <c r="W30" s="261" t="str">
        <f aca="false">IF(OR(M30="未通過",V30="極高"),"暫緩 Hold",IF(AND(Q30&gt;=3.5,U30&gt;=3),"立即推進 Go",IF(Q30&gt;=3.5,"先補條件 Prepare",IF(U30&gt;=3,"快速小案 Quick-win","儲備觀察 Backlog"))))</f>
        <v>立即推進 Go</v>
      </c>
      <c r="X30" s="52" t="s">
        <v>1646</v>
      </c>
      <c r="Y30" s="52" t="s">
        <v>1647</v>
      </c>
      <c r="Z30" s="53" t="s">
        <v>1438</v>
      </c>
      <c r="AA30" s="59" t="s">
        <v>1439</v>
      </c>
      <c r="AB30" s="59"/>
      <c r="AC30" s="52"/>
      <c r="AD30" s="52"/>
      <c r="AE30" s="60" t="s">
        <v>1440</v>
      </c>
      <c r="AF30" s="54" t="str">
        <f aca="false">IF($A30="","",16_能力商機矩陣_CapOppMap!$CQ30)</f>
        <v>OPP-24; OPP-25; OPP-27; OPP-29; OPP-39; OPP-59</v>
      </c>
      <c r="AG30" s="75" t="s">
        <v>443</v>
      </c>
      <c r="AH30" s="69" t="s">
        <v>1648</v>
      </c>
      <c r="AI30" s="65" t="s">
        <v>237</v>
      </c>
      <c r="AJ30" s="72" t="s">
        <v>1599</v>
      </c>
    </row>
    <row r="31" customFormat="false" ht="30" hidden="false" customHeight="true" outlineLevel="0" collapsed="false">
      <c r="A31" s="93" t="s">
        <v>1649</v>
      </c>
      <c r="B31" s="260" t="s">
        <v>1650</v>
      </c>
      <c r="C31" s="59" t="s">
        <v>269</v>
      </c>
      <c r="D31" s="60" t="s">
        <v>1651</v>
      </c>
      <c r="E31" s="107" t="s">
        <v>1652</v>
      </c>
      <c r="F31" s="95" t="s">
        <v>1653</v>
      </c>
      <c r="G31" s="107" t="s">
        <v>1654</v>
      </c>
      <c r="H31" s="60" t="s">
        <v>1431</v>
      </c>
      <c r="I31" s="59" t="s">
        <v>1655</v>
      </c>
      <c r="J31" s="52" t="s">
        <v>1656</v>
      </c>
      <c r="K31" s="53" t="s">
        <v>1657</v>
      </c>
      <c r="L31" s="52" t="s">
        <v>1658</v>
      </c>
      <c r="M31" s="60" t="s">
        <v>1435</v>
      </c>
      <c r="N31" s="59" t="n">
        <v>4</v>
      </c>
      <c r="O31" s="59" t="n">
        <v>5</v>
      </c>
      <c r="P31" s="59" t="n">
        <v>5</v>
      </c>
      <c r="Q31" s="55" t="n">
        <f aca="false">ROUND(N31*02_情境權重_Scenario!$C$21+O31*02_情境權重_Scenario!$C$22+P31*02_情境權重_Scenario!$C$23,1)</f>
        <v>4.7</v>
      </c>
      <c r="R31" s="59" t="n">
        <v>2</v>
      </c>
      <c r="S31" s="59" t="n">
        <v>3</v>
      </c>
      <c r="T31" s="59" t="n">
        <v>2</v>
      </c>
      <c r="U31" s="55" t="n">
        <f aca="false">ROUND(R31*02_情境權重_Scenario!$C$27+S31*02_情境權重_Scenario!$C$28+T31*02_情境權重_Scenario!$C$29,1)</f>
        <v>2.4</v>
      </c>
      <c r="V31" s="60" t="s">
        <v>1436</v>
      </c>
      <c r="W31" s="261" t="str">
        <f aca="false">IF(OR(M31="未通過",V31="極高"),"暫緩 Hold",IF(AND(Q31&gt;=3.5,U31&gt;=3),"立即推進 Go",IF(Q31&gt;=3.5,"先補條件 Prepare",IF(U31&gt;=3,"快速小案 Quick-win","儲備觀察 Backlog"))))</f>
        <v>先補條件 Prepare</v>
      </c>
      <c r="X31" s="52" t="s">
        <v>1659</v>
      </c>
      <c r="Y31" s="52" t="s">
        <v>1660</v>
      </c>
      <c r="Z31" s="53" t="s">
        <v>1438</v>
      </c>
      <c r="AA31" s="59" t="s">
        <v>1439</v>
      </c>
      <c r="AB31" s="59"/>
      <c r="AC31" s="52"/>
      <c r="AD31" s="52"/>
      <c r="AE31" s="60" t="s">
        <v>1440</v>
      </c>
      <c r="AF31" s="54" t="str">
        <f aca="false">IF($A31="","",16_能力商機矩陣_CapOppMap!$CQ31)</f>
        <v>OPP-05; OPP-14; OPP-15; OPP-17; OPP-20; OPP-23; OPP-71; OPP-73</v>
      </c>
      <c r="AG31" s="74" t="s">
        <v>367</v>
      </c>
      <c r="AH31" s="64" t="s">
        <v>250</v>
      </c>
      <c r="AI31" s="67" t="s">
        <v>251</v>
      </c>
      <c r="AJ31" s="66" t="s">
        <v>1661</v>
      </c>
    </row>
    <row r="32" customFormat="false" ht="30" hidden="false" customHeight="true" outlineLevel="0" collapsed="false">
      <c r="A32" s="93" t="s">
        <v>1662</v>
      </c>
      <c r="B32" s="260" t="s">
        <v>1650</v>
      </c>
      <c r="C32" s="59" t="s">
        <v>302</v>
      </c>
      <c r="D32" s="60" t="s">
        <v>1651</v>
      </c>
      <c r="E32" s="107" t="s">
        <v>1663</v>
      </c>
      <c r="F32" s="95" t="s">
        <v>1664</v>
      </c>
      <c r="G32" s="107" t="s">
        <v>1665</v>
      </c>
      <c r="H32" s="60" t="s">
        <v>1666</v>
      </c>
      <c r="I32" s="59" t="s">
        <v>363</v>
      </c>
      <c r="J32" s="52" t="s">
        <v>1667</v>
      </c>
      <c r="K32" s="53" t="s">
        <v>1668</v>
      </c>
      <c r="L32" s="52" t="s">
        <v>1669</v>
      </c>
      <c r="M32" s="60" t="s">
        <v>1435</v>
      </c>
      <c r="N32" s="59" t="n">
        <v>4</v>
      </c>
      <c r="O32" s="59" t="n">
        <v>5</v>
      </c>
      <c r="P32" s="59" t="n">
        <v>5</v>
      </c>
      <c r="Q32" s="55" t="n">
        <f aca="false">ROUND(N32*02_情境權重_Scenario!$C$21+O32*02_情境權重_Scenario!$C$22+P32*02_情境權重_Scenario!$C$23,1)</f>
        <v>4.7</v>
      </c>
      <c r="R32" s="59" t="n">
        <v>2</v>
      </c>
      <c r="S32" s="59" t="n">
        <v>3</v>
      </c>
      <c r="T32" s="59" t="n">
        <v>2</v>
      </c>
      <c r="U32" s="55" t="n">
        <f aca="false">ROUND(R32*02_情境權重_Scenario!$C$27+S32*02_情境權重_Scenario!$C$28+T32*02_情境權重_Scenario!$C$29,1)</f>
        <v>2.4</v>
      </c>
      <c r="V32" s="60" t="s">
        <v>1436</v>
      </c>
      <c r="W32" s="261" t="str">
        <f aca="false">IF(OR(M32="未通過",V32="極高"),"暫緩 Hold",IF(AND(Q32&gt;=3.5,U32&gt;=3),"立即推進 Go",IF(Q32&gt;=3.5,"先補條件 Prepare",IF(U32&gt;=3,"快速小案 Quick-win","儲備觀察 Backlog"))))</f>
        <v>先補條件 Prepare</v>
      </c>
      <c r="X32" s="52" t="s">
        <v>1670</v>
      </c>
      <c r="Y32" s="52" t="s">
        <v>1671</v>
      </c>
      <c r="Z32" s="53" t="s">
        <v>1672</v>
      </c>
      <c r="AA32" s="59" t="s">
        <v>1439</v>
      </c>
      <c r="AB32" s="59"/>
      <c r="AC32" s="52"/>
      <c r="AD32" s="52"/>
      <c r="AE32" s="60" t="s">
        <v>1440</v>
      </c>
      <c r="AF32" s="54" t="str">
        <f aca="false">IF($A32="","",16_能力商機矩陣_CapOppMap!$CQ32)</f>
        <v>OPP-14; OPP-23; OPP-32; OPP-39; OPP-44; OPP-45</v>
      </c>
      <c r="AG32" s="74" t="s">
        <v>367</v>
      </c>
      <c r="AH32" s="64" t="s">
        <v>1673</v>
      </c>
      <c r="AI32" s="65" t="s">
        <v>237</v>
      </c>
      <c r="AJ32" s="66" t="s">
        <v>1661</v>
      </c>
    </row>
    <row r="33" customFormat="false" ht="30" hidden="false" customHeight="true" outlineLevel="0" collapsed="false">
      <c r="A33" s="93" t="s">
        <v>1674</v>
      </c>
      <c r="B33" s="260" t="s">
        <v>1650</v>
      </c>
      <c r="C33" s="59" t="s">
        <v>302</v>
      </c>
      <c r="D33" s="60" t="s">
        <v>1651</v>
      </c>
      <c r="E33" s="107" t="s">
        <v>1675</v>
      </c>
      <c r="F33" s="95" t="s">
        <v>1676</v>
      </c>
      <c r="G33" s="107" t="s">
        <v>1677</v>
      </c>
      <c r="H33" s="60" t="s">
        <v>1666</v>
      </c>
      <c r="I33" s="59" t="s">
        <v>414</v>
      </c>
      <c r="J33" s="52" t="s">
        <v>1678</v>
      </c>
      <c r="K33" s="53" t="s">
        <v>1679</v>
      </c>
      <c r="L33" s="52" t="s">
        <v>1680</v>
      </c>
      <c r="M33" s="60" t="s">
        <v>1435</v>
      </c>
      <c r="N33" s="59" t="n">
        <v>4</v>
      </c>
      <c r="O33" s="59" t="n">
        <v>5</v>
      </c>
      <c r="P33" s="59" t="n">
        <v>4</v>
      </c>
      <c r="Q33" s="55" t="n">
        <f aca="false">ROUND(N33*02_情境權重_Scenario!$C$21+O33*02_情境權重_Scenario!$C$22+P33*02_情境權重_Scenario!$C$23,1)</f>
        <v>4.3</v>
      </c>
      <c r="R33" s="59" t="n">
        <v>2</v>
      </c>
      <c r="S33" s="59" t="n">
        <v>3</v>
      </c>
      <c r="T33" s="59" t="n">
        <v>2</v>
      </c>
      <c r="U33" s="55" t="n">
        <f aca="false">ROUND(R33*02_情境權重_Scenario!$C$27+S33*02_情境權重_Scenario!$C$28+T33*02_情境權重_Scenario!$C$29,1)</f>
        <v>2.4</v>
      </c>
      <c r="V33" s="60" t="s">
        <v>1436</v>
      </c>
      <c r="W33" s="261" t="str">
        <f aca="false">IF(OR(M33="未通過",V33="極高"),"暫緩 Hold",IF(AND(Q33&gt;=3.5,U33&gt;=3),"立即推進 Go",IF(Q33&gt;=3.5,"先補條件 Prepare",IF(U33&gt;=3,"快速小案 Quick-win","儲備觀察 Backlog"))))</f>
        <v>先補條件 Prepare</v>
      </c>
      <c r="X33" s="52" t="s">
        <v>1670</v>
      </c>
      <c r="Y33" s="52" t="s">
        <v>1681</v>
      </c>
      <c r="Z33" s="53" t="s">
        <v>1672</v>
      </c>
      <c r="AA33" s="59" t="s">
        <v>1439</v>
      </c>
      <c r="AB33" s="59"/>
      <c r="AC33" s="52"/>
      <c r="AD33" s="52"/>
      <c r="AE33" s="60" t="s">
        <v>1440</v>
      </c>
      <c r="AF33" s="54" t="str">
        <f aca="false">IF($A33="","",16_能力商機矩陣_CapOppMap!$CQ33)</f>
        <v>OPP-21; OPP-61; OPP-76</v>
      </c>
      <c r="AG33" s="74" t="s">
        <v>367</v>
      </c>
      <c r="AH33" s="69" t="s">
        <v>1682</v>
      </c>
      <c r="AI33" s="65" t="s">
        <v>237</v>
      </c>
      <c r="AJ33" s="66" t="s">
        <v>1661</v>
      </c>
    </row>
    <row r="34" customFormat="false" ht="30" hidden="false" customHeight="true" outlineLevel="0" collapsed="false">
      <c r="A34" s="93" t="s">
        <v>1683</v>
      </c>
      <c r="B34" s="260" t="s">
        <v>1650</v>
      </c>
      <c r="C34" s="59" t="s">
        <v>302</v>
      </c>
      <c r="D34" s="60" t="s">
        <v>1651</v>
      </c>
      <c r="E34" s="107" t="s">
        <v>1684</v>
      </c>
      <c r="F34" s="95" t="s">
        <v>1685</v>
      </c>
      <c r="G34" s="107" t="s">
        <v>1686</v>
      </c>
      <c r="H34" s="60" t="s">
        <v>1666</v>
      </c>
      <c r="I34" s="59" t="s">
        <v>354</v>
      </c>
      <c r="J34" s="52" t="s">
        <v>1687</v>
      </c>
      <c r="K34" s="53" t="s">
        <v>1688</v>
      </c>
      <c r="L34" s="52" t="s">
        <v>1689</v>
      </c>
      <c r="M34" s="60" t="s">
        <v>1435</v>
      </c>
      <c r="N34" s="59" t="n">
        <v>4</v>
      </c>
      <c r="O34" s="59" t="n">
        <v>5</v>
      </c>
      <c r="P34" s="59" t="n">
        <v>5</v>
      </c>
      <c r="Q34" s="55" t="n">
        <f aca="false">ROUND(N34*02_情境權重_Scenario!$C$21+O34*02_情境權重_Scenario!$C$22+P34*02_情境權重_Scenario!$C$23,1)</f>
        <v>4.7</v>
      </c>
      <c r="R34" s="59" t="n">
        <v>2</v>
      </c>
      <c r="S34" s="59" t="n">
        <v>3</v>
      </c>
      <c r="T34" s="59" t="n">
        <v>2</v>
      </c>
      <c r="U34" s="55" t="n">
        <f aca="false">ROUND(R34*02_情境權重_Scenario!$C$27+S34*02_情境權重_Scenario!$C$28+T34*02_情境權重_Scenario!$C$29,1)</f>
        <v>2.4</v>
      </c>
      <c r="V34" s="60" t="s">
        <v>1436</v>
      </c>
      <c r="W34" s="261" t="str">
        <f aca="false">IF(OR(M34="未通過",V34="極高"),"暫緩 Hold",IF(AND(Q34&gt;=3.5,U34&gt;=3),"立即推進 Go",IF(Q34&gt;=3.5,"先補條件 Prepare",IF(U34&gt;=3,"快速小案 Quick-win","儲備觀察 Backlog"))))</f>
        <v>先補條件 Prepare</v>
      </c>
      <c r="X34" s="52" t="s">
        <v>1690</v>
      </c>
      <c r="Y34" s="52" t="s">
        <v>1691</v>
      </c>
      <c r="Z34" s="53" t="s">
        <v>1672</v>
      </c>
      <c r="AA34" s="59" t="s">
        <v>1439</v>
      </c>
      <c r="AB34" s="59"/>
      <c r="AC34" s="52"/>
      <c r="AD34" s="52"/>
      <c r="AE34" s="60" t="s">
        <v>1440</v>
      </c>
      <c r="AF34" s="54" t="str">
        <f aca="false">IF($A34="","",16_能力商機矩陣_CapOppMap!$CQ34)</f>
        <v>OPP-05; OPP-08; OPP-15; OPP-16; OPP-19; OPP-72; OPP-73</v>
      </c>
      <c r="AG34" s="74" t="s">
        <v>367</v>
      </c>
      <c r="AH34" s="64" t="s">
        <v>250</v>
      </c>
      <c r="AI34" s="67" t="s">
        <v>251</v>
      </c>
      <c r="AJ34" s="66" t="s">
        <v>1661</v>
      </c>
    </row>
    <row r="35" customFormat="false" ht="30" hidden="false" customHeight="true" outlineLevel="0" collapsed="false">
      <c r="A35" s="93" t="s">
        <v>1692</v>
      </c>
      <c r="B35" s="260" t="s">
        <v>1650</v>
      </c>
      <c r="C35" s="59" t="s">
        <v>302</v>
      </c>
      <c r="D35" s="60" t="s">
        <v>1651</v>
      </c>
      <c r="E35" s="107" t="s">
        <v>1693</v>
      </c>
      <c r="F35" s="95" t="s">
        <v>1694</v>
      </c>
      <c r="G35" s="107" t="s">
        <v>1695</v>
      </c>
      <c r="H35" s="60" t="s">
        <v>1431</v>
      </c>
      <c r="I35" s="59" t="s">
        <v>354</v>
      </c>
      <c r="J35" s="52" t="s">
        <v>1696</v>
      </c>
      <c r="K35" s="53" t="s">
        <v>1697</v>
      </c>
      <c r="L35" s="52" t="s">
        <v>1698</v>
      </c>
      <c r="M35" s="60" t="s">
        <v>1435</v>
      </c>
      <c r="N35" s="59" t="n">
        <v>4</v>
      </c>
      <c r="O35" s="59" t="n">
        <v>5</v>
      </c>
      <c r="P35" s="59" t="n">
        <v>4</v>
      </c>
      <c r="Q35" s="55" t="n">
        <f aca="false">ROUND(N35*02_情境權重_Scenario!$C$21+O35*02_情境權重_Scenario!$C$22+P35*02_情境權重_Scenario!$C$23,1)</f>
        <v>4.3</v>
      </c>
      <c r="R35" s="59" t="n">
        <v>2</v>
      </c>
      <c r="S35" s="59" t="n">
        <v>3</v>
      </c>
      <c r="T35" s="59" t="n">
        <v>2</v>
      </c>
      <c r="U35" s="55" t="n">
        <f aca="false">ROUND(R35*02_情境權重_Scenario!$C$27+S35*02_情境權重_Scenario!$C$28+T35*02_情境權重_Scenario!$C$29,1)</f>
        <v>2.4</v>
      </c>
      <c r="V35" s="60" t="s">
        <v>1436</v>
      </c>
      <c r="W35" s="261" t="str">
        <f aca="false">IF(OR(M35="未通過",V35="極高"),"暫緩 Hold",IF(AND(Q35&gt;=3.5,U35&gt;=3),"立即推進 Go",IF(Q35&gt;=3.5,"先補條件 Prepare",IF(U35&gt;=3,"快速小案 Quick-win","儲備觀察 Backlog"))))</f>
        <v>先補條件 Prepare</v>
      </c>
      <c r="X35" s="52" t="s">
        <v>1699</v>
      </c>
      <c r="Y35" s="52" t="s">
        <v>1700</v>
      </c>
      <c r="Z35" s="53" t="s">
        <v>1438</v>
      </c>
      <c r="AA35" s="59" t="s">
        <v>1439</v>
      </c>
      <c r="AB35" s="59"/>
      <c r="AC35" s="52"/>
      <c r="AD35" s="52"/>
      <c r="AE35" s="60" t="s">
        <v>1440</v>
      </c>
      <c r="AF35" s="54" t="str">
        <f aca="false">IF($A35="","",16_能力商機矩陣_CapOppMap!$CQ35)</f>
        <v>OPP-19; OPP-21; OPP-38</v>
      </c>
      <c r="AG35" s="74" t="s">
        <v>367</v>
      </c>
      <c r="AH35" s="64" t="s">
        <v>250</v>
      </c>
      <c r="AI35" s="67" t="s">
        <v>251</v>
      </c>
      <c r="AJ35" s="66" t="s">
        <v>1661</v>
      </c>
    </row>
    <row r="36" customFormat="false" ht="30" hidden="false" customHeight="true" outlineLevel="0" collapsed="false">
      <c r="A36" s="93" t="s">
        <v>1701</v>
      </c>
      <c r="B36" s="260" t="s">
        <v>1650</v>
      </c>
      <c r="C36" s="59" t="s">
        <v>302</v>
      </c>
      <c r="D36" s="60" t="s">
        <v>1651</v>
      </c>
      <c r="E36" s="107" t="s">
        <v>1702</v>
      </c>
      <c r="F36" s="95" t="s">
        <v>1703</v>
      </c>
      <c r="G36" s="107" t="s">
        <v>1704</v>
      </c>
      <c r="H36" s="60" t="s">
        <v>1431</v>
      </c>
      <c r="I36" s="59" t="s">
        <v>354</v>
      </c>
      <c r="J36" s="52" t="s">
        <v>1705</v>
      </c>
      <c r="K36" s="53" t="s">
        <v>1706</v>
      </c>
      <c r="L36" s="52" t="s">
        <v>1707</v>
      </c>
      <c r="M36" s="60" t="s">
        <v>1435</v>
      </c>
      <c r="N36" s="59" t="n">
        <v>4</v>
      </c>
      <c r="O36" s="59" t="n">
        <v>5</v>
      </c>
      <c r="P36" s="59" t="n">
        <v>5</v>
      </c>
      <c r="Q36" s="55" t="n">
        <f aca="false">ROUND(N36*02_情境權重_Scenario!$C$21+O36*02_情境權重_Scenario!$C$22+P36*02_情境權重_Scenario!$C$23,1)</f>
        <v>4.7</v>
      </c>
      <c r="R36" s="59" t="n">
        <v>2</v>
      </c>
      <c r="S36" s="59" t="n">
        <v>3</v>
      </c>
      <c r="T36" s="59" t="n">
        <v>2</v>
      </c>
      <c r="U36" s="55" t="n">
        <f aca="false">ROUND(R36*02_情境權重_Scenario!$C$27+S36*02_情境權重_Scenario!$C$28+T36*02_情境權重_Scenario!$C$29,1)</f>
        <v>2.4</v>
      </c>
      <c r="V36" s="60" t="s">
        <v>1436</v>
      </c>
      <c r="W36" s="261" t="str">
        <f aca="false">IF(OR(M36="未通過",V36="極高"),"暫緩 Hold",IF(AND(Q36&gt;=3.5,U36&gt;=3),"立即推進 Go",IF(Q36&gt;=3.5,"先補條件 Prepare",IF(U36&gt;=3,"快速小案 Quick-win","儲備觀察 Backlog"))))</f>
        <v>先補條件 Prepare</v>
      </c>
      <c r="X36" s="52" t="s">
        <v>1641</v>
      </c>
      <c r="Y36" s="52" t="s">
        <v>1708</v>
      </c>
      <c r="Z36" s="53" t="s">
        <v>1438</v>
      </c>
      <c r="AA36" s="59" t="s">
        <v>1439</v>
      </c>
      <c r="AB36" s="59"/>
      <c r="AC36" s="52"/>
      <c r="AD36" s="52"/>
      <c r="AE36" s="60" t="s">
        <v>1440</v>
      </c>
      <c r="AF36" s="54" t="str">
        <f aca="false">IF($A36="","",16_能力商機矩陣_CapOppMap!$CQ36)</f>
        <v>OPP-13; OPP-15; OPP-17; OPP-18; OPP-20; OPP-46; OPP-54; OPP-65; OPP-66</v>
      </c>
      <c r="AG36" s="74" t="s">
        <v>367</v>
      </c>
      <c r="AH36" s="69" t="s">
        <v>1709</v>
      </c>
      <c r="AI36" s="65" t="s">
        <v>237</v>
      </c>
      <c r="AJ36" s="66" t="s">
        <v>1661</v>
      </c>
    </row>
    <row r="37" customFormat="false" ht="30" hidden="false" customHeight="true" outlineLevel="0" collapsed="false">
      <c r="A37" s="93" t="s">
        <v>1710</v>
      </c>
      <c r="B37" s="260" t="s">
        <v>1711</v>
      </c>
      <c r="C37" s="59" t="s">
        <v>361</v>
      </c>
      <c r="D37" s="60" t="s">
        <v>1712</v>
      </c>
      <c r="E37" s="95" t="s">
        <v>1713</v>
      </c>
      <c r="F37" s="95" t="s">
        <v>1714</v>
      </c>
      <c r="G37" s="107" t="s">
        <v>1715</v>
      </c>
      <c r="H37" s="60" t="s">
        <v>1431</v>
      </c>
      <c r="I37" s="59" t="s">
        <v>487</v>
      </c>
      <c r="J37" s="52" t="s">
        <v>1696</v>
      </c>
      <c r="K37" s="53" t="s">
        <v>1716</v>
      </c>
      <c r="L37" s="52" t="s">
        <v>1717</v>
      </c>
      <c r="M37" s="60" t="s">
        <v>1435</v>
      </c>
      <c r="N37" s="59" t="n">
        <v>5</v>
      </c>
      <c r="O37" s="59" t="n">
        <v>5</v>
      </c>
      <c r="P37" s="59" t="n">
        <v>4</v>
      </c>
      <c r="Q37" s="55" t="n">
        <f aca="false">ROUND(N37*02_情境權重_Scenario!$C$21+O37*02_情境權重_Scenario!$C$22+P37*02_情境權重_Scenario!$C$23,1)</f>
        <v>4.7</v>
      </c>
      <c r="R37" s="59" t="n">
        <v>2</v>
      </c>
      <c r="S37" s="59" t="n">
        <v>3</v>
      </c>
      <c r="T37" s="59" t="n">
        <v>2</v>
      </c>
      <c r="U37" s="55" t="n">
        <f aca="false">ROUND(R37*02_情境權重_Scenario!$C$27+S37*02_情境權重_Scenario!$C$28+T37*02_情境權重_Scenario!$C$29,1)</f>
        <v>2.4</v>
      </c>
      <c r="V37" s="60" t="s">
        <v>1436</v>
      </c>
      <c r="W37" s="261" t="str">
        <f aca="false">IF(OR(M37="未通過",V37="極高"),"暫緩 Hold",IF(AND(Q37&gt;=3.5,U37&gt;=3),"立即推進 Go",IF(Q37&gt;=3.5,"先補條件 Prepare",IF(U37&gt;=3,"快速小案 Quick-win","儲備觀察 Backlog"))))</f>
        <v>先補條件 Prepare</v>
      </c>
      <c r="X37" s="52" t="s">
        <v>1718</v>
      </c>
      <c r="Y37" s="52" t="s">
        <v>1719</v>
      </c>
      <c r="Z37" s="53" t="s">
        <v>1438</v>
      </c>
      <c r="AA37" s="59" t="s">
        <v>1439</v>
      </c>
      <c r="AB37" s="59"/>
      <c r="AC37" s="52"/>
      <c r="AD37" s="52"/>
      <c r="AE37" s="60" t="s">
        <v>1440</v>
      </c>
      <c r="AF37" s="54" t="str">
        <f aca="false">IF($A37="","",16_能力商機矩陣_CapOppMap!$CQ37)</f>
        <v>OPP-30; OPP-31; OPP-40</v>
      </c>
      <c r="AG37" s="77" t="s">
        <v>498</v>
      </c>
      <c r="AH37" s="64" t="s">
        <v>1720</v>
      </c>
      <c r="AI37" s="65" t="s">
        <v>237</v>
      </c>
      <c r="AJ37" s="66" t="s">
        <v>1721</v>
      </c>
    </row>
    <row r="38" customFormat="false" ht="30" hidden="false" customHeight="true" outlineLevel="0" collapsed="false">
      <c r="A38" s="93" t="s">
        <v>1722</v>
      </c>
      <c r="B38" s="260" t="s">
        <v>1711</v>
      </c>
      <c r="C38" s="59" t="s">
        <v>302</v>
      </c>
      <c r="D38" s="60" t="s">
        <v>1712</v>
      </c>
      <c r="E38" s="95" t="s">
        <v>1723</v>
      </c>
      <c r="F38" s="95" t="s">
        <v>1724</v>
      </c>
      <c r="G38" s="107" t="s">
        <v>1725</v>
      </c>
      <c r="H38" s="60" t="s">
        <v>1431</v>
      </c>
      <c r="I38" s="59" t="s">
        <v>513</v>
      </c>
      <c r="J38" s="52" t="s">
        <v>1696</v>
      </c>
      <c r="K38" s="53" t="s">
        <v>1726</v>
      </c>
      <c r="L38" s="52" t="s">
        <v>1727</v>
      </c>
      <c r="M38" s="60" t="s">
        <v>1435</v>
      </c>
      <c r="N38" s="59" t="n">
        <v>5</v>
      </c>
      <c r="O38" s="59" t="n">
        <v>5</v>
      </c>
      <c r="P38" s="59" t="n">
        <v>5</v>
      </c>
      <c r="Q38" s="55" t="n">
        <f aca="false">ROUND(N38*02_情境權重_Scenario!$C$21+O38*02_情境權重_Scenario!$C$22+P38*02_情境權重_Scenario!$C$23,1)</f>
        <v>5</v>
      </c>
      <c r="R38" s="59" t="n">
        <v>2</v>
      </c>
      <c r="S38" s="59" t="n">
        <v>3</v>
      </c>
      <c r="T38" s="59" t="n">
        <v>2</v>
      </c>
      <c r="U38" s="55" t="n">
        <f aca="false">ROUND(R38*02_情境權重_Scenario!$C$27+S38*02_情境權重_Scenario!$C$28+T38*02_情境權重_Scenario!$C$29,1)</f>
        <v>2.4</v>
      </c>
      <c r="V38" s="60" t="s">
        <v>1436</v>
      </c>
      <c r="W38" s="261" t="str">
        <f aca="false">IF(OR(M38="未通過",V38="極高"),"暫緩 Hold",IF(AND(Q38&gt;=3.5,U38&gt;=3),"立即推進 Go",IF(Q38&gt;=3.5,"先補條件 Prepare",IF(U38&gt;=3,"快速小案 Quick-win","儲備觀察 Backlog"))))</f>
        <v>先補條件 Prepare</v>
      </c>
      <c r="X38" s="52" t="s">
        <v>1710</v>
      </c>
      <c r="Y38" s="52" t="s">
        <v>1728</v>
      </c>
      <c r="Z38" s="53" t="s">
        <v>1438</v>
      </c>
      <c r="AA38" s="59" t="s">
        <v>1439</v>
      </c>
      <c r="AB38" s="59"/>
      <c r="AC38" s="52"/>
      <c r="AD38" s="52"/>
      <c r="AE38" s="60" t="s">
        <v>1440</v>
      </c>
      <c r="AF38" s="54" t="str">
        <f aca="false">IF($A38="","",16_能力商機矩陣_CapOppMap!$CQ38)</f>
        <v>OPP-21; OPP-32; OPP-33; OPP-44</v>
      </c>
      <c r="AG38" s="77" t="s">
        <v>498</v>
      </c>
      <c r="AH38" s="69" t="s">
        <v>1729</v>
      </c>
      <c r="AI38" s="65" t="s">
        <v>237</v>
      </c>
      <c r="AJ38" s="66" t="s">
        <v>1721</v>
      </c>
    </row>
    <row r="39" customFormat="false" ht="30" hidden="false" customHeight="true" outlineLevel="0" collapsed="false">
      <c r="A39" s="93" t="s">
        <v>1730</v>
      </c>
      <c r="B39" s="260" t="s">
        <v>1711</v>
      </c>
      <c r="C39" s="59" t="s">
        <v>302</v>
      </c>
      <c r="D39" s="60" t="s">
        <v>1712</v>
      </c>
      <c r="E39" s="107" t="s">
        <v>1731</v>
      </c>
      <c r="F39" s="95" t="s">
        <v>1732</v>
      </c>
      <c r="G39" s="107" t="s">
        <v>1733</v>
      </c>
      <c r="H39" s="60" t="s">
        <v>1666</v>
      </c>
      <c r="I39" s="59" t="s">
        <v>536</v>
      </c>
      <c r="J39" s="52" t="s">
        <v>1734</v>
      </c>
      <c r="K39" s="53" t="s">
        <v>1735</v>
      </c>
      <c r="L39" s="52" t="s">
        <v>1736</v>
      </c>
      <c r="M39" s="60" t="s">
        <v>1435</v>
      </c>
      <c r="N39" s="59" t="n">
        <v>5</v>
      </c>
      <c r="O39" s="59" t="n">
        <v>5</v>
      </c>
      <c r="P39" s="59" t="n">
        <v>3</v>
      </c>
      <c r="Q39" s="55" t="n">
        <f aca="false">ROUND(N39*02_情境權重_Scenario!$C$21+O39*02_情境權重_Scenario!$C$22+P39*02_情境權重_Scenario!$C$23,1)</f>
        <v>4.3</v>
      </c>
      <c r="R39" s="59" t="n">
        <v>2</v>
      </c>
      <c r="S39" s="59" t="n">
        <v>3</v>
      </c>
      <c r="T39" s="59" t="n">
        <v>2</v>
      </c>
      <c r="U39" s="55" t="n">
        <f aca="false">ROUND(R39*02_情境權重_Scenario!$C$27+S39*02_情境權重_Scenario!$C$28+T39*02_情境權重_Scenario!$C$29,1)</f>
        <v>2.4</v>
      </c>
      <c r="V39" s="60" t="s">
        <v>1436</v>
      </c>
      <c r="W39" s="261" t="str">
        <f aca="false">IF(OR(M39="未通過",V39="極高"),"暫緩 Hold",IF(AND(Q39&gt;=3.5,U39&gt;=3),"立即推進 Go",IF(Q39&gt;=3.5,"先補條件 Prepare",IF(U39&gt;=3,"快速小案 Quick-win","儲備觀察 Backlog"))))</f>
        <v>先補條件 Prepare</v>
      </c>
      <c r="X39" s="52" t="s">
        <v>1710</v>
      </c>
      <c r="Y39" s="52" t="s">
        <v>1737</v>
      </c>
      <c r="Z39" s="53" t="s">
        <v>1672</v>
      </c>
      <c r="AA39" s="59" t="s">
        <v>1439</v>
      </c>
      <c r="AB39" s="59"/>
      <c r="AC39" s="52"/>
      <c r="AD39" s="52"/>
      <c r="AE39" s="60" t="s">
        <v>1440</v>
      </c>
      <c r="AF39" s="54" t="str">
        <f aca="false">IF($A39="","",16_能力商機矩陣_CapOppMap!$CQ39)</f>
        <v>OPP-34</v>
      </c>
      <c r="AG39" s="77" t="s">
        <v>498</v>
      </c>
      <c r="AH39" s="69" t="s">
        <v>1738</v>
      </c>
      <c r="AI39" s="65" t="s">
        <v>237</v>
      </c>
      <c r="AJ39" s="66" t="s">
        <v>1721</v>
      </c>
    </row>
    <row r="40" customFormat="false" ht="30" hidden="false" customHeight="true" outlineLevel="0" collapsed="false">
      <c r="A40" s="93" t="s">
        <v>1739</v>
      </c>
      <c r="B40" s="260" t="s">
        <v>1711</v>
      </c>
      <c r="C40" s="59" t="s">
        <v>361</v>
      </c>
      <c r="D40" s="60" t="s">
        <v>1712</v>
      </c>
      <c r="E40" s="107" t="s">
        <v>1740</v>
      </c>
      <c r="F40" s="95" t="s">
        <v>1741</v>
      </c>
      <c r="G40" s="107" t="s">
        <v>1742</v>
      </c>
      <c r="H40" s="60" t="s">
        <v>1431</v>
      </c>
      <c r="I40" s="59" t="s">
        <v>522</v>
      </c>
      <c r="J40" s="52" t="s">
        <v>1488</v>
      </c>
      <c r="K40" s="53" t="s">
        <v>1743</v>
      </c>
      <c r="L40" s="52" t="s">
        <v>1744</v>
      </c>
      <c r="M40" s="60" t="s">
        <v>1435</v>
      </c>
      <c r="N40" s="59" t="n">
        <v>5</v>
      </c>
      <c r="O40" s="59" t="n">
        <v>5</v>
      </c>
      <c r="P40" s="59" t="n">
        <v>5</v>
      </c>
      <c r="Q40" s="55" t="n">
        <f aca="false">ROUND(N40*02_情境權重_Scenario!$C$21+O40*02_情境權重_Scenario!$C$22+P40*02_情境權重_Scenario!$C$23,1)</f>
        <v>5</v>
      </c>
      <c r="R40" s="59" t="n">
        <v>2</v>
      </c>
      <c r="S40" s="59" t="n">
        <v>3</v>
      </c>
      <c r="T40" s="59" t="n">
        <v>2</v>
      </c>
      <c r="U40" s="55" t="n">
        <f aca="false">ROUND(R40*02_情境權重_Scenario!$C$27+S40*02_情境權重_Scenario!$C$28+T40*02_情境權重_Scenario!$C$29,1)</f>
        <v>2.4</v>
      </c>
      <c r="V40" s="60" t="s">
        <v>1436</v>
      </c>
      <c r="W40" s="261" t="str">
        <f aca="false">IF(OR(M40="未通過",V40="極高"),"暫緩 Hold",IF(AND(Q40&gt;=3.5,U40&gt;=3),"立即推進 Go",IF(Q40&gt;=3.5,"先補條件 Prepare",IF(U40&gt;=3,"快速小案 Quick-win","儲備觀察 Backlog"))))</f>
        <v>先補條件 Prepare</v>
      </c>
      <c r="X40" s="52" t="s">
        <v>1710</v>
      </c>
      <c r="Y40" s="52" t="s">
        <v>1745</v>
      </c>
      <c r="Z40" s="53" t="s">
        <v>1438</v>
      </c>
      <c r="AA40" s="59" t="s">
        <v>1439</v>
      </c>
      <c r="AB40" s="59"/>
      <c r="AC40" s="52"/>
      <c r="AD40" s="52"/>
      <c r="AE40" s="60" t="s">
        <v>1440</v>
      </c>
      <c r="AF40" s="54" t="str">
        <f aca="false">IF($A40="","",16_能力商機矩陣_CapOppMap!$CQ40)</f>
        <v>OPP-33; OPP-34; OPP-35; OPP-58</v>
      </c>
      <c r="AG40" s="77" t="s">
        <v>498</v>
      </c>
      <c r="AH40" s="64" t="s">
        <v>1746</v>
      </c>
      <c r="AI40" s="73" t="s">
        <v>327</v>
      </c>
      <c r="AJ40" s="66" t="s">
        <v>1721</v>
      </c>
    </row>
    <row r="41" customFormat="false" ht="30" hidden="false" customHeight="true" outlineLevel="0" collapsed="false">
      <c r="A41" s="93" t="s">
        <v>1747</v>
      </c>
      <c r="B41" s="260" t="s">
        <v>1711</v>
      </c>
      <c r="C41" s="59" t="s">
        <v>302</v>
      </c>
      <c r="D41" s="60" t="s">
        <v>1712</v>
      </c>
      <c r="E41" s="107" t="s">
        <v>1748</v>
      </c>
      <c r="F41" s="95" t="s">
        <v>1749</v>
      </c>
      <c r="G41" s="107" t="s">
        <v>1750</v>
      </c>
      <c r="H41" s="60" t="s">
        <v>1431</v>
      </c>
      <c r="I41" s="59" t="s">
        <v>569</v>
      </c>
      <c r="J41" s="52" t="s">
        <v>1696</v>
      </c>
      <c r="K41" s="53" t="s">
        <v>1751</v>
      </c>
      <c r="L41" s="52" t="s">
        <v>1752</v>
      </c>
      <c r="M41" s="60" t="s">
        <v>1435</v>
      </c>
      <c r="N41" s="59" t="n">
        <v>5</v>
      </c>
      <c r="O41" s="59" t="n">
        <v>5</v>
      </c>
      <c r="P41" s="59" t="n">
        <v>5</v>
      </c>
      <c r="Q41" s="55" t="n">
        <f aca="false">ROUND(N41*02_情境權重_Scenario!$C$21+O41*02_情境權重_Scenario!$C$22+P41*02_情境權重_Scenario!$C$23,1)</f>
        <v>5</v>
      </c>
      <c r="R41" s="59" t="n">
        <v>2</v>
      </c>
      <c r="S41" s="59" t="n">
        <v>3</v>
      </c>
      <c r="T41" s="59" t="n">
        <v>2</v>
      </c>
      <c r="U41" s="55" t="n">
        <f aca="false">ROUND(R41*02_情境權重_Scenario!$C$27+S41*02_情境權重_Scenario!$C$28+T41*02_情境權重_Scenario!$C$29,1)</f>
        <v>2.4</v>
      </c>
      <c r="V41" s="60" t="s">
        <v>1436</v>
      </c>
      <c r="W41" s="261" t="str">
        <f aca="false">IF(OR(M41="未通過",V41="極高"),"暫緩 Hold",IF(AND(Q41&gt;=3.5,U41&gt;=3),"立即推進 Go",IF(Q41&gt;=3.5,"先補條件 Prepare",IF(U41&gt;=3,"快速小案 Quick-win","儲備觀察 Backlog"))))</f>
        <v>先補條件 Prepare</v>
      </c>
      <c r="X41" s="52" t="s">
        <v>1753</v>
      </c>
      <c r="Y41" s="52" t="s">
        <v>1754</v>
      </c>
      <c r="Z41" s="53" t="s">
        <v>1438</v>
      </c>
      <c r="AA41" s="59" t="s">
        <v>1439</v>
      </c>
      <c r="AB41" s="59"/>
      <c r="AC41" s="52"/>
      <c r="AD41" s="52"/>
      <c r="AE41" s="60" t="s">
        <v>1440</v>
      </c>
      <c r="AF41" s="54" t="str">
        <f aca="false">IF($A41="","",16_能力商機矩陣_CapOppMap!$CQ41)</f>
        <v>OPP-31; OPP-38; OPP-41; OPP-42</v>
      </c>
      <c r="AG41" s="77" t="s">
        <v>498</v>
      </c>
      <c r="AH41" s="69" t="s">
        <v>1755</v>
      </c>
      <c r="AI41" s="65" t="s">
        <v>237</v>
      </c>
      <c r="AJ41" s="66" t="s">
        <v>1721</v>
      </c>
    </row>
    <row r="42" customFormat="false" ht="30" hidden="false" customHeight="true" outlineLevel="0" collapsed="false">
      <c r="A42" s="93" t="s">
        <v>1756</v>
      </c>
      <c r="B42" s="260" t="s">
        <v>1711</v>
      </c>
      <c r="C42" s="59" t="s">
        <v>302</v>
      </c>
      <c r="D42" s="60" t="s">
        <v>1712</v>
      </c>
      <c r="E42" s="107" t="s">
        <v>1757</v>
      </c>
      <c r="F42" s="95" t="s">
        <v>1758</v>
      </c>
      <c r="G42" s="107" t="s">
        <v>1759</v>
      </c>
      <c r="H42" s="60" t="s">
        <v>1431</v>
      </c>
      <c r="I42" s="59" t="s">
        <v>543</v>
      </c>
      <c r="J42" s="52" t="s">
        <v>1760</v>
      </c>
      <c r="K42" s="53" t="s">
        <v>1761</v>
      </c>
      <c r="L42" s="52" t="s">
        <v>1762</v>
      </c>
      <c r="M42" s="60" t="s">
        <v>1435</v>
      </c>
      <c r="N42" s="59" t="n">
        <v>3</v>
      </c>
      <c r="O42" s="59" t="n">
        <v>5</v>
      </c>
      <c r="P42" s="59" t="n">
        <v>4</v>
      </c>
      <c r="Q42" s="55" t="n">
        <f aca="false">ROUND(N42*02_情境權重_Scenario!$C$21+O42*02_情境權重_Scenario!$C$22+P42*02_情境權重_Scenario!$C$23,1)</f>
        <v>4</v>
      </c>
      <c r="R42" s="59" t="n">
        <v>2</v>
      </c>
      <c r="S42" s="59" t="n">
        <v>3</v>
      </c>
      <c r="T42" s="59" t="n">
        <v>2</v>
      </c>
      <c r="U42" s="55" t="n">
        <f aca="false">ROUND(R42*02_情境權重_Scenario!$C$27+S42*02_情境權重_Scenario!$C$28+T42*02_情境權重_Scenario!$C$29,1)</f>
        <v>2.4</v>
      </c>
      <c r="V42" s="60" t="s">
        <v>1436</v>
      </c>
      <c r="W42" s="261" t="str">
        <f aca="false">IF(OR(M42="未通過",V42="極高"),"暫緩 Hold",IF(AND(Q42&gt;=3.5,U42&gt;=3),"立即推進 Go",IF(Q42&gt;=3.5,"先補條件 Prepare",IF(U42&gt;=3,"快速小案 Quick-win","儲備觀察 Backlog"))))</f>
        <v>先補條件 Prepare</v>
      </c>
      <c r="X42" s="52" t="s">
        <v>1763</v>
      </c>
      <c r="Y42" s="52" t="s">
        <v>1764</v>
      </c>
      <c r="Z42" s="53" t="s">
        <v>1438</v>
      </c>
      <c r="AA42" s="59" t="s">
        <v>1439</v>
      </c>
      <c r="AB42" s="59"/>
      <c r="AC42" s="52"/>
      <c r="AD42" s="52"/>
      <c r="AE42" s="60" t="s">
        <v>1440</v>
      </c>
      <c r="AF42" s="54" t="str">
        <f aca="false">IF($A42="","",16_能力商機矩陣_CapOppMap!$CQ42)</f>
        <v>OPP-36; OPP-37; OPP-58</v>
      </c>
      <c r="AG42" s="77" t="s">
        <v>498</v>
      </c>
      <c r="AH42" s="64" t="s">
        <v>250</v>
      </c>
      <c r="AI42" s="67" t="s">
        <v>251</v>
      </c>
      <c r="AJ42" s="66" t="s">
        <v>1721</v>
      </c>
    </row>
    <row r="43" customFormat="false" ht="30" hidden="false" customHeight="true" outlineLevel="0" collapsed="false">
      <c r="A43" s="93" t="s">
        <v>1765</v>
      </c>
      <c r="B43" s="260" t="s">
        <v>1711</v>
      </c>
      <c r="C43" s="59" t="s">
        <v>344</v>
      </c>
      <c r="D43" s="60" t="s">
        <v>1712</v>
      </c>
      <c r="E43" s="107" t="s">
        <v>1766</v>
      </c>
      <c r="F43" s="95" t="s">
        <v>1767</v>
      </c>
      <c r="G43" s="107" t="s">
        <v>1768</v>
      </c>
      <c r="H43" s="60" t="s">
        <v>1666</v>
      </c>
      <c r="I43" s="59" t="s">
        <v>675</v>
      </c>
      <c r="J43" s="52" t="s">
        <v>1769</v>
      </c>
      <c r="K43" s="53" t="s">
        <v>1770</v>
      </c>
      <c r="L43" s="52" t="s">
        <v>1771</v>
      </c>
      <c r="M43" s="60" t="s">
        <v>1435</v>
      </c>
      <c r="N43" s="59" t="n">
        <v>3</v>
      </c>
      <c r="O43" s="59" t="n">
        <v>5</v>
      </c>
      <c r="P43" s="59" t="n">
        <v>4</v>
      </c>
      <c r="Q43" s="55" t="n">
        <f aca="false">ROUND(N43*02_情境權重_Scenario!$C$21+O43*02_情境權重_Scenario!$C$22+P43*02_情境權重_Scenario!$C$23,1)</f>
        <v>4</v>
      </c>
      <c r="R43" s="59" t="n">
        <v>2</v>
      </c>
      <c r="S43" s="59" t="n">
        <v>3</v>
      </c>
      <c r="T43" s="59" t="n">
        <v>2</v>
      </c>
      <c r="U43" s="55" t="n">
        <f aca="false">ROUND(R43*02_情境權重_Scenario!$C$27+S43*02_情境權重_Scenario!$C$28+T43*02_情境權重_Scenario!$C$29,1)</f>
        <v>2.4</v>
      </c>
      <c r="V43" s="60" t="s">
        <v>1436</v>
      </c>
      <c r="W43" s="261" t="str">
        <f aca="false">IF(OR(M43="未通過",V43="極高"),"暫緩 Hold",IF(AND(Q43&gt;=3.5,U43&gt;=3),"立即推進 Go",IF(Q43&gt;=3.5,"先補條件 Prepare",IF(U43&gt;=3,"快速小案 Quick-win","儲備觀察 Backlog"))))</f>
        <v>先補條件 Prepare</v>
      </c>
      <c r="X43" s="52" t="s">
        <v>1772</v>
      </c>
      <c r="Y43" s="52" t="s">
        <v>1773</v>
      </c>
      <c r="Z43" s="53" t="s">
        <v>1672</v>
      </c>
      <c r="AA43" s="59" t="s">
        <v>1439</v>
      </c>
      <c r="AB43" s="59"/>
      <c r="AC43" s="52"/>
      <c r="AD43" s="52"/>
      <c r="AE43" s="60" t="s">
        <v>1440</v>
      </c>
      <c r="AF43" s="54" t="str">
        <f aca="false">IF($A43="","",16_能力商機矩陣_CapOppMap!$CQ43)</f>
        <v>OPP-56; OPP-80; OPP-81</v>
      </c>
      <c r="AG43" s="77" t="s">
        <v>498</v>
      </c>
      <c r="AH43" s="64" t="s">
        <v>1774</v>
      </c>
      <c r="AI43" s="65" t="s">
        <v>237</v>
      </c>
      <c r="AJ43" s="66" t="s">
        <v>1721</v>
      </c>
    </row>
    <row r="44" customFormat="false" ht="30" hidden="false" customHeight="true" outlineLevel="0" collapsed="false">
      <c r="A44" s="93" t="s">
        <v>1775</v>
      </c>
      <c r="B44" s="260" t="s">
        <v>1776</v>
      </c>
      <c r="C44" s="59" t="s">
        <v>269</v>
      </c>
      <c r="D44" s="60" t="s">
        <v>1777</v>
      </c>
      <c r="E44" s="107" t="s">
        <v>1778</v>
      </c>
      <c r="F44" s="95" t="s">
        <v>1779</v>
      </c>
      <c r="G44" s="107" t="s">
        <v>1780</v>
      </c>
      <c r="H44" s="60" t="s">
        <v>1431</v>
      </c>
      <c r="I44" s="59" t="s">
        <v>703</v>
      </c>
      <c r="J44" s="52" t="s">
        <v>1510</v>
      </c>
      <c r="K44" s="53" t="s">
        <v>1781</v>
      </c>
      <c r="L44" s="52" t="s">
        <v>1512</v>
      </c>
      <c r="M44" s="60" t="s">
        <v>1435</v>
      </c>
      <c r="N44" s="59" t="n">
        <v>5</v>
      </c>
      <c r="O44" s="59" t="n">
        <v>5</v>
      </c>
      <c r="P44" s="59" t="n">
        <v>4</v>
      </c>
      <c r="Q44" s="55" t="n">
        <f aca="false">ROUND(N44*02_情境權重_Scenario!$C$21+O44*02_情境權重_Scenario!$C$22+P44*02_情境權重_Scenario!$C$23,1)</f>
        <v>4.7</v>
      </c>
      <c r="R44" s="59" t="n">
        <v>3</v>
      </c>
      <c r="S44" s="59" t="n">
        <v>3</v>
      </c>
      <c r="T44" s="59" t="n">
        <v>3</v>
      </c>
      <c r="U44" s="55" t="n">
        <f aca="false">ROUND(R44*02_情境權重_Scenario!$C$27+S44*02_情境權重_Scenario!$C$28+T44*02_情境權重_Scenario!$C$29,1)</f>
        <v>3</v>
      </c>
      <c r="V44" s="60" t="s">
        <v>1595</v>
      </c>
      <c r="W44" s="261" t="str">
        <f aca="false">IF(OR(M44="未通過",V44="極高"),"暫緩 Hold",IF(AND(Q44&gt;=3.5,U44&gt;=3),"立即推進 Go",IF(Q44&gt;=3.5,"先補條件 Prepare",IF(U44&gt;=3,"快速小案 Quick-win","儲備觀察 Backlog"))))</f>
        <v>立即推進 Go</v>
      </c>
      <c r="X44" s="52" t="s">
        <v>1520</v>
      </c>
      <c r="Y44" s="52" t="s">
        <v>1782</v>
      </c>
      <c r="Z44" s="53" t="s">
        <v>1438</v>
      </c>
      <c r="AA44" s="59" t="s">
        <v>1439</v>
      </c>
      <c r="AB44" s="59"/>
      <c r="AC44" s="52"/>
      <c r="AD44" s="52"/>
      <c r="AE44" s="60" t="s">
        <v>1440</v>
      </c>
      <c r="AF44" s="54" t="str">
        <f aca="false">IF($A44="","",16_能力商機矩陣_CapOppMap!$CQ44)</f>
        <v>OPP-60; OPP-61</v>
      </c>
      <c r="AG44" s="79" t="s">
        <v>707</v>
      </c>
      <c r="AH44" s="64" t="s">
        <v>1783</v>
      </c>
      <c r="AI44" s="65" t="s">
        <v>237</v>
      </c>
      <c r="AJ44" s="72" t="s">
        <v>1784</v>
      </c>
    </row>
    <row r="45" customFormat="false" ht="30" hidden="false" customHeight="true" outlineLevel="0" collapsed="false">
      <c r="A45" s="93" t="s">
        <v>1785</v>
      </c>
      <c r="B45" s="260" t="s">
        <v>1776</v>
      </c>
      <c r="C45" s="59" t="s">
        <v>361</v>
      </c>
      <c r="D45" s="60" t="s">
        <v>1777</v>
      </c>
      <c r="E45" s="107" t="s">
        <v>1786</v>
      </c>
      <c r="F45" s="95" t="s">
        <v>1787</v>
      </c>
      <c r="G45" s="107" t="s">
        <v>1788</v>
      </c>
      <c r="H45" s="60" t="s">
        <v>1431</v>
      </c>
      <c r="I45" s="59" t="s">
        <v>1550</v>
      </c>
      <c r="J45" s="52" t="s">
        <v>1479</v>
      </c>
      <c r="K45" s="53" t="s">
        <v>1789</v>
      </c>
      <c r="L45" s="52" t="s">
        <v>1790</v>
      </c>
      <c r="M45" s="60" t="s">
        <v>1435</v>
      </c>
      <c r="N45" s="59" t="n">
        <v>5</v>
      </c>
      <c r="O45" s="59" t="n">
        <v>5</v>
      </c>
      <c r="P45" s="59" t="n">
        <v>3</v>
      </c>
      <c r="Q45" s="55" t="n">
        <f aca="false">ROUND(N45*02_情境權重_Scenario!$C$21+O45*02_情境權重_Scenario!$C$22+P45*02_情境權重_Scenario!$C$23,1)</f>
        <v>4.3</v>
      </c>
      <c r="R45" s="59" t="n">
        <v>3</v>
      </c>
      <c r="S45" s="59" t="n">
        <v>3</v>
      </c>
      <c r="T45" s="59" t="n">
        <v>3</v>
      </c>
      <c r="U45" s="55" t="n">
        <f aca="false">ROUND(R45*02_情境權重_Scenario!$C$27+S45*02_情境權重_Scenario!$C$28+T45*02_情境權重_Scenario!$C$29,1)</f>
        <v>3</v>
      </c>
      <c r="V45" s="60" t="s">
        <v>1595</v>
      </c>
      <c r="W45" s="261" t="str">
        <f aca="false">IF(OR(M45="未通過",V45="極高"),"暫緩 Hold",IF(AND(Q45&gt;=3.5,U45&gt;=3),"立即推進 Go",IF(Q45&gt;=3.5,"先補條件 Prepare",IF(U45&gt;=3,"快速小案 Quick-win","儲備觀察 Backlog"))))</f>
        <v>立即推進 Go</v>
      </c>
      <c r="X45" s="52" t="s">
        <v>1546</v>
      </c>
      <c r="Y45" s="52" t="s">
        <v>1791</v>
      </c>
      <c r="Z45" s="53" t="s">
        <v>1438</v>
      </c>
      <c r="AA45" s="59" t="s">
        <v>1439</v>
      </c>
      <c r="AB45" s="59"/>
      <c r="AC45" s="52"/>
      <c r="AD45" s="52"/>
      <c r="AE45" s="60" t="s">
        <v>1440</v>
      </c>
      <c r="AF45" s="54" t="str">
        <f aca="false">IF($A45="","",16_能力商機矩陣_CapOppMap!$CQ45)</f>
        <v>OPP-60</v>
      </c>
      <c r="AG45" s="79" t="s">
        <v>707</v>
      </c>
      <c r="AH45" s="64" t="s">
        <v>250</v>
      </c>
      <c r="AI45" s="67" t="s">
        <v>251</v>
      </c>
      <c r="AJ45" s="72" t="s">
        <v>1784</v>
      </c>
    </row>
    <row r="46" customFormat="false" ht="30" hidden="false" customHeight="true" outlineLevel="0" collapsed="false">
      <c r="A46" s="93" t="s">
        <v>1792</v>
      </c>
      <c r="B46" s="260" t="s">
        <v>1776</v>
      </c>
      <c r="C46" s="59" t="s">
        <v>302</v>
      </c>
      <c r="D46" s="60" t="s">
        <v>1777</v>
      </c>
      <c r="E46" s="107" t="s">
        <v>1793</v>
      </c>
      <c r="F46" s="95" t="s">
        <v>1794</v>
      </c>
      <c r="G46" s="107" t="s">
        <v>1795</v>
      </c>
      <c r="H46" s="60" t="s">
        <v>1431</v>
      </c>
      <c r="I46" s="59" t="s">
        <v>576</v>
      </c>
      <c r="J46" s="52" t="s">
        <v>1479</v>
      </c>
      <c r="K46" s="53" t="s">
        <v>1796</v>
      </c>
      <c r="L46" s="52" t="s">
        <v>1512</v>
      </c>
      <c r="M46" s="60" t="s">
        <v>1435</v>
      </c>
      <c r="N46" s="59" t="n">
        <v>5</v>
      </c>
      <c r="O46" s="59" t="n">
        <v>5</v>
      </c>
      <c r="P46" s="59" t="n">
        <v>4</v>
      </c>
      <c r="Q46" s="55" t="n">
        <f aca="false">ROUND(N46*02_情境權重_Scenario!$C$21+O46*02_情境權重_Scenario!$C$22+P46*02_情境權重_Scenario!$C$23,1)</f>
        <v>4.7</v>
      </c>
      <c r="R46" s="59" t="n">
        <v>3</v>
      </c>
      <c r="S46" s="59" t="n">
        <v>3</v>
      </c>
      <c r="T46" s="59" t="n">
        <v>3</v>
      </c>
      <c r="U46" s="55" t="n">
        <f aca="false">ROUND(R46*02_情境權重_Scenario!$C$27+S46*02_情境權重_Scenario!$C$28+T46*02_情境權重_Scenario!$C$29,1)</f>
        <v>3</v>
      </c>
      <c r="V46" s="60" t="s">
        <v>1595</v>
      </c>
      <c r="W46" s="261" t="str">
        <f aca="false">IF(OR(M46="未通過",V46="極高"),"暫緩 Hold",IF(AND(Q46&gt;=3.5,U46&gt;=3),"立即推進 Go",IF(Q46&gt;=3.5,"先補條件 Prepare",IF(U46&gt;=3,"快速小案 Quick-win","儲備觀察 Backlog"))))</f>
        <v>立即推進 Go</v>
      </c>
      <c r="X46" s="52" t="s">
        <v>1739</v>
      </c>
      <c r="Y46" s="52" t="s">
        <v>1797</v>
      </c>
      <c r="Z46" s="53" t="s">
        <v>1438</v>
      </c>
      <c r="AA46" s="59" t="s">
        <v>1439</v>
      </c>
      <c r="AB46" s="59"/>
      <c r="AC46" s="52"/>
      <c r="AD46" s="52"/>
      <c r="AE46" s="60" t="s">
        <v>1440</v>
      </c>
      <c r="AF46" s="54" t="str">
        <f aca="false">IF($A46="","",16_能力商機矩陣_CapOppMap!$CQ46)</f>
        <v>OPP-42; OPP-60</v>
      </c>
      <c r="AG46" s="79" t="s">
        <v>707</v>
      </c>
      <c r="AH46" s="64" t="s">
        <v>1798</v>
      </c>
      <c r="AI46" s="73" t="s">
        <v>327</v>
      </c>
      <c r="AJ46" s="72" t="s">
        <v>1784</v>
      </c>
    </row>
    <row r="47" customFormat="false" ht="30" hidden="false" customHeight="true" outlineLevel="0" collapsed="false">
      <c r="A47" s="93" t="s">
        <v>1799</v>
      </c>
      <c r="B47" s="260" t="s">
        <v>1776</v>
      </c>
      <c r="C47" s="59" t="s">
        <v>361</v>
      </c>
      <c r="D47" s="60" t="s">
        <v>1777</v>
      </c>
      <c r="E47" s="107" t="s">
        <v>1800</v>
      </c>
      <c r="F47" s="95" t="s">
        <v>1801</v>
      </c>
      <c r="G47" s="107" t="s">
        <v>1802</v>
      </c>
      <c r="H47" s="60" t="s">
        <v>1431</v>
      </c>
      <c r="I47" s="59" t="s">
        <v>703</v>
      </c>
      <c r="J47" s="52" t="s">
        <v>1479</v>
      </c>
      <c r="K47" s="53" t="s">
        <v>1803</v>
      </c>
      <c r="L47" s="52" t="s">
        <v>1512</v>
      </c>
      <c r="M47" s="60" t="s">
        <v>1435</v>
      </c>
      <c r="N47" s="59" t="n">
        <v>5</v>
      </c>
      <c r="O47" s="59" t="n">
        <v>5</v>
      </c>
      <c r="P47" s="59" t="n">
        <v>3</v>
      </c>
      <c r="Q47" s="55" t="n">
        <f aca="false">ROUND(N47*02_情境權重_Scenario!$C$21+O47*02_情境權重_Scenario!$C$22+P47*02_情境權重_Scenario!$C$23,1)</f>
        <v>4.3</v>
      </c>
      <c r="R47" s="59" t="n">
        <v>3</v>
      </c>
      <c r="S47" s="59" t="n">
        <v>3</v>
      </c>
      <c r="T47" s="59" t="n">
        <v>3</v>
      </c>
      <c r="U47" s="55" t="n">
        <f aca="false">ROUND(R47*02_情境權重_Scenario!$C$27+S47*02_情境權重_Scenario!$C$28+T47*02_情境權重_Scenario!$C$29,1)</f>
        <v>3</v>
      </c>
      <c r="V47" s="60" t="s">
        <v>1595</v>
      </c>
      <c r="W47" s="261" t="str">
        <f aca="false">IF(OR(M47="未通過",V47="極高"),"暫緩 Hold",IF(AND(Q47&gt;=3.5,U47&gt;=3),"立即推進 Go",IF(Q47&gt;=3.5,"先補條件 Prepare",IF(U47&gt;=3,"快速小案 Quick-win","儲備觀察 Backlog"))))</f>
        <v>立即推進 Go</v>
      </c>
      <c r="X47" s="52" t="s">
        <v>1520</v>
      </c>
      <c r="Y47" s="52" t="s">
        <v>1804</v>
      </c>
      <c r="Z47" s="53" t="s">
        <v>1438</v>
      </c>
      <c r="AA47" s="59" t="s">
        <v>1439</v>
      </c>
      <c r="AB47" s="59"/>
      <c r="AC47" s="52"/>
      <c r="AD47" s="52"/>
      <c r="AE47" s="60" t="s">
        <v>1440</v>
      </c>
      <c r="AF47" s="54" t="str">
        <f aca="false">IF($A47="","",16_能力商機矩陣_CapOppMap!$CQ47)</f>
        <v>OPP-60</v>
      </c>
      <c r="AG47" s="79" t="s">
        <v>707</v>
      </c>
      <c r="AH47" s="69" t="s">
        <v>1805</v>
      </c>
      <c r="AI47" s="73" t="s">
        <v>327</v>
      </c>
      <c r="AJ47" s="72" t="s">
        <v>1784</v>
      </c>
    </row>
    <row r="48" customFormat="false" ht="30" hidden="false" customHeight="true" outlineLevel="0" collapsed="false">
      <c r="A48" s="93" t="s">
        <v>1806</v>
      </c>
      <c r="B48" s="260" t="s">
        <v>1776</v>
      </c>
      <c r="C48" s="59" t="s">
        <v>344</v>
      </c>
      <c r="D48" s="60" t="s">
        <v>1777</v>
      </c>
      <c r="E48" s="107" t="s">
        <v>1807</v>
      </c>
      <c r="F48" s="95" t="s">
        <v>1808</v>
      </c>
      <c r="G48" s="107" t="s">
        <v>1809</v>
      </c>
      <c r="H48" s="60" t="s">
        <v>1431</v>
      </c>
      <c r="I48" s="59" t="s">
        <v>727</v>
      </c>
      <c r="J48" s="52" t="s">
        <v>1810</v>
      </c>
      <c r="K48" s="53" t="s">
        <v>1811</v>
      </c>
      <c r="L48" s="52" t="s">
        <v>1812</v>
      </c>
      <c r="M48" s="60" t="s">
        <v>1435</v>
      </c>
      <c r="N48" s="59" t="n">
        <v>5</v>
      </c>
      <c r="O48" s="59" t="n">
        <v>5</v>
      </c>
      <c r="P48" s="59" t="n">
        <v>4</v>
      </c>
      <c r="Q48" s="55" t="n">
        <f aca="false">ROUND(N48*02_情境權重_Scenario!$C$21+O48*02_情境權重_Scenario!$C$22+P48*02_情境權重_Scenario!$C$23,1)</f>
        <v>4.7</v>
      </c>
      <c r="R48" s="59" t="n">
        <v>3</v>
      </c>
      <c r="S48" s="59" t="n">
        <v>3</v>
      </c>
      <c r="T48" s="59" t="n">
        <v>3</v>
      </c>
      <c r="U48" s="55" t="n">
        <f aca="false">ROUND(R48*02_情境權重_Scenario!$C$27+S48*02_情境權重_Scenario!$C$28+T48*02_情境權重_Scenario!$C$29,1)</f>
        <v>3</v>
      </c>
      <c r="V48" s="60" t="s">
        <v>1595</v>
      </c>
      <c r="W48" s="261" t="str">
        <f aca="false">IF(OR(M48="未通過",V48="極高"),"暫緩 Hold",IF(AND(Q48&gt;=3.5,U48&gt;=3),"立即推進 Go",IF(Q48&gt;=3.5,"先補條件 Prepare",IF(U48&gt;=3,"快速小案 Quick-win","儲備觀察 Backlog"))))</f>
        <v>立即推進 Go</v>
      </c>
      <c r="X48" s="52" t="s">
        <v>1813</v>
      </c>
      <c r="Y48" s="52" t="s">
        <v>1814</v>
      </c>
      <c r="Z48" s="53" t="s">
        <v>1438</v>
      </c>
      <c r="AA48" s="59" t="s">
        <v>1439</v>
      </c>
      <c r="AB48" s="59"/>
      <c r="AC48" s="52"/>
      <c r="AD48" s="52"/>
      <c r="AE48" s="60" t="s">
        <v>1440</v>
      </c>
      <c r="AF48" s="54" t="str">
        <f aca="false">IF($A48="","",16_能力商機矩陣_CapOppMap!$CQ48)</f>
        <v>OPP-60; OPP-63</v>
      </c>
      <c r="AG48" s="79" t="s">
        <v>707</v>
      </c>
      <c r="AH48" s="69" t="s">
        <v>1815</v>
      </c>
      <c r="AI48" s="65" t="s">
        <v>237</v>
      </c>
      <c r="AJ48" s="72" t="s">
        <v>1784</v>
      </c>
    </row>
    <row r="49" customFormat="false" ht="30" hidden="false" customHeight="true" outlineLevel="0" collapsed="false">
      <c r="A49" s="93" t="s">
        <v>1816</v>
      </c>
      <c r="B49" s="260" t="s">
        <v>1817</v>
      </c>
      <c r="C49" s="59" t="s">
        <v>269</v>
      </c>
      <c r="D49" s="60" t="s">
        <v>1818</v>
      </c>
      <c r="E49" s="107" t="s">
        <v>1819</v>
      </c>
      <c r="F49" s="95" t="s">
        <v>1820</v>
      </c>
      <c r="G49" s="107" t="s">
        <v>1821</v>
      </c>
      <c r="H49" s="60" t="s">
        <v>1666</v>
      </c>
      <c r="I49" s="59" t="s">
        <v>1822</v>
      </c>
      <c r="J49" s="52" t="s">
        <v>1823</v>
      </c>
      <c r="K49" s="53" t="s">
        <v>1824</v>
      </c>
      <c r="L49" s="52" t="s">
        <v>1497</v>
      </c>
      <c r="M49" s="60" t="s">
        <v>1435</v>
      </c>
      <c r="N49" s="59" t="n">
        <v>4</v>
      </c>
      <c r="O49" s="59" t="n">
        <v>5</v>
      </c>
      <c r="P49" s="59" t="n">
        <v>4</v>
      </c>
      <c r="Q49" s="55" t="n">
        <f aca="false">ROUND(N49*02_情境權重_Scenario!$C$21+O49*02_情境權重_Scenario!$C$22+P49*02_情境權重_Scenario!$C$23,1)</f>
        <v>4.3</v>
      </c>
      <c r="R49" s="59" t="n">
        <v>3</v>
      </c>
      <c r="S49" s="59" t="n">
        <v>3</v>
      </c>
      <c r="T49" s="59" t="n">
        <v>3</v>
      </c>
      <c r="U49" s="55" t="n">
        <f aca="false">ROUND(R49*02_情境權重_Scenario!$C$27+S49*02_情境權重_Scenario!$C$28+T49*02_情境權重_Scenario!$C$29,1)</f>
        <v>3</v>
      </c>
      <c r="V49" s="60" t="s">
        <v>1595</v>
      </c>
      <c r="W49" s="261" t="str">
        <f aca="false">IF(OR(M49="未通過",V49="極高"),"暫緩 Hold",IF(AND(Q49&gt;=3.5,U49&gt;=3),"立即推進 Go",IF(Q49&gt;=3.5,"先補條件 Prepare",IF(U49&gt;=3,"快速小案 Quick-win","儲備觀察 Backlog"))))</f>
        <v>立即推進 Go</v>
      </c>
      <c r="X49" s="52" t="s">
        <v>1493</v>
      </c>
      <c r="Y49" s="52" t="s">
        <v>1825</v>
      </c>
      <c r="Z49" s="53" t="s">
        <v>1672</v>
      </c>
      <c r="AA49" s="59" t="s">
        <v>1439</v>
      </c>
      <c r="AB49" s="59"/>
      <c r="AC49" s="52"/>
      <c r="AD49" s="52"/>
      <c r="AE49" s="60" t="s">
        <v>1440</v>
      </c>
      <c r="AF49" s="54" t="str">
        <f aca="false">IF($A49="","",16_能力商機矩陣_CapOppMap!$CQ49)</f>
        <v>OPP-62; OPP-77</v>
      </c>
      <c r="AG49" s="79" t="s">
        <v>707</v>
      </c>
      <c r="AH49" s="64" t="s">
        <v>1826</v>
      </c>
      <c r="AI49" s="65" t="s">
        <v>237</v>
      </c>
      <c r="AJ49" s="72" t="s">
        <v>1827</v>
      </c>
    </row>
    <row r="50" customFormat="false" ht="30" hidden="false" customHeight="true" outlineLevel="0" collapsed="false">
      <c r="A50" s="93" t="s">
        <v>1828</v>
      </c>
      <c r="B50" s="260" t="s">
        <v>1817</v>
      </c>
      <c r="C50" s="59" t="s">
        <v>361</v>
      </c>
      <c r="D50" s="60" t="s">
        <v>1818</v>
      </c>
      <c r="E50" s="107" t="s">
        <v>1829</v>
      </c>
      <c r="F50" s="95" t="s">
        <v>1830</v>
      </c>
      <c r="G50" s="107" t="s">
        <v>1831</v>
      </c>
      <c r="H50" s="60" t="s">
        <v>1431</v>
      </c>
      <c r="I50" s="59" t="s">
        <v>720</v>
      </c>
      <c r="J50" s="52" t="s">
        <v>1488</v>
      </c>
      <c r="K50" s="53" t="s">
        <v>1489</v>
      </c>
      <c r="L50" s="52" t="s">
        <v>1512</v>
      </c>
      <c r="M50" s="60" t="s">
        <v>1435</v>
      </c>
      <c r="N50" s="59" t="n">
        <v>4</v>
      </c>
      <c r="O50" s="59" t="n">
        <v>5</v>
      </c>
      <c r="P50" s="59" t="n">
        <v>3</v>
      </c>
      <c r="Q50" s="55" t="n">
        <f aca="false">ROUND(N50*02_情境權重_Scenario!$C$21+O50*02_情境權重_Scenario!$C$22+P50*02_情境權重_Scenario!$C$23,1)</f>
        <v>4</v>
      </c>
      <c r="R50" s="59" t="n">
        <v>3</v>
      </c>
      <c r="S50" s="59" t="n">
        <v>3</v>
      </c>
      <c r="T50" s="59" t="n">
        <v>3</v>
      </c>
      <c r="U50" s="55" t="n">
        <f aca="false">ROUND(R50*02_情境權重_Scenario!$C$27+S50*02_情境權重_Scenario!$C$28+T50*02_情境權重_Scenario!$C$29,1)</f>
        <v>3</v>
      </c>
      <c r="V50" s="60" t="s">
        <v>1595</v>
      </c>
      <c r="W50" s="261" t="str">
        <f aca="false">IF(OR(M50="未通過",V50="極高"),"暫緩 Hold",IF(AND(Q50&gt;=3.5,U50&gt;=3),"立即推進 Go",IF(Q50&gt;=3.5,"先補條件 Prepare",IF(U50&gt;=3,"快速小案 Quick-win","儲備觀察 Backlog"))))</f>
        <v>立即推進 Go</v>
      </c>
      <c r="X50" s="52" t="s">
        <v>1799</v>
      </c>
      <c r="Y50" s="52" t="s">
        <v>1832</v>
      </c>
      <c r="Z50" s="53" t="s">
        <v>1438</v>
      </c>
      <c r="AA50" s="59" t="s">
        <v>1439</v>
      </c>
      <c r="AB50" s="59"/>
      <c r="AC50" s="52"/>
      <c r="AD50" s="52"/>
      <c r="AE50" s="60" t="s">
        <v>1440</v>
      </c>
      <c r="AF50" s="54" t="str">
        <f aca="false">IF($A50="","",16_能力商機矩陣_CapOppMap!$CQ50)</f>
        <v>OPP-62</v>
      </c>
      <c r="AG50" s="79" t="s">
        <v>707</v>
      </c>
      <c r="AH50" s="64" t="s">
        <v>1833</v>
      </c>
      <c r="AI50" s="65" t="s">
        <v>237</v>
      </c>
      <c r="AJ50" s="72" t="s">
        <v>1827</v>
      </c>
    </row>
    <row r="51" customFormat="false" ht="30" hidden="false" customHeight="true" outlineLevel="0" collapsed="false">
      <c r="A51" s="93" t="s">
        <v>1834</v>
      </c>
      <c r="B51" s="260" t="s">
        <v>1817</v>
      </c>
      <c r="C51" s="59" t="s">
        <v>302</v>
      </c>
      <c r="D51" s="60" t="s">
        <v>1818</v>
      </c>
      <c r="E51" s="107" t="s">
        <v>1835</v>
      </c>
      <c r="F51" s="95" t="s">
        <v>1836</v>
      </c>
      <c r="G51" s="107" t="s">
        <v>1837</v>
      </c>
      <c r="H51" s="60" t="s">
        <v>1431</v>
      </c>
      <c r="I51" s="59" t="s">
        <v>1838</v>
      </c>
      <c r="J51" s="52" t="s">
        <v>1488</v>
      </c>
      <c r="K51" s="53" t="s">
        <v>1839</v>
      </c>
      <c r="L51" s="52" t="s">
        <v>1449</v>
      </c>
      <c r="M51" s="60" t="s">
        <v>1435</v>
      </c>
      <c r="N51" s="59" t="n">
        <v>4</v>
      </c>
      <c r="O51" s="59" t="n">
        <v>5</v>
      </c>
      <c r="P51" s="59" t="n">
        <v>3</v>
      </c>
      <c r="Q51" s="55" t="n">
        <f aca="false">ROUND(N51*02_情境權重_Scenario!$C$21+O51*02_情境權重_Scenario!$C$22+P51*02_情境權重_Scenario!$C$23,1)</f>
        <v>4</v>
      </c>
      <c r="R51" s="59" t="n">
        <v>3</v>
      </c>
      <c r="S51" s="59" t="n">
        <v>3</v>
      </c>
      <c r="T51" s="59" t="n">
        <v>3</v>
      </c>
      <c r="U51" s="55" t="n">
        <f aca="false">ROUND(R51*02_情境權重_Scenario!$C$27+S51*02_情境權重_Scenario!$C$28+T51*02_情境權重_Scenario!$C$29,1)</f>
        <v>3</v>
      </c>
      <c r="V51" s="60" t="s">
        <v>1595</v>
      </c>
      <c r="W51" s="261" t="str">
        <f aca="false">IF(OR(M51="未通過",V51="極高"),"暫緩 Hold",IF(AND(Q51&gt;=3.5,U51&gt;=3),"立即推進 Go",IF(Q51&gt;=3.5,"先補條件 Prepare",IF(U51&gt;=3,"快速小案 Quick-win","儲備觀察 Backlog"))))</f>
        <v>立即推進 Go</v>
      </c>
      <c r="X51" s="52" t="s">
        <v>1806</v>
      </c>
      <c r="Y51" s="52" t="s">
        <v>1840</v>
      </c>
      <c r="Z51" s="53" t="s">
        <v>1438</v>
      </c>
      <c r="AA51" s="59" t="s">
        <v>1439</v>
      </c>
      <c r="AB51" s="59"/>
      <c r="AC51" s="52"/>
      <c r="AD51" s="52"/>
      <c r="AE51" s="60" t="s">
        <v>1440</v>
      </c>
      <c r="AF51" s="54" t="str">
        <f aca="false">IF($A51="","",16_能力商機矩陣_CapOppMap!$CQ51)</f>
        <v>OPP-62</v>
      </c>
      <c r="AG51" s="79" t="s">
        <v>707</v>
      </c>
      <c r="AH51" s="64" t="s">
        <v>250</v>
      </c>
      <c r="AI51" s="67" t="s">
        <v>251</v>
      </c>
      <c r="AJ51" s="72" t="s">
        <v>1827</v>
      </c>
    </row>
    <row r="52" customFormat="false" ht="30" hidden="false" customHeight="true" outlineLevel="0" collapsed="false">
      <c r="A52" s="93" t="s">
        <v>1841</v>
      </c>
      <c r="B52" s="260" t="s">
        <v>1817</v>
      </c>
      <c r="C52" s="59" t="s">
        <v>344</v>
      </c>
      <c r="D52" s="60" t="s">
        <v>1818</v>
      </c>
      <c r="E52" s="107" t="s">
        <v>1842</v>
      </c>
      <c r="F52" s="95" t="s">
        <v>1843</v>
      </c>
      <c r="G52" s="107" t="s">
        <v>1844</v>
      </c>
      <c r="H52" s="60" t="s">
        <v>1431</v>
      </c>
      <c r="I52" s="59" t="s">
        <v>1845</v>
      </c>
      <c r="J52" s="52" t="s">
        <v>1488</v>
      </c>
      <c r="K52" s="53" t="s">
        <v>1846</v>
      </c>
      <c r="L52" s="52" t="s">
        <v>1512</v>
      </c>
      <c r="M52" s="60" t="s">
        <v>1435</v>
      </c>
      <c r="N52" s="59" t="n">
        <v>4</v>
      </c>
      <c r="O52" s="59" t="n">
        <v>5</v>
      </c>
      <c r="P52" s="59" t="n">
        <v>4</v>
      </c>
      <c r="Q52" s="55" t="n">
        <f aca="false">ROUND(N52*02_情境權重_Scenario!$C$21+O52*02_情境權重_Scenario!$C$22+P52*02_情境權重_Scenario!$C$23,1)</f>
        <v>4.3</v>
      </c>
      <c r="R52" s="59" t="n">
        <v>3</v>
      </c>
      <c r="S52" s="59" t="n">
        <v>3</v>
      </c>
      <c r="T52" s="59" t="n">
        <v>3</v>
      </c>
      <c r="U52" s="55" t="n">
        <f aca="false">ROUND(R52*02_情境權重_Scenario!$C$27+S52*02_情境權重_Scenario!$C$28+T52*02_情境權重_Scenario!$C$29,1)</f>
        <v>3</v>
      </c>
      <c r="V52" s="60" t="s">
        <v>1595</v>
      </c>
      <c r="W52" s="261" t="str">
        <f aca="false">IF(OR(M52="未通過",V52="極高"),"暫緩 Hold",IF(AND(Q52&gt;=3.5,U52&gt;=3),"立即推進 Go",IF(Q52&gt;=3.5,"先補條件 Prepare",IF(U52&gt;=3,"快速小案 Quick-win","儲備觀察 Backlog"))))</f>
        <v>立即推進 Go</v>
      </c>
      <c r="X52" s="52" t="s">
        <v>1806</v>
      </c>
      <c r="Y52" s="52" t="s">
        <v>1847</v>
      </c>
      <c r="Z52" s="53" t="s">
        <v>1438</v>
      </c>
      <c r="AA52" s="59" t="s">
        <v>1439</v>
      </c>
      <c r="AB52" s="59"/>
      <c r="AC52" s="52"/>
      <c r="AD52" s="52"/>
      <c r="AE52" s="60" t="s">
        <v>1440</v>
      </c>
      <c r="AF52" s="54" t="str">
        <f aca="false">IF($A52="","",16_能力商機矩陣_CapOppMap!$CQ52)</f>
        <v>OPP-62; OPP-63</v>
      </c>
      <c r="AG52" s="79" t="s">
        <v>707</v>
      </c>
      <c r="AH52" s="69" t="s">
        <v>1848</v>
      </c>
      <c r="AI52" s="65" t="s">
        <v>237</v>
      </c>
      <c r="AJ52" s="72" t="s">
        <v>1827</v>
      </c>
    </row>
    <row r="53" customFormat="false" ht="30" hidden="false" customHeight="true" outlineLevel="0" collapsed="false">
      <c r="A53" s="93" t="s">
        <v>1849</v>
      </c>
      <c r="B53" s="260" t="s">
        <v>1817</v>
      </c>
      <c r="C53" s="59" t="s">
        <v>302</v>
      </c>
      <c r="D53" s="60" t="s">
        <v>1818</v>
      </c>
      <c r="E53" s="107" t="s">
        <v>1850</v>
      </c>
      <c r="F53" s="95" t="s">
        <v>1851</v>
      </c>
      <c r="G53" s="107" t="s">
        <v>1852</v>
      </c>
      <c r="H53" s="60" t="s">
        <v>1431</v>
      </c>
      <c r="I53" s="59" t="s">
        <v>1853</v>
      </c>
      <c r="J53" s="52" t="s">
        <v>1472</v>
      </c>
      <c r="K53" s="53" t="s">
        <v>1854</v>
      </c>
      <c r="L53" s="52" t="s">
        <v>1855</v>
      </c>
      <c r="M53" s="60" t="s">
        <v>1435</v>
      </c>
      <c r="N53" s="59" t="n">
        <v>4</v>
      </c>
      <c r="O53" s="59" t="n">
        <v>5</v>
      </c>
      <c r="P53" s="59" t="n">
        <v>4</v>
      </c>
      <c r="Q53" s="55" t="n">
        <f aca="false">ROUND(N53*02_情境權重_Scenario!$C$21+O53*02_情境權重_Scenario!$C$22+P53*02_情境權重_Scenario!$C$23,1)</f>
        <v>4.3</v>
      </c>
      <c r="R53" s="59" t="n">
        <v>3</v>
      </c>
      <c r="S53" s="59" t="n">
        <v>3</v>
      </c>
      <c r="T53" s="59" t="n">
        <v>3</v>
      </c>
      <c r="U53" s="55" t="n">
        <f aca="false">ROUND(R53*02_情境權重_Scenario!$C$27+S53*02_情境權重_Scenario!$C$28+T53*02_情境權重_Scenario!$C$29,1)</f>
        <v>3</v>
      </c>
      <c r="V53" s="60" t="s">
        <v>1595</v>
      </c>
      <c r="W53" s="261" t="str">
        <f aca="false">IF(OR(M53="未通過",V53="極高"),"暫緩 Hold",IF(AND(Q53&gt;=3.5,U53&gt;=3),"立即推進 Go",IF(Q53&gt;=3.5,"先補條件 Prepare",IF(U53&gt;=3,"快速小案 Quick-win","儲備觀察 Backlog"))))</f>
        <v>立即推進 Go</v>
      </c>
      <c r="X53" s="52" t="s">
        <v>1856</v>
      </c>
      <c r="Y53" s="52" t="s">
        <v>1857</v>
      </c>
      <c r="Z53" s="53" t="s">
        <v>1438</v>
      </c>
      <c r="AA53" s="59" t="s">
        <v>1439</v>
      </c>
      <c r="AB53" s="59"/>
      <c r="AC53" s="52"/>
      <c r="AD53" s="52"/>
      <c r="AE53" s="60" t="s">
        <v>1440</v>
      </c>
      <c r="AF53" s="54" t="str">
        <f aca="false">IF($A53="","",16_能力商機矩陣_CapOppMap!$CQ53)</f>
        <v>OPP-62; OPP-63</v>
      </c>
      <c r="AG53" s="79" t="s">
        <v>707</v>
      </c>
      <c r="AH53" s="64" t="s">
        <v>250</v>
      </c>
      <c r="AI53" s="67" t="s">
        <v>251</v>
      </c>
      <c r="AJ53" s="72" t="s">
        <v>1827</v>
      </c>
    </row>
    <row r="54" customFormat="false" ht="30" hidden="false" customHeight="true" outlineLevel="0" collapsed="false">
      <c r="A54" s="93" t="s">
        <v>1858</v>
      </c>
      <c r="B54" s="260" t="s">
        <v>1859</v>
      </c>
      <c r="C54" s="59" t="s">
        <v>269</v>
      </c>
      <c r="D54" s="60" t="s">
        <v>1860</v>
      </c>
      <c r="E54" s="107" t="s">
        <v>1861</v>
      </c>
      <c r="F54" s="95" t="s">
        <v>1862</v>
      </c>
      <c r="G54" s="107" t="s">
        <v>1863</v>
      </c>
      <c r="H54" s="60" t="s">
        <v>1431</v>
      </c>
      <c r="I54" s="59" t="s">
        <v>1864</v>
      </c>
      <c r="J54" s="52" t="s">
        <v>1472</v>
      </c>
      <c r="K54" s="53" t="s">
        <v>1865</v>
      </c>
      <c r="L54" s="52" t="s">
        <v>1457</v>
      </c>
      <c r="M54" s="60" t="s">
        <v>1435</v>
      </c>
      <c r="N54" s="59" t="n">
        <v>4</v>
      </c>
      <c r="O54" s="59" t="n">
        <v>3</v>
      </c>
      <c r="P54" s="59" t="n">
        <v>4</v>
      </c>
      <c r="Q54" s="55" t="n">
        <f aca="false">ROUND(N54*02_情境權重_Scenario!$C$21+O54*02_情境權重_Scenario!$C$22+P54*02_情境權重_Scenario!$C$23,1)</f>
        <v>3.7</v>
      </c>
      <c r="R54" s="59" t="n">
        <v>3</v>
      </c>
      <c r="S54" s="59" t="n">
        <v>3</v>
      </c>
      <c r="T54" s="59" t="n">
        <v>3</v>
      </c>
      <c r="U54" s="55" t="n">
        <f aca="false">ROUND(R54*02_情境權重_Scenario!$C$27+S54*02_情境權重_Scenario!$C$28+T54*02_情境權重_Scenario!$C$29,1)</f>
        <v>3</v>
      </c>
      <c r="V54" s="60" t="s">
        <v>1595</v>
      </c>
      <c r="W54" s="261" t="str">
        <f aca="false">IF(OR(M54="未通過",V54="極高"),"暫緩 Hold",IF(AND(Q54&gt;=3.5,U54&gt;=3),"立即推進 Go",IF(Q54&gt;=3.5,"先補條件 Prepare",IF(U54&gt;=3,"快速小案 Quick-win","儲備觀察 Backlog"))))</f>
        <v>立即推進 Go</v>
      </c>
      <c r="X54" s="52" t="s">
        <v>1866</v>
      </c>
      <c r="Y54" s="52" t="s">
        <v>1867</v>
      </c>
      <c r="Z54" s="53" t="s">
        <v>1438</v>
      </c>
      <c r="AA54" s="59" t="s">
        <v>1439</v>
      </c>
      <c r="AB54" s="59"/>
      <c r="AC54" s="52"/>
      <c r="AD54" s="52"/>
      <c r="AE54" s="60" t="s">
        <v>1440</v>
      </c>
      <c r="AF54" s="54" t="str">
        <f aca="false">IF($A54="","",16_能力商機矩陣_CapOppMap!$CQ54)</f>
        <v>OPP-53; OPP-64</v>
      </c>
      <c r="AG54" s="79" t="s">
        <v>707</v>
      </c>
      <c r="AH54" s="64" t="s">
        <v>1868</v>
      </c>
      <c r="AI54" s="65" t="s">
        <v>237</v>
      </c>
      <c r="AJ54" s="66" t="s">
        <v>1869</v>
      </c>
    </row>
    <row r="55" customFormat="false" ht="30" hidden="false" customHeight="true" outlineLevel="0" collapsed="false">
      <c r="A55" s="93" t="s">
        <v>1870</v>
      </c>
      <c r="B55" s="260" t="s">
        <v>1859</v>
      </c>
      <c r="C55" s="59" t="s">
        <v>302</v>
      </c>
      <c r="D55" s="60" t="s">
        <v>1860</v>
      </c>
      <c r="E55" s="107" t="s">
        <v>1871</v>
      </c>
      <c r="F55" s="95" t="s">
        <v>1872</v>
      </c>
      <c r="G55" s="107" t="s">
        <v>1873</v>
      </c>
      <c r="H55" s="60" t="s">
        <v>1431</v>
      </c>
      <c r="I55" s="59" t="s">
        <v>658</v>
      </c>
      <c r="J55" s="52" t="s">
        <v>1874</v>
      </c>
      <c r="K55" s="53" t="s">
        <v>1875</v>
      </c>
      <c r="L55" s="52" t="s">
        <v>1876</v>
      </c>
      <c r="M55" s="60" t="s">
        <v>1435</v>
      </c>
      <c r="N55" s="59" t="n">
        <v>4</v>
      </c>
      <c r="O55" s="59" t="n">
        <v>4</v>
      </c>
      <c r="P55" s="59" t="n">
        <v>4</v>
      </c>
      <c r="Q55" s="55" t="n">
        <f aca="false">ROUND(N55*02_情境權重_Scenario!$C$21+O55*02_情境權重_Scenario!$C$22+P55*02_情境權重_Scenario!$C$23,1)</f>
        <v>4</v>
      </c>
      <c r="R55" s="59" t="n">
        <v>3</v>
      </c>
      <c r="S55" s="59" t="n">
        <v>3</v>
      </c>
      <c r="T55" s="59" t="n">
        <v>3</v>
      </c>
      <c r="U55" s="55" t="n">
        <f aca="false">ROUND(R55*02_情境權重_Scenario!$C$27+S55*02_情境權重_Scenario!$C$28+T55*02_情境權重_Scenario!$C$29,1)</f>
        <v>3</v>
      </c>
      <c r="V55" s="60" t="s">
        <v>1595</v>
      </c>
      <c r="W55" s="261" t="str">
        <f aca="false">IF(OR(M55="未通過",V55="極高"),"暫緩 Hold",IF(AND(Q55&gt;=3.5,U55&gt;=3),"立即推進 Go",IF(Q55&gt;=3.5,"先補條件 Prepare",IF(U55&gt;=3,"快速小案 Quick-win","儲備觀察 Backlog"))))</f>
        <v>立即推進 Go</v>
      </c>
      <c r="X55" s="52" t="s">
        <v>1493</v>
      </c>
      <c r="Y55" s="52" t="s">
        <v>1877</v>
      </c>
      <c r="Z55" s="53" t="s">
        <v>1438</v>
      </c>
      <c r="AA55" s="59" t="s">
        <v>1439</v>
      </c>
      <c r="AB55" s="59"/>
      <c r="AC55" s="52"/>
      <c r="AD55" s="52"/>
      <c r="AE55" s="60" t="s">
        <v>1440</v>
      </c>
      <c r="AF55" s="54" t="str">
        <f aca="false">IF($A55="","",16_能力商機矩陣_CapOppMap!$CQ55)</f>
        <v>OPP-53; OPP-64</v>
      </c>
      <c r="AG55" s="79" t="s">
        <v>707</v>
      </c>
      <c r="AH55" s="64" t="s">
        <v>250</v>
      </c>
      <c r="AI55" s="67" t="s">
        <v>251</v>
      </c>
      <c r="AJ55" s="66" t="s">
        <v>1869</v>
      </c>
    </row>
    <row r="56" customFormat="false" ht="30" hidden="false" customHeight="true" outlineLevel="0" collapsed="false">
      <c r="A56" s="93" t="s">
        <v>1878</v>
      </c>
      <c r="B56" s="260" t="s">
        <v>1859</v>
      </c>
      <c r="C56" s="59" t="s">
        <v>302</v>
      </c>
      <c r="D56" s="60" t="s">
        <v>1860</v>
      </c>
      <c r="E56" s="107" t="s">
        <v>1879</v>
      </c>
      <c r="F56" s="95" t="s">
        <v>1880</v>
      </c>
      <c r="G56" s="107" t="s">
        <v>1881</v>
      </c>
      <c r="H56" s="60" t="s">
        <v>1431</v>
      </c>
      <c r="I56" s="59" t="s">
        <v>658</v>
      </c>
      <c r="J56" s="52" t="s">
        <v>1874</v>
      </c>
      <c r="K56" s="53" t="s">
        <v>1882</v>
      </c>
      <c r="L56" s="52" t="s">
        <v>1876</v>
      </c>
      <c r="M56" s="60" t="s">
        <v>1435</v>
      </c>
      <c r="N56" s="59" t="n">
        <v>4</v>
      </c>
      <c r="O56" s="59" t="n">
        <v>4</v>
      </c>
      <c r="P56" s="59" t="n">
        <v>4</v>
      </c>
      <c r="Q56" s="55" t="n">
        <f aca="false">ROUND(N56*02_情境權重_Scenario!$C$21+O56*02_情境權重_Scenario!$C$22+P56*02_情境權重_Scenario!$C$23,1)</f>
        <v>4</v>
      </c>
      <c r="R56" s="59" t="n">
        <v>3</v>
      </c>
      <c r="S56" s="59" t="n">
        <v>3</v>
      </c>
      <c r="T56" s="59" t="n">
        <v>3</v>
      </c>
      <c r="U56" s="55" t="n">
        <f aca="false">ROUND(R56*02_情境權重_Scenario!$C$27+S56*02_情境權重_Scenario!$C$28+T56*02_情境權重_Scenario!$C$29,1)</f>
        <v>3</v>
      </c>
      <c r="V56" s="60" t="s">
        <v>1595</v>
      </c>
      <c r="W56" s="261" t="str">
        <f aca="false">IF(OR(M56="未通過",V56="極高"),"暫緩 Hold",IF(AND(Q56&gt;=3.5,U56&gt;=3),"立即推進 Go",IF(Q56&gt;=3.5,"先補條件 Prepare",IF(U56&gt;=3,"快速小案 Quick-win","儲備觀察 Backlog"))))</f>
        <v>立即推進 Go</v>
      </c>
      <c r="X56" s="52" t="s">
        <v>1858</v>
      </c>
      <c r="Y56" s="52" t="s">
        <v>1883</v>
      </c>
      <c r="Z56" s="53" t="s">
        <v>1438</v>
      </c>
      <c r="AA56" s="59" t="s">
        <v>1439</v>
      </c>
      <c r="AB56" s="59"/>
      <c r="AC56" s="52"/>
      <c r="AD56" s="52"/>
      <c r="AE56" s="60" t="s">
        <v>1440</v>
      </c>
      <c r="AF56" s="54" t="str">
        <f aca="false">IF($A56="","",16_能力商機矩陣_CapOppMap!$CQ56)</f>
        <v>OPP-68; OPP-69</v>
      </c>
      <c r="AG56" s="79" t="s">
        <v>707</v>
      </c>
      <c r="AH56" s="64" t="s">
        <v>1884</v>
      </c>
      <c r="AI56" s="65" t="s">
        <v>237</v>
      </c>
      <c r="AJ56" s="66" t="s">
        <v>1869</v>
      </c>
    </row>
    <row r="57" customFormat="false" ht="30" hidden="false" customHeight="true" outlineLevel="0" collapsed="false">
      <c r="A57" s="93" t="s">
        <v>1885</v>
      </c>
      <c r="B57" s="260" t="s">
        <v>1859</v>
      </c>
      <c r="C57" s="59" t="s">
        <v>302</v>
      </c>
      <c r="D57" s="59" t="s">
        <v>1886</v>
      </c>
      <c r="E57" s="95" t="s">
        <v>1887</v>
      </c>
      <c r="F57" s="95" t="s">
        <v>1888</v>
      </c>
      <c r="G57" s="107" t="s">
        <v>1889</v>
      </c>
      <c r="H57" s="60" t="s">
        <v>899</v>
      </c>
      <c r="I57" s="59" t="s">
        <v>664</v>
      </c>
      <c r="J57" s="52" t="s">
        <v>1560</v>
      </c>
      <c r="K57" s="53" t="s">
        <v>1561</v>
      </c>
      <c r="L57" s="52" t="s">
        <v>1890</v>
      </c>
      <c r="M57" s="60" t="s">
        <v>1435</v>
      </c>
      <c r="N57" s="59" t="n">
        <v>3</v>
      </c>
      <c r="O57" s="59" t="n">
        <v>3</v>
      </c>
      <c r="P57" s="59" t="n">
        <v>5</v>
      </c>
      <c r="Q57" s="55" t="n">
        <f aca="false">ROUND(N57*02_情境權重_Scenario!$C$21+O57*02_情境權重_Scenario!$C$22+P57*02_情境權重_Scenario!$C$23,1)</f>
        <v>3.7</v>
      </c>
      <c r="R57" s="59" t="n">
        <v>3</v>
      </c>
      <c r="S57" s="59" t="n">
        <v>4</v>
      </c>
      <c r="T57" s="59" t="n">
        <v>3</v>
      </c>
      <c r="U57" s="55" t="n">
        <f aca="false">ROUND(R57*02_情境權重_Scenario!$C$27+S57*02_情境權重_Scenario!$C$28+T57*02_情境權重_Scenario!$C$29,1)</f>
        <v>3.4</v>
      </c>
      <c r="V57" s="60" t="s">
        <v>1595</v>
      </c>
      <c r="W57" s="261" t="str">
        <f aca="false">IF(OR(M57="未通過",V57="極高"),"暫緩 Hold",IF(AND(Q57&gt;=3.5,U57&gt;=3),"立即推進 Go",IF(Q57&gt;=3.5,"先補條件 Prepare",IF(U57&gt;=3,"快速小案 Quick-win","儲備觀察 Backlog"))))</f>
        <v>立即推進 Go</v>
      </c>
      <c r="X57" s="52" t="s">
        <v>1891</v>
      </c>
      <c r="Y57" s="52" t="s">
        <v>1892</v>
      </c>
      <c r="Z57" s="53" t="s">
        <v>1438</v>
      </c>
      <c r="AA57" s="59" t="s">
        <v>1439</v>
      </c>
      <c r="AB57" s="59"/>
      <c r="AC57" s="52"/>
      <c r="AD57" s="52"/>
      <c r="AE57" s="60" t="s">
        <v>1440</v>
      </c>
      <c r="AF57" s="54" t="str">
        <f aca="false">IF($A57="","",16_能力商機矩陣_CapOppMap!$CQ57)</f>
        <v>OPP-26; OPP-37; OPP-52; OPP-54; OPP-67</v>
      </c>
      <c r="AG57" s="79" t="s">
        <v>707</v>
      </c>
      <c r="AH57" s="64" t="s">
        <v>1893</v>
      </c>
      <c r="AI57" s="67" t="s">
        <v>251</v>
      </c>
      <c r="AJ57" s="66" t="s">
        <v>1869</v>
      </c>
    </row>
    <row r="58" customFormat="false" ht="30" hidden="false" customHeight="true" outlineLevel="0" collapsed="false">
      <c r="A58" s="93" t="s">
        <v>1894</v>
      </c>
      <c r="B58" s="260" t="s">
        <v>1859</v>
      </c>
      <c r="C58" s="59" t="s">
        <v>344</v>
      </c>
      <c r="D58" s="60" t="s">
        <v>1860</v>
      </c>
      <c r="E58" s="107" t="s">
        <v>1895</v>
      </c>
      <c r="F58" s="95" t="s">
        <v>1896</v>
      </c>
      <c r="G58" s="107" t="s">
        <v>1897</v>
      </c>
      <c r="H58" s="60" t="s">
        <v>1431</v>
      </c>
      <c r="I58" s="59" t="s">
        <v>354</v>
      </c>
      <c r="J58" s="52" t="s">
        <v>1705</v>
      </c>
      <c r="K58" s="53" t="s">
        <v>1898</v>
      </c>
      <c r="L58" s="52" t="s">
        <v>1899</v>
      </c>
      <c r="M58" s="60" t="s">
        <v>1435</v>
      </c>
      <c r="N58" s="59" t="n">
        <v>4</v>
      </c>
      <c r="O58" s="59" t="n">
        <v>3</v>
      </c>
      <c r="P58" s="59" t="n">
        <v>4</v>
      </c>
      <c r="Q58" s="55" t="n">
        <f aca="false">ROUND(N58*02_情境權重_Scenario!$C$21+O58*02_情境權重_Scenario!$C$22+P58*02_情境權重_Scenario!$C$23,1)</f>
        <v>3.7</v>
      </c>
      <c r="R58" s="59" t="n">
        <v>3</v>
      </c>
      <c r="S58" s="59" t="n">
        <v>3</v>
      </c>
      <c r="T58" s="59" t="n">
        <v>3</v>
      </c>
      <c r="U58" s="55" t="n">
        <f aca="false">ROUND(R58*02_情境權重_Scenario!$C$27+S58*02_情境權重_Scenario!$C$28+T58*02_情境權重_Scenario!$C$29,1)</f>
        <v>3</v>
      </c>
      <c r="V58" s="60" t="s">
        <v>1595</v>
      </c>
      <c r="W58" s="261" t="str">
        <f aca="false">IF(OR(M58="未通過",V58="極高"),"暫緩 Hold",IF(AND(Q58&gt;=3.5,U58&gt;=3),"立即推進 Go",IF(Q58&gt;=3.5,"先補條件 Prepare",IF(U58&gt;=3,"快速小案 Quick-win","儲備觀察 Backlog"))))</f>
        <v>立即推進 Go</v>
      </c>
      <c r="X58" s="52" t="s">
        <v>1900</v>
      </c>
      <c r="Y58" s="52" t="s">
        <v>1901</v>
      </c>
      <c r="Z58" s="53" t="s">
        <v>1438</v>
      </c>
      <c r="AA58" s="59" t="s">
        <v>1439</v>
      </c>
      <c r="AB58" s="59"/>
      <c r="AC58" s="52"/>
      <c r="AD58" s="52"/>
      <c r="AE58" s="60" t="s">
        <v>1440</v>
      </c>
      <c r="AF58" s="54" t="str">
        <f aca="false">IF($A58="","",16_能力商機矩陣_CapOppMap!$CQ58)</f>
        <v>OPP-66; OPP-70</v>
      </c>
      <c r="AG58" s="79" t="s">
        <v>707</v>
      </c>
      <c r="AH58" s="64" t="s">
        <v>250</v>
      </c>
      <c r="AI58" s="67" t="s">
        <v>251</v>
      </c>
      <c r="AJ58" s="66" t="s">
        <v>1869</v>
      </c>
    </row>
    <row r="59" customFormat="false" ht="30" hidden="false" customHeight="true" outlineLevel="0" collapsed="false">
      <c r="A59" s="93" t="s">
        <v>1902</v>
      </c>
      <c r="B59" s="260" t="s">
        <v>1903</v>
      </c>
      <c r="C59" s="59" t="s">
        <v>243</v>
      </c>
      <c r="D59" s="60" t="s">
        <v>1904</v>
      </c>
      <c r="E59" s="107" t="s">
        <v>1905</v>
      </c>
      <c r="F59" s="95" t="s">
        <v>1906</v>
      </c>
      <c r="G59" s="107" t="s">
        <v>1907</v>
      </c>
      <c r="H59" s="60" t="s">
        <v>1431</v>
      </c>
      <c r="I59" s="59" t="s">
        <v>1908</v>
      </c>
      <c r="J59" s="52" t="s">
        <v>1455</v>
      </c>
      <c r="K59" s="53" t="s">
        <v>1909</v>
      </c>
      <c r="L59" s="52" t="s">
        <v>1449</v>
      </c>
      <c r="M59" s="60" t="s">
        <v>1435</v>
      </c>
      <c r="N59" s="59" t="n">
        <v>5</v>
      </c>
      <c r="O59" s="59" t="n">
        <v>2</v>
      </c>
      <c r="P59" s="59" t="n">
        <v>5</v>
      </c>
      <c r="Q59" s="55" t="n">
        <f aca="false">ROUND(N59*02_情境權重_Scenario!$C$21+O59*02_情境權重_Scenario!$C$22+P59*02_情境權重_Scenario!$C$23,1)</f>
        <v>4.1</v>
      </c>
      <c r="R59" s="59" t="n">
        <v>2</v>
      </c>
      <c r="S59" s="59" t="n">
        <v>2</v>
      </c>
      <c r="T59" s="59" t="n">
        <v>2</v>
      </c>
      <c r="U59" s="55" t="n">
        <f aca="false">ROUND(R59*02_情境權重_Scenario!$C$27+S59*02_情境權重_Scenario!$C$28+T59*02_情境權重_Scenario!$C$29,1)</f>
        <v>2</v>
      </c>
      <c r="V59" s="60" t="s">
        <v>1436</v>
      </c>
      <c r="W59" s="261" t="str">
        <f aca="false">IF(OR(M59="未通過",V59="極高"),"暫緩 Hold",IF(AND(Q59&gt;=3.5,U59&gt;=3),"立即推進 Go",IF(Q59&gt;=3.5,"先補條件 Prepare",IF(U59&gt;=3,"快速小案 Quick-win","儲備觀察 Backlog"))))</f>
        <v>先補條件 Prepare</v>
      </c>
      <c r="X59" s="52" t="s">
        <v>1910</v>
      </c>
      <c r="Y59" s="52" t="s">
        <v>1911</v>
      </c>
      <c r="Z59" s="53" t="s">
        <v>1438</v>
      </c>
      <c r="AA59" s="59" t="s">
        <v>1439</v>
      </c>
      <c r="AB59" s="59"/>
      <c r="AC59" s="52"/>
      <c r="AD59" s="52"/>
      <c r="AE59" s="60" t="s">
        <v>1440</v>
      </c>
      <c r="AF59" s="54" t="str">
        <f aca="false">IF($A59="","",16_能力商機矩陣_CapOppMap!$CQ59)</f>
        <v>OPP-01; OPP-03; OPP-04; OPP-40; OPP-84</v>
      </c>
      <c r="AG59" s="68" t="s">
        <v>263</v>
      </c>
      <c r="AH59" s="69" t="s">
        <v>1912</v>
      </c>
      <c r="AI59" s="65" t="s">
        <v>237</v>
      </c>
      <c r="AJ59" s="66" t="s">
        <v>1913</v>
      </c>
    </row>
    <row r="60" customFormat="false" ht="30" hidden="false" customHeight="true" outlineLevel="0" collapsed="false">
      <c r="A60" s="93" t="s">
        <v>1914</v>
      </c>
      <c r="B60" s="260" t="s">
        <v>1903</v>
      </c>
      <c r="C60" s="59" t="s">
        <v>302</v>
      </c>
      <c r="D60" s="60" t="s">
        <v>1904</v>
      </c>
      <c r="E60" s="107" t="s">
        <v>1915</v>
      </c>
      <c r="F60" s="95" t="s">
        <v>1916</v>
      </c>
      <c r="G60" s="107" t="s">
        <v>1917</v>
      </c>
      <c r="H60" s="60" t="s">
        <v>1666</v>
      </c>
      <c r="I60" s="59" t="s">
        <v>646</v>
      </c>
      <c r="J60" s="52" t="s">
        <v>1918</v>
      </c>
      <c r="K60" s="53" t="s">
        <v>1919</v>
      </c>
      <c r="L60" s="52" t="s">
        <v>1920</v>
      </c>
      <c r="M60" s="60" t="s">
        <v>1435</v>
      </c>
      <c r="N60" s="59" t="n">
        <v>5</v>
      </c>
      <c r="O60" s="59" t="n">
        <v>3</v>
      </c>
      <c r="P60" s="59" t="n">
        <v>4</v>
      </c>
      <c r="Q60" s="55" t="n">
        <f aca="false">ROUND(N60*02_情境權重_Scenario!$C$21+O60*02_情境權重_Scenario!$C$22+P60*02_情境權重_Scenario!$C$23,1)</f>
        <v>4.1</v>
      </c>
      <c r="R60" s="59" t="n">
        <v>2</v>
      </c>
      <c r="S60" s="59" t="n">
        <v>2</v>
      </c>
      <c r="T60" s="59" t="n">
        <v>2</v>
      </c>
      <c r="U60" s="55" t="n">
        <f aca="false">ROUND(R60*02_情境權重_Scenario!$C$27+S60*02_情境權重_Scenario!$C$28+T60*02_情境權重_Scenario!$C$29,1)</f>
        <v>2</v>
      </c>
      <c r="V60" s="60" t="s">
        <v>1436</v>
      </c>
      <c r="W60" s="261" t="str">
        <f aca="false">IF(OR(M60="未通過",V60="極高"),"暫緩 Hold",IF(AND(Q60&gt;=3.5,U60&gt;=3),"立即推進 Go",IF(Q60&gt;=3.5,"先補條件 Prepare",IF(U60&gt;=3,"快速小案 Quick-win","儲備觀察 Backlog"))))</f>
        <v>先補條件 Prepare</v>
      </c>
      <c r="X60" s="52" t="s">
        <v>1772</v>
      </c>
      <c r="Y60" s="52" t="s">
        <v>1921</v>
      </c>
      <c r="Z60" s="53" t="s">
        <v>1672</v>
      </c>
      <c r="AA60" s="59" t="s">
        <v>1439</v>
      </c>
      <c r="AB60" s="59"/>
      <c r="AC60" s="52"/>
      <c r="AD60" s="52"/>
      <c r="AE60" s="60" t="s">
        <v>1440</v>
      </c>
      <c r="AF60" s="54" t="str">
        <f aca="false">IF($A60="","",16_能力商機矩陣_CapOppMap!$CQ60)</f>
        <v>OPP-51; OPP-82</v>
      </c>
      <c r="AG60" s="68" t="s">
        <v>263</v>
      </c>
      <c r="AH60" s="69" t="s">
        <v>1922</v>
      </c>
      <c r="AI60" s="65" t="s">
        <v>237</v>
      </c>
      <c r="AJ60" s="66" t="s">
        <v>1913</v>
      </c>
    </row>
    <row r="61" customFormat="false" ht="30" hidden="false" customHeight="true" outlineLevel="0" collapsed="false">
      <c r="A61" s="93" t="s">
        <v>1923</v>
      </c>
      <c r="B61" s="260" t="s">
        <v>1903</v>
      </c>
      <c r="C61" s="59" t="s">
        <v>302</v>
      </c>
      <c r="D61" s="60" t="s">
        <v>1904</v>
      </c>
      <c r="E61" s="107" t="s">
        <v>1924</v>
      </c>
      <c r="F61" s="95" t="s">
        <v>1925</v>
      </c>
      <c r="G61" s="107" t="s">
        <v>1926</v>
      </c>
      <c r="H61" s="60" t="s">
        <v>1666</v>
      </c>
      <c r="I61" s="59" t="s">
        <v>1927</v>
      </c>
      <c r="J61" s="52" t="s">
        <v>1928</v>
      </c>
      <c r="K61" s="53" t="s">
        <v>1929</v>
      </c>
      <c r="L61" s="52" t="s">
        <v>1630</v>
      </c>
      <c r="M61" s="60" t="s">
        <v>1435</v>
      </c>
      <c r="N61" s="59" t="n">
        <v>3</v>
      </c>
      <c r="O61" s="59" t="n">
        <v>2</v>
      </c>
      <c r="P61" s="59" t="n">
        <v>4</v>
      </c>
      <c r="Q61" s="55" t="n">
        <f aca="false">ROUND(N61*02_情境權重_Scenario!$C$21+O61*02_情境權重_Scenario!$C$22+P61*02_情境權重_Scenario!$C$23,1)</f>
        <v>3.1</v>
      </c>
      <c r="R61" s="59" t="n">
        <v>2</v>
      </c>
      <c r="S61" s="59" t="n">
        <v>2</v>
      </c>
      <c r="T61" s="59" t="n">
        <v>2</v>
      </c>
      <c r="U61" s="55" t="n">
        <f aca="false">ROUND(R61*02_情境權重_Scenario!$C$27+S61*02_情境權重_Scenario!$C$28+T61*02_情境權重_Scenario!$C$29,1)</f>
        <v>2</v>
      </c>
      <c r="V61" s="60" t="s">
        <v>1436</v>
      </c>
      <c r="W61" s="261" t="str">
        <f aca="false">IF(OR(M61="未通過",V61="極高"),"暫緩 Hold",IF(AND(Q61&gt;=3.5,U61&gt;=3),"立即推進 Go",IF(Q61&gt;=3.5,"先補條件 Prepare",IF(U61&gt;=3,"快速小案 Quick-win","儲備觀察 Backlog"))))</f>
        <v>儲備觀察 Backlog</v>
      </c>
      <c r="X61" s="52" t="s">
        <v>1710</v>
      </c>
      <c r="Y61" s="52" t="s">
        <v>1930</v>
      </c>
      <c r="Z61" s="53" t="s">
        <v>1672</v>
      </c>
      <c r="AA61" s="59" t="s">
        <v>1439</v>
      </c>
      <c r="AB61" s="59"/>
      <c r="AC61" s="52"/>
      <c r="AD61" s="52"/>
      <c r="AE61" s="60" t="s">
        <v>1440</v>
      </c>
      <c r="AF61" s="54" t="str">
        <f aca="false">IF($A61="","",16_能力商機矩陣_CapOppMap!$CQ61)</f>
        <v>OPP-81; OPP-82</v>
      </c>
      <c r="AG61" s="68" t="s">
        <v>263</v>
      </c>
      <c r="AH61" s="64" t="s">
        <v>1931</v>
      </c>
      <c r="AI61" s="65" t="s">
        <v>237</v>
      </c>
      <c r="AJ61" s="66" t="s">
        <v>1913</v>
      </c>
    </row>
    <row r="62" customFormat="false" ht="30" hidden="false" customHeight="true" outlineLevel="0" collapsed="false">
      <c r="A62" s="93" t="s">
        <v>1932</v>
      </c>
      <c r="B62" s="260" t="s">
        <v>1903</v>
      </c>
      <c r="C62" s="59" t="s">
        <v>344</v>
      </c>
      <c r="D62" s="60" t="s">
        <v>1933</v>
      </c>
      <c r="E62" s="107" t="s">
        <v>1934</v>
      </c>
      <c r="F62" s="95" t="s">
        <v>1935</v>
      </c>
      <c r="G62" s="107" t="s">
        <v>1936</v>
      </c>
      <c r="H62" s="60" t="s">
        <v>1666</v>
      </c>
      <c r="I62" s="59" t="s">
        <v>259</v>
      </c>
      <c r="J62" s="52" t="s">
        <v>1937</v>
      </c>
      <c r="K62" s="53" t="s">
        <v>1938</v>
      </c>
      <c r="L62" s="52" t="s">
        <v>1512</v>
      </c>
      <c r="M62" s="60" t="s">
        <v>1435</v>
      </c>
      <c r="N62" s="59" t="n">
        <v>3</v>
      </c>
      <c r="O62" s="59" t="n">
        <v>2</v>
      </c>
      <c r="P62" s="59" t="n">
        <v>4</v>
      </c>
      <c r="Q62" s="55" t="n">
        <f aca="false">ROUND(N62*02_情境權重_Scenario!$C$21+O62*02_情境權重_Scenario!$C$22+P62*02_情境權重_Scenario!$C$23,1)</f>
        <v>3.1</v>
      </c>
      <c r="R62" s="59" t="n">
        <v>2</v>
      </c>
      <c r="S62" s="59" t="n">
        <v>2</v>
      </c>
      <c r="T62" s="59" t="n">
        <v>2</v>
      </c>
      <c r="U62" s="55" t="n">
        <f aca="false">ROUND(R62*02_情境權重_Scenario!$C$27+S62*02_情境權重_Scenario!$C$28+T62*02_情境權重_Scenario!$C$29,1)</f>
        <v>2</v>
      </c>
      <c r="V62" s="60" t="s">
        <v>1436</v>
      </c>
      <c r="W62" s="261" t="str">
        <f aca="false">IF(OR(M62="未通過",V62="極高"),"暫緩 Hold",IF(AND(Q62&gt;=3.5,U62&gt;=3),"立即推進 Go",IF(Q62&gt;=3.5,"先補條件 Prepare",IF(U62&gt;=3,"快速小案 Quick-win","儲備觀察 Backlog"))))</f>
        <v>儲備觀察 Backlog</v>
      </c>
      <c r="X62" s="52" t="s">
        <v>1499</v>
      </c>
      <c r="Y62" s="52" t="s">
        <v>1939</v>
      </c>
      <c r="Z62" s="53" t="s">
        <v>1672</v>
      </c>
      <c r="AA62" s="59" t="s">
        <v>1439</v>
      </c>
      <c r="AB62" s="59"/>
      <c r="AC62" s="52"/>
      <c r="AD62" s="52"/>
      <c r="AE62" s="60" t="s">
        <v>1440</v>
      </c>
      <c r="AF62" s="54" t="str">
        <f aca="false">IF($A62="","",16_能力商機矩陣_CapOppMap!$CQ62)</f>
        <v>OPP-83; OPP-84</v>
      </c>
      <c r="AG62" s="68" t="s">
        <v>263</v>
      </c>
      <c r="AH62" s="64" t="s">
        <v>1940</v>
      </c>
      <c r="AI62" s="65" t="s">
        <v>237</v>
      </c>
      <c r="AJ62" s="66" t="s">
        <v>1913</v>
      </c>
    </row>
    <row r="63" customFormat="false" ht="30" hidden="false" customHeight="true" outlineLevel="0" collapsed="false">
      <c r="A63" s="93" t="s">
        <v>1941</v>
      </c>
      <c r="B63" s="260" t="s">
        <v>1903</v>
      </c>
      <c r="C63" s="59" t="s">
        <v>269</v>
      </c>
      <c r="D63" s="60" t="s">
        <v>1904</v>
      </c>
      <c r="E63" s="95" t="s">
        <v>1942</v>
      </c>
      <c r="F63" s="95" t="s">
        <v>1943</v>
      </c>
      <c r="G63" s="107" t="s">
        <v>1944</v>
      </c>
      <c r="H63" s="60" t="s">
        <v>1431</v>
      </c>
      <c r="I63" s="59" t="s">
        <v>231</v>
      </c>
      <c r="J63" s="52" t="s">
        <v>1455</v>
      </c>
      <c r="K63" s="53" t="s">
        <v>1456</v>
      </c>
      <c r="L63" s="52" t="s">
        <v>1457</v>
      </c>
      <c r="M63" s="60" t="s">
        <v>1435</v>
      </c>
      <c r="N63" s="59" t="n">
        <v>5</v>
      </c>
      <c r="O63" s="59" t="n">
        <v>2</v>
      </c>
      <c r="P63" s="59" t="n">
        <v>4</v>
      </c>
      <c r="Q63" s="55" t="n">
        <f aca="false">ROUND(N63*02_情境權重_Scenario!$C$21+O63*02_情境權重_Scenario!$C$22+P63*02_情境權重_Scenario!$C$23,1)</f>
        <v>3.8</v>
      </c>
      <c r="R63" s="59" t="n">
        <v>2</v>
      </c>
      <c r="S63" s="59" t="n">
        <v>2</v>
      </c>
      <c r="T63" s="59" t="n">
        <v>2</v>
      </c>
      <c r="U63" s="55" t="n">
        <f aca="false">ROUND(R63*02_情境權重_Scenario!$C$27+S63*02_情境權重_Scenario!$C$28+T63*02_情境權重_Scenario!$C$29,1)</f>
        <v>2</v>
      </c>
      <c r="V63" s="60" t="s">
        <v>1436</v>
      </c>
      <c r="W63" s="261" t="str">
        <f aca="false">IF(OR(M63="未通過",V63="極高"),"暫緩 Hold",IF(AND(Q63&gt;=3.5,U63&gt;=3),"立即推進 Go",IF(Q63&gt;=3.5,"先補條件 Prepare",IF(U63&gt;=3,"快速小案 Quick-win","儲備觀察 Backlog"))))</f>
        <v>先補條件 Prepare</v>
      </c>
      <c r="X63" s="52" t="s">
        <v>1945</v>
      </c>
      <c r="Y63" s="52" t="s">
        <v>1946</v>
      </c>
      <c r="Z63" s="53" t="s">
        <v>1438</v>
      </c>
      <c r="AA63" s="59" t="s">
        <v>1439</v>
      </c>
      <c r="AB63" s="59"/>
      <c r="AC63" s="52"/>
      <c r="AD63" s="52"/>
      <c r="AE63" s="60" t="s">
        <v>1440</v>
      </c>
      <c r="AF63" s="54" t="str">
        <f aca="false">IF($A63="","",16_能力商機矩陣_CapOppMap!$CQ63)</f>
        <v>OPP-01; OPP-03</v>
      </c>
      <c r="AG63" s="68" t="s">
        <v>263</v>
      </c>
      <c r="AH63" s="64" t="s">
        <v>1947</v>
      </c>
      <c r="AI63" s="65" t="s">
        <v>237</v>
      </c>
      <c r="AJ63" s="66" t="s">
        <v>1913</v>
      </c>
    </row>
    <row r="64" customFormat="false" ht="30" hidden="false" customHeight="true" outlineLevel="0" collapsed="false">
      <c r="A64" s="93" t="s">
        <v>1948</v>
      </c>
      <c r="B64" s="260" t="s">
        <v>1903</v>
      </c>
      <c r="C64" s="59" t="s">
        <v>744</v>
      </c>
      <c r="D64" s="60" t="s">
        <v>1427</v>
      </c>
      <c r="E64" s="107" t="s">
        <v>1949</v>
      </c>
      <c r="F64" s="95" t="s">
        <v>1950</v>
      </c>
      <c r="G64" s="107" t="s">
        <v>1951</v>
      </c>
      <c r="H64" s="60" t="s">
        <v>1431</v>
      </c>
      <c r="I64" s="59" t="s">
        <v>890</v>
      </c>
      <c r="J64" s="52" t="s">
        <v>1472</v>
      </c>
      <c r="K64" s="53" t="s">
        <v>1952</v>
      </c>
      <c r="L64" s="52" t="s">
        <v>1855</v>
      </c>
      <c r="M64" s="60" t="s">
        <v>1435</v>
      </c>
      <c r="N64" s="59" t="n">
        <v>3</v>
      </c>
      <c r="O64" s="59" t="n">
        <v>2</v>
      </c>
      <c r="P64" s="59" t="n">
        <v>4</v>
      </c>
      <c r="Q64" s="55" t="n">
        <f aca="false">ROUND(N64*02_情境權重_Scenario!$C$21+O64*02_情境權重_Scenario!$C$22+P64*02_情境權重_Scenario!$C$23,1)</f>
        <v>3.1</v>
      </c>
      <c r="R64" s="59" t="n">
        <v>2</v>
      </c>
      <c r="S64" s="59" t="n">
        <v>2</v>
      </c>
      <c r="T64" s="59" t="n">
        <v>2</v>
      </c>
      <c r="U64" s="55" t="n">
        <f aca="false">ROUND(R64*02_情境權重_Scenario!$C$27+S64*02_情境權重_Scenario!$C$28+T64*02_情境權重_Scenario!$C$29,1)</f>
        <v>2</v>
      </c>
      <c r="V64" s="60" t="s">
        <v>1436</v>
      </c>
      <c r="W64" s="261" t="str">
        <f aca="false">IF(OR(M64="未通過",V64="極高"),"暫緩 Hold",IF(AND(Q64&gt;=3.5,U64&gt;=3),"立即推進 Go",IF(Q64&gt;=3.5,"先補條件 Prepare",IF(U64&gt;=3,"快速小案 Quick-win","儲備觀察 Backlog"))))</f>
        <v>儲備觀察 Backlog</v>
      </c>
      <c r="X64" s="52" t="s">
        <v>1953</v>
      </c>
      <c r="Y64" s="52" t="s">
        <v>1954</v>
      </c>
      <c r="Z64" s="53" t="s">
        <v>1438</v>
      </c>
      <c r="AA64" s="59" t="s">
        <v>1439</v>
      </c>
      <c r="AB64" s="59"/>
      <c r="AC64" s="52"/>
      <c r="AD64" s="52"/>
      <c r="AE64" s="60" t="s">
        <v>1440</v>
      </c>
      <c r="AF64" s="54" t="str">
        <f aca="false">IF($A64="","",16_能力商機矩陣_CapOppMap!$CQ64)</f>
        <v>OPP-01; OPP-85</v>
      </c>
      <c r="AG64" s="68" t="s">
        <v>263</v>
      </c>
      <c r="AH64" s="69" t="s">
        <v>1955</v>
      </c>
      <c r="AI64" s="65" t="s">
        <v>237</v>
      </c>
      <c r="AJ64" s="66" t="s">
        <v>1913</v>
      </c>
    </row>
    <row r="65" customFormat="false" ht="25.5" hidden="false" customHeight="true" outlineLevel="0" collapsed="false">
      <c r="A65" s="59"/>
      <c r="B65" s="59"/>
      <c r="C65" s="59"/>
      <c r="D65" s="59"/>
      <c r="E65" s="95"/>
      <c r="F65" s="95"/>
      <c r="G65" s="95"/>
      <c r="H65" s="60"/>
      <c r="I65" s="59"/>
      <c r="J65" s="52"/>
      <c r="K65" s="52"/>
      <c r="L65" s="52"/>
      <c r="M65" s="60"/>
      <c r="N65" s="59"/>
      <c r="O65" s="59"/>
      <c r="P65" s="59"/>
      <c r="Q65" s="55" t="str">
        <f aca="false">IF($A65="","",ROUND(N65*02_情境權重_Scenario!$C$21+O65*02_情境權重_Scenario!$C$22+P65*02_情境權重_Scenario!$C$23,1))</f>
        <v/>
      </c>
      <c r="R65" s="59"/>
      <c r="S65" s="59"/>
      <c r="T65" s="59"/>
      <c r="U65" s="55" t="str">
        <f aca="false">IF($A65="","",ROUND(R65*02_情境權重_Scenario!$C$27+S65*02_情境權重_Scenario!$C$28+T65*02_情境權重_Scenario!$C$29,1))</f>
        <v/>
      </c>
      <c r="V65" s="60"/>
      <c r="W65" s="261" t="str">
        <f aca="false">IF($A65="","",IF(OR(M65="未通過",V65="極高"),"暫緩 Hold",IF(AND(Q65&gt;=3.5,U65&gt;=3),"立即推進 Go",IF(Q65&gt;=3.5,"先補條件 Prepare",IF(U65&gt;=3,"快速小案 Quick-win","儲備觀察 Backlog")))))</f>
        <v/>
      </c>
      <c r="X65" s="52"/>
      <c r="Y65" s="52"/>
      <c r="Z65" s="53"/>
      <c r="AA65" s="59"/>
      <c r="AB65" s="59"/>
      <c r="AC65" s="52"/>
      <c r="AD65" s="52"/>
      <c r="AE65" s="60"/>
      <c r="AF65" s="54" t="str">
        <f aca="false">IF($A65="","",16_能力商機矩陣_CapOppMap!$CQ65)</f>
        <v/>
      </c>
    </row>
    <row r="66" customFormat="false" ht="25.5" hidden="false" customHeight="true" outlineLevel="0" collapsed="false">
      <c r="A66" s="59"/>
      <c r="B66" s="59"/>
      <c r="C66" s="59"/>
      <c r="D66" s="59"/>
      <c r="E66" s="95"/>
      <c r="F66" s="95"/>
      <c r="G66" s="95"/>
      <c r="H66" s="60"/>
      <c r="I66" s="59"/>
      <c r="J66" s="52"/>
      <c r="K66" s="52"/>
      <c r="L66" s="52"/>
      <c r="M66" s="60"/>
      <c r="N66" s="59"/>
      <c r="O66" s="59"/>
      <c r="P66" s="59"/>
      <c r="Q66" s="55" t="str">
        <f aca="false">IF($A66="","",ROUND(N66*02_情境權重_Scenario!$C$21+O66*02_情境權重_Scenario!$C$22+P66*02_情境權重_Scenario!$C$23,1))</f>
        <v/>
      </c>
      <c r="R66" s="59"/>
      <c r="S66" s="59"/>
      <c r="T66" s="59"/>
      <c r="U66" s="55" t="str">
        <f aca="false">IF($A66="","",ROUND(R66*02_情境權重_Scenario!$C$27+S66*02_情境權重_Scenario!$C$28+T66*02_情境權重_Scenario!$C$29,1))</f>
        <v/>
      </c>
      <c r="V66" s="60"/>
      <c r="W66" s="261" t="str">
        <f aca="false">IF($A66="","",IF(OR(M66="未通過",V66="極高"),"暫緩 Hold",IF(AND(Q66&gt;=3.5,U66&gt;=3),"立即推進 Go",IF(Q66&gt;=3.5,"先補條件 Prepare",IF(U66&gt;=3,"快速小案 Quick-win","儲備觀察 Backlog")))))</f>
        <v/>
      </c>
      <c r="X66" s="52"/>
      <c r="Y66" s="52"/>
      <c r="Z66" s="53"/>
      <c r="AA66" s="59"/>
      <c r="AB66" s="59"/>
      <c r="AC66" s="52"/>
      <c r="AD66" s="52"/>
      <c r="AE66" s="60"/>
      <c r="AF66" s="54" t="str">
        <f aca="false">IF($A66="","",16_能力商機矩陣_CapOppMap!$CQ66)</f>
        <v/>
      </c>
    </row>
    <row r="67" customFormat="false" ht="25.5" hidden="false" customHeight="true" outlineLevel="0" collapsed="false">
      <c r="A67" s="59"/>
      <c r="B67" s="59"/>
      <c r="C67" s="59"/>
      <c r="D67" s="59"/>
      <c r="E67" s="95"/>
      <c r="F67" s="95"/>
      <c r="G67" s="95"/>
      <c r="H67" s="60"/>
      <c r="I67" s="59"/>
      <c r="J67" s="52"/>
      <c r="K67" s="52"/>
      <c r="L67" s="52"/>
      <c r="M67" s="60"/>
      <c r="N67" s="59"/>
      <c r="O67" s="59"/>
      <c r="P67" s="59"/>
      <c r="Q67" s="55" t="str">
        <f aca="false">IF($A67="","",ROUND(N67*02_情境權重_Scenario!$C$21+O67*02_情境權重_Scenario!$C$22+P67*02_情境權重_Scenario!$C$23,1))</f>
        <v/>
      </c>
      <c r="R67" s="59"/>
      <c r="S67" s="59"/>
      <c r="T67" s="59"/>
      <c r="U67" s="55" t="str">
        <f aca="false">IF($A67="","",ROUND(R67*02_情境權重_Scenario!$C$27+S67*02_情境權重_Scenario!$C$28+T67*02_情境權重_Scenario!$C$29,1))</f>
        <v/>
      </c>
      <c r="V67" s="60"/>
      <c r="W67" s="261" t="str">
        <f aca="false">IF($A67="","",IF(OR(M67="未通過",V67="極高"),"暫緩 Hold",IF(AND(Q67&gt;=3.5,U67&gt;=3),"立即推進 Go",IF(Q67&gt;=3.5,"先補條件 Prepare",IF(U67&gt;=3,"快速小案 Quick-win","儲備觀察 Backlog")))))</f>
        <v/>
      </c>
      <c r="X67" s="52"/>
      <c r="Y67" s="52"/>
      <c r="Z67" s="53"/>
      <c r="AA67" s="59"/>
      <c r="AB67" s="59"/>
      <c r="AC67" s="52"/>
      <c r="AD67" s="52"/>
      <c r="AE67" s="60"/>
      <c r="AF67" s="54" t="str">
        <f aca="false">IF($A67="","",16_能力商機矩陣_CapOppMap!$CQ67)</f>
        <v/>
      </c>
    </row>
    <row r="68" customFormat="false" ht="25.5" hidden="false" customHeight="true" outlineLevel="0" collapsed="false">
      <c r="A68" s="59"/>
      <c r="B68" s="59"/>
      <c r="C68" s="59"/>
      <c r="D68" s="59"/>
      <c r="E68" s="95"/>
      <c r="F68" s="95"/>
      <c r="G68" s="95"/>
      <c r="H68" s="60"/>
      <c r="I68" s="59"/>
      <c r="J68" s="52"/>
      <c r="K68" s="52"/>
      <c r="L68" s="52"/>
      <c r="M68" s="60"/>
      <c r="N68" s="59"/>
      <c r="O68" s="59"/>
      <c r="P68" s="59"/>
      <c r="Q68" s="55" t="str">
        <f aca="false">IF($A68="","",ROUND(N68*02_情境權重_Scenario!$C$21+O68*02_情境權重_Scenario!$C$22+P68*02_情境權重_Scenario!$C$23,1))</f>
        <v/>
      </c>
      <c r="R68" s="59"/>
      <c r="S68" s="59"/>
      <c r="T68" s="59"/>
      <c r="U68" s="55" t="str">
        <f aca="false">IF($A68="","",ROUND(R68*02_情境權重_Scenario!$C$27+S68*02_情境權重_Scenario!$C$28+T68*02_情境權重_Scenario!$C$29,1))</f>
        <v/>
      </c>
      <c r="V68" s="60"/>
      <c r="W68" s="261" t="str">
        <f aca="false">IF($A68="","",IF(OR(M68="未通過",V68="極高"),"暫緩 Hold",IF(AND(Q68&gt;=3.5,U68&gt;=3),"立即推進 Go",IF(Q68&gt;=3.5,"先補條件 Prepare",IF(U68&gt;=3,"快速小案 Quick-win","儲備觀察 Backlog")))))</f>
        <v/>
      </c>
      <c r="X68" s="52"/>
      <c r="Y68" s="52"/>
      <c r="Z68" s="53"/>
      <c r="AA68" s="59"/>
      <c r="AB68" s="59"/>
      <c r="AC68" s="52"/>
      <c r="AD68" s="52"/>
      <c r="AE68" s="60"/>
      <c r="AF68" s="54" t="str">
        <f aca="false">IF($A68="","",16_能力商機矩陣_CapOppMap!$CQ68)</f>
        <v/>
      </c>
    </row>
    <row r="69" customFormat="false" ht="25.5" hidden="false" customHeight="true" outlineLevel="0" collapsed="false">
      <c r="A69" s="59"/>
      <c r="B69" s="59"/>
      <c r="C69" s="59"/>
      <c r="D69" s="59"/>
      <c r="E69" s="95"/>
      <c r="F69" s="95"/>
      <c r="G69" s="95"/>
      <c r="H69" s="60"/>
      <c r="I69" s="59"/>
      <c r="J69" s="52"/>
      <c r="K69" s="52"/>
      <c r="L69" s="52"/>
      <c r="M69" s="60"/>
      <c r="N69" s="59"/>
      <c r="O69" s="59"/>
      <c r="P69" s="59"/>
      <c r="Q69" s="55" t="str">
        <f aca="false">IF($A69="","",ROUND(N69*02_情境權重_Scenario!$C$21+O69*02_情境權重_Scenario!$C$22+P69*02_情境權重_Scenario!$C$23,1))</f>
        <v/>
      </c>
      <c r="R69" s="59"/>
      <c r="S69" s="59"/>
      <c r="T69" s="59"/>
      <c r="U69" s="55" t="str">
        <f aca="false">IF($A69="","",ROUND(R69*02_情境權重_Scenario!$C$27+S69*02_情境權重_Scenario!$C$28+T69*02_情境權重_Scenario!$C$29,1))</f>
        <v/>
      </c>
      <c r="V69" s="60"/>
      <c r="W69" s="261" t="str">
        <f aca="false">IF($A69="","",IF(OR(M69="未通過",V69="極高"),"暫緩 Hold",IF(AND(Q69&gt;=3.5,U69&gt;=3),"立即推進 Go",IF(Q69&gt;=3.5,"先補條件 Prepare",IF(U69&gt;=3,"快速小案 Quick-win","儲備觀察 Backlog")))))</f>
        <v/>
      </c>
      <c r="X69" s="52"/>
      <c r="Y69" s="52"/>
      <c r="Z69" s="53"/>
      <c r="AA69" s="59"/>
      <c r="AB69" s="59"/>
      <c r="AC69" s="52"/>
      <c r="AD69" s="52"/>
      <c r="AE69" s="60"/>
      <c r="AF69" s="54" t="str">
        <f aca="false">IF($A69="","",16_能力商機矩陣_CapOppMap!$CQ69)</f>
        <v/>
      </c>
    </row>
    <row r="70" customFormat="false" ht="25.5" hidden="false" customHeight="true" outlineLevel="0" collapsed="false">
      <c r="A70" s="59"/>
      <c r="B70" s="59"/>
      <c r="C70" s="59"/>
      <c r="D70" s="59"/>
      <c r="E70" s="95"/>
      <c r="F70" s="95"/>
      <c r="G70" s="95"/>
      <c r="H70" s="60"/>
      <c r="I70" s="59"/>
      <c r="J70" s="52"/>
      <c r="K70" s="52"/>
      <c r="L70" s="52"/>
      <c r="M70" s="60"/>
      <c r="N70" s="59"/>
      <c r="O70" s="59"/>
      <c r="P70" s="59"/>
      <c r="Q70" s="55" t="str">
        <f aca="false">IF($A70="","",ROUND(N70*02_情境權重_Scenario!$C$21+O70*02_情境權重_Scenario!$C$22+P70*02_情境權重_Scenario!$C$23,1))</f>
        <v/>
      </c>
      <c r="R70" s="59"/>
      <c r="S70" s="59"/>
      <c r="T70" s="59"/>
      <c r="U70" s="55" t="str">
        <f aca="false">IF($A70="","",ROUND(R70*02_情境權重_Scenario!$C$27+S70*02_情境權重_Scenario!$C$28+T70*02_情境權重_Scenario!$C$29,1))</f>
        <v/>
      </c>
      <c r="V70" s="60"/>
      <c r="W70" s="261" t="str">
        <f aca="false">IF($A70="","",IF(OR(M70="未通過",V70="極高"),"暫緩 Hold",IF(AND(Q70&gt;=3.5,U70&gt;=3),"立即推進 Go",IF(Q70&gt;=3.5,"先補條件 Prepare",IF(U70&gt;=3,"快速小案 Quick-win","儲備觀察 Backlog")))))</f>
        <v/>
      </c>
      <c r="X70" s="52"/>
      <c r="Y70" s="52"/>
      <c r="Z70" s="53"/>
      <c r="AA70" s="59"/>
      <c r="AB70" s="59"/>
      <c r="AC70" s="52"/>
      <c r="AD70" s="52"/>
      <c r="AE70" s="60"/>
      <c r="AF70" s="54" t="str">
        <f aca="false">IF($A70="","",16_能力商機矩陣_CapOppMap!$CQ70)</f>
        <v/>
      </c>
    </row>
    <row r="71" customFormat="false" ht="25.5" hidden="false" customHeight="true" outlineLevel="0" collapsed="false">
      <c r="A71" s="59"/>
      <c r="B71" s="59"/>
      <c r="C71" s="59"/>
      <c r="D71" s="59"/>
      <c r="E71" s="95"/>
      <c r="F71" s="95"/>
      <c r="G71" s="95"/>
      <c r="H71" s="60"/>
      <c r="I71" s="59"/>
      <c r="J71" s="52"/>
      <c r="K71" s="52"/>
      <c r="L71" s="52"/>
      <c r="M71" s="60"/>
      <c r="N71" s="59"/>
      <c r="O71" s="59"/>
      <c r="P71" s="59"/>
      <c r="Q71" s="55" t="str">
        <f aca="false">IF($A71="","",ROUND(N71*02_情境權重_Scenario!$C$21+O71*02_情境權重_Scenario!$C$22+P71*02_情境權重_Scenario!$C$23,1))</f>
        <v/>
      </c>
      <c r="R71" s="59"/>
      <c r="S71" s="59"/>
      <c r="T71" s="59"/>
      <c r="U71" s="55" t="str">
        <f aca="false">IF($A71="","",ROUND(R71*02_情境權重_Scenario!$C$27+S71*02_情境權重_Scenario!$C$28+T71*02_情境權重_Scenario!$C$29,1))</f>
        <v/>
      </c>
      <c r="V71" s="60"/>
      <c r="W71" s="261" t="str">
        <f aca="false">IF($A71="","",IF(OR(M71="未通過",V71="極高"),"暫緩 Hold",IF(AND(Q71&gt;=3.5,U71&gt;=3),"立即推進 Go",IF(Q71&gt;=3.5,"先補條件 Prepare",IF(U71&gt;=3,"快速小案 Quick-win","儲備觀察 Backlog")))))</f>
        <v/>
      </c>
      <c r="X71" s="52"/>
      <c r="Y71" s="52"/>
      <c r="Z71" s="53"/>
      <c r="AA71" s="59"/>
      <c r="AB71" s="59"/>
      <c r="AC71" s="52"/>
      <c r="AD71" s="52"/>
      <c r="AE71" s="60"/>
      <c r="AF71" s="54" t="str">
        <f aca="false">IF($A71="","",16_能力商機矩陣_CapOppMap!$CQ71)</f>
        <v/>
      </c>
    </row>
    <row r="72" customFormat="false" ht="25.5" hidden="false" customHeight="true" outlineLevel="0" collapsed="false">
      <c r="A72" s="59"/>
      <c r="B72" s="59"/>
      <c r="C72" s="59"/>
      <c r="D72" s="59"/>
      <c r="E72" s="95"/>
      <c r="F72" s="95"/>
      <c r="G72" s="95"/>
      <c r="H72" s="60"/>
      <c r="I72" s="59"/>
      <c r="J72" s="52"/>
      <c r="K72" s="52"/>
      <c r="L72" s="52"/>
      <c r="M72" s="60"/>
      <c r="N72" s="59"/>
      <c r="O72" s="59"/>
      <c r="P72" s="59"/>
      <c r="Q72" s="55" t="str">
        <f aca="false">IF($A72="","",ROUND(N72*02_情境權重_Scenario!$C$21+O72*02_情境權重_Scenario!$C$22+P72*02_情境權重_Scenario!$C$23,1))</f>
        <v/>
      </c>
      <c r="R72" s="59"/>
      <c r="S72" s="59"/>
      <c r="T72" s="59"/>
      <c r="U72" s="55" t="str">
        <f aca="false">IF($A72="","",ROUND(R72*02_情境權重_Scenario!$C$27+S72*02_情境權重_Scenario!$C$28+T72*02_情境權重_Scenario!$C$29,1))</f>
        <v/>
      </c>
      <c r="V72" s="60"/>
      <c r="W72" s="261" t="str">
        <f aca="false">IF($A72="","",IF(OR(M72="未通過",V72="極高"),"暫緩 Hold",IF(AND(Q72&gt;=3.5,U72&gt;=3),"立即推進 Go",IF(Q72&gt;=3.5,"先補條件 Prepare",IF(U72&gt;=3,"快速小案 Quick-win","儲備觀察 Backlog")))))</f>
        <v/>
      </c>
      <c r="X72" s="52"/>
      <c r="Y72" s="52"/>
      <c r="Z72" s="53"/>
      <c r="AA72" s="59"/>
      <c r="AB72" s="59"/>
      <c r="AC72" s="52"/>
      <c r="AD72" s="52"/>
      <c r="AE72" s="60"/>
      <c r="AF72" s="54" t="str">
        <f aca="false">IF($A72="","",16_能力商機矩陣_CapOppMap!$CQ72)</f>
        <v/>
      </c>
    </row>
    <row r="73" customFormat="false" ht="25.5" hidden="false" customHeight="true" outlineLevel="0" collapsed="false">
      <c r="A73" s="59"/>
      <c r="B73" s="59"/>
      <c r="C73" s="59"/>
      <c r="D73" s="59"/>
      <c r="E73" s="95"/>
      <c r="F73" s="95"/>
      <c r="G73" s="95"/>
      <c r="H73" s="60"/>
      <c r="I73" s="59"/>
      <c r="J73" s="52"/>
      <c r="K73" s="52"/>
      <c r="L73" s="52"/>
      <c r="M73" s="60"/>
      <c r="N73" s="59"/>
      <c r="O73" s="59"/>
      <c r="P73" s="59"/>
      <c r="Q73" s="55" t="str">
        <f aca="false">IF($A73="","",ROUND(N73*02_情境權重_Scenario!$C$21+O73*02_情境權重_Scenario!$C$22+P73*02_情境權重_Scenario!$C$23,1))</f>
        <v/>
      </c>
      <c r="R73" s="59"/>
      <c r="S73" s="59"/>
      <c r="T73" s="59"/>
      <c r="U73" s="55" t="str">
        <f aca="false">IF($A73="","",ROUND(R73*02_情境權重_Scenario!$C$27+S73*02_情境權重_Scenario!$C$28+T73*02_情境權重_Scenario!$C$29,1))</f>
        <v/>
      </c>
      <c r="V73" s="60"/>
      <c r="W73" s="261" t="str">
        <f aca="false">IF($A73="","",IF(OR(M73="未通過",V73="極高"),"暫緩 Hold",IF(AND(Q73&gt;=3.5,U73&gt;=3),"立即推進 Go",IF(Q73&gt;=3.5,"先補條件 Prepare",IF(U73&gt;=3,"快速小案 Quick-win","儲備觀察 Backlog")))))</f>
        <v/>
      </c>
      <c r="X73" s="52"/>
      <c r="Y73" s="52"/>
      <c r="Z73" s="53"/>
      <c r="AA73" s="59"/>
      <c r="AB73" s="59"/>
      <c r="AC73" s="52"/>
      <c r="AD73" s="52"/>
      <c r="AE73" s="60"/>
      <c r="AF73" s="54" t="str">
        <f aca="false">IF($A73="","",16_能力商機矩陣_CapOppMap!$CQ73)</f>
        <v/>
      </c>
    </row>
    <row r="74" customFormat="false" ht="25.5" hidden="false" customHeight="true" outlineLevel="0" collapsed="false">
      <c r="A74" s="59"/>
      <c r="B74" s="59"/>
      <c r="C74" s="59"/>
      <c r="D74" s="59"/>
      <c r="E74" s="95"/>
      <c r="F74" s="95"/>
      <c r="G74" s="95"/>
      <c r="H74" s="60"/>
      <c r="I74" s="59"/>
      <c r="J74" s="52"/>
      <c r="K74" s="52"/>
      <c r="L74" s="52"/>
      <c r="M74" s="60"/>
      <c r="N74" s="59"/>
      <c r="O74" s="59"/>
      <c r="P74" s="59"/>
      <c r="Q74" s="55" t="str">
        <f aca="false">IF($A74="","",ROUND(N74*02_情境權重_Scenario!$C$21+O74*02_情境權重_Scenario!$C$22+P74*02_情境權重_Scenario!$C$23,1))</f>
        <v/>
      </c>
      <c r="R74" s="59"/>
      <c r="S74" s="59"/>
      <c r="T74" s="59"/>
      <c r="U74" s="55" t="str">
        <f aca="false">IF($A74="","",ROUND(R74*02_情境權重_Scenario!$C$27+S74*02_情境權重_Scenario!$C$28+T74*02_情境權重_Scenario!$C$29,1))</f>
        <v/>
      </c>
      <c r="V74" s="60"/>
      <c r="W74" s="261" t="str">
        <f aca="false">IF($A74="","",IF(OR(M74="未通過",V74="極高"),"暫緩 Hold",IF(AND(Q74&gt;=3.5,U74&gt;=3),"立即推進 Go",IF(Q74&gt;=3.5,"先補條件 Prepare",IF(U74&gt;=3,"快速小案 Quick-win","儲備觀察 Backlog")))))</f>
        <v/>
      </c>
      <c r="X74" s="52"/>
      <c r="Y74" s="52"/>
      <c r="Z74" s="53"/>
      <c r="AA74" s="59"/>
      <c r="AB74" s="59"/>
      <c r="AC74" s="52"/>
      <c r="AD74" s="52"/>
      <c r="AE74" s="60"/>
      <c r="AF74" s="54" t="str">
        <f aca="false">IF($A74="","",16_能力商機矩陣_CapOppMap!$CQ74)</f>
        <v/>
      </c>
    </row>
    <row r="75" customFormat="false" ht="25.5" hidden="false" customHeight="true" outlineLevel="0" collapsed="false">
      <c r="A75" s="59"/>
      <c r="B75" s="59"/>
      <c r="C75" s="59"/>
      <c r="D75" s="59"/>
      <c r="E75" s="95"/>
      <c r="F75" s="95"/>
      <c r="G75" s="95"/>
      <c r="H75" s="60"/>
      <c r="I75" s="59"/>
      <c r="J75" s="52"/>
      <c r="K75" s="52"/>
      <c r="L75" s="52"/>
      <c r="M75" s="60"/>
      <c r="N75" s="59"/>
      <c r="O75" s="59"/>
      <c r="P75" s="59"/>
      <c r="Q75" s="55" t="str">
        <f aca="false">IF($A75="","",ROUND(N75*02_情境權重_Scenario!$C$21+O75*02_情境權重_Scenario!$C$22+P75*02_情境權重_Scenario!$C$23,1))</f>
        <v/>
      </c>
      <c r="R75" s="59"/>
      <c r="S75" s="59"/>
      <c r="T75" s="59"/>
      <c r="U75" s="55" t="str">
        <f aca="false">IF($A75="","",ROUND(R75*02_情境權重_Scenario!$C$27+S75*02_情境權重_Scenario!$C$28+T75*02_情境權重_Scenario!$C$29,1))</f>
        <v/>
      </c>
      <c r="V75" s="60"/>
      <c r="W75" s="261" t="str">
        <f aca="false">IF($A75="","",IF(OR(M75="未通過",V75="極高"),"暫緩 Hold",IF(AND(Q75&gt;=3.5,U75&gt;=3),"立即推進 Go",IF(Q75&gt;=3.5,"先補條件 Prepare",IF(U75&gt;=3,"快速小案 Quick-win","儲備觀察 Backlog")))))</f>
        <v/>
      </c>
      <c r="X75" s="52"/>
      <c r="Y75" s="52"/>
      <c r="Z75" s="53"/>
      <c r="AA75" s="59"/>
      <c r="AB75" s="59"/>
      <c r="AC75" s="52"/>
      <c r="AD75" s="52"/>
      <c r="AE75" s="60"/>
      <c r="AF75" s="54" t="str">
        <f aca="false">IF($A75="","",16_能力商機矩陣_CapOppMap!$CQ75)</f>
        <v/>
      </c>
    </row>
    <row r="76" customFormat="false" ht="25.5" hidden="false" customHeight="true" outlineLevel="0" collapsed="false">
      <c r="A76" s="59"/>
      <c r="B76" s="59"/>
      <c r="C76" s="59"/>
      <c r="D76" s="59"/>
      <c r="E76" s="95"/>
      <c r="F76" s="95"/>
      <c r="G76" s="95"/>
      <c r="H76" s="60"/>
      <c r="I76" s="59"/>
      <c r="J76" s="52"/>
      <c r="K76" s="52"/>
      <c r="L76" s="52"/>
      <c r="M76" s="60"/>
      <c r="N76" s="59"/>
      <c r="O76" s="59"/>
      <c r="P76" s="59"/>
      <c r="Q76" s="55" t="str">
        <f aca="false">IF($A76="","",ROUND(N76*02_情境權重_Scenario!$C$21+O76*02_情境權重_Scenario!$C$22+P76*02_情境權重_Scenario!$C$23,1))</f>
        <v/>
      </c>
      <c r="R76" s="59"/>
      <c r="S76" s="59"/>
      <c r="T76" s="59"/>
      <c r="U76" s="55" t="str">
        <f aca="false">IF($A76="","",ROUND(R76*02_情境權重_Scenario!$C$27+S76*02_情境權重_Scenario!$C$28+T76*02_情境權重_Scenario!$C$29,1))</f>
        <v/>
      </c>
      <c r="V76" s="60"/>
      <c r="W76" s="261" t="str">
        <f aca="false">IF($A76="","",IF(OR(M76="未通過",V76="極高"),"暫緩 Hold",IF(AND(Q76&gt;=3.5,U76&gt;=3),"立即推進 Go",IF(Q76&gt;=3.5,"先補條件 Prepare",IF(U76&gt;=3,"快速小案 Quick-win","儲備觀察 Backlog")))))</f>
        <v/>
      </c>
      <c r="X76" s="52"/>
      <c r="Y76" s="52"/>
      <c r="Z76" s="53"/>
      <c r="AA76" s="59"/>
      <c r="AB76" s="59"/>
      <c r="AC76" s="52"/>
      <c r="AD76" s="52"/>
      <c r="AE76" s="60"/>
      <c r="AF76" s="54" t="str">
        <f aca="false">IF($A76="","",16_能力商機矩陣_CapOppMap!$CQ76)</f>
        <v/>
      </c>
    </row>
    <row r="77" customFormat="false" ht="25.5" hidden="false" customHeight="true" outlineLevel="0" collapsed="false">
      <c r="A77" s="59"/>
      <c r="B77" s="59"/>
      <c r="C77" s="59"/>
      <c r="D77" s="59"/>
      <c r="E77" s="95"/>
      <c r="F77" s="95"/>
      <c r="G77" s="95"/>
      <c r="H77" s="60"/>
      <c r="I77" s="59"/>
      <c r="J77" s="52"/>
      <c r="K77" s="52"/>
      <c r="L77" s="52"/>
      <c r="M77" s="60"/>
      <c r="N77" s="59"/>
      <c r="O77" s="59"/>
      <c r="P77" s="59"/>
      <c r="Q77" s="55" t="str">
        <f aca="false">IF($A77="","",ROUND(N77*02_情境權重_Scenario!$C$21+O77*02_情境權重_Scenario!$C$22+P77*02_情境權重_Scenario!$C$23,1))</f>
        <v/>
      </c>
      <c r="R77" s="59"/>
      <c r="S77" s="59"/>
      <c r="T77" s="59"/>
      <c r="U77" s="55" t="str">
        <f aca="false">IF($A77="","",ROUND(R77*02_情境權重_Scenario!$C$27+S77*02_情境權重_Scenario!$C$28+T77*02_情境權重_Scenario!$C$29,1))</f>
        <v/>
      </c>
      <c r="V77" s="60"/>
      <c r="W77" s="261" t="str">
        <f aca="false">IF($A77="","",IF(OR(M77="未通過",V77="極高"),"暫緩 Hold",IF(AND(Q77&gt;=3.5,U77&gt;=3),"立即推進 Go",IF(Q77&gt;=3.5,"先補條件 Prepare",IF(U77&gt;=3,"快速小案 Quick-win","儲備觀察 Backlog")))))</f>
        <v/>
      </c>
      <c r="X77" s="52"/>
      <c r="Y77" s="52"/>
      <c r="Z77" s="53"/>
      <c r="AA77" s="59"/>
      <c r="AB77" s="59"/>
      <c r="AC77" s="52"/>
      <c r="AD77" s="52"/>
      <c r="AE77" s="60"/>
      <c r="AF77" s="54" t="str">
        <f aca="false">IF($A77="","",16_能力商機矩陣_CapOppMap!$CQ77)</f>
        <v/>
      </c>
    </row>
    <row r="78" customFormat="false" ht="25.5" hidden="false" customHeight="true" outlineLevel="0" collapsed="false">
      <c r="A78" s="59"/>
      <c r="B78" s="59"/>
      <c r="C78" s="59"/>
      <c r="D78" s="59"/>
      <c r="E78" s="95"/>
      <c r="F78" s="95"/>
      <c r="G78" s="95"/>
      <c r="H78" s="60"/>
      <c r="I78" s="59"/>
      <c r="J78" s="52"/>
      <c r="K78" s="52"/>
      <c r="L78" s="52"/>
      <c r="M78" s="60"/>
      <c r="N78" s="59"/>
      <c r="O78" s="59"/>
      <c r="P78" s="59"/>
      <c r="Q78" s="55" t="str">
        <f aca="false">IF($A78="","",ROUND(N78*02_情境權重_Scenario!$C$21+O78*02_情境權重_Scenario!$C$22+P78*02_情境權重_Scenario!$C$23,1))</f>
        <v/>
      </c>
      <c r="R78" s="59"/>
      <c r="S78" s="59"/>
      <c r="T78" s="59"/>
      <c r="U78" s="55" t="str">
        <f aca="false">IF($A78="","",ROUND(R78*02_情境權重_Scenario!$C$27+S78*02_情境權重_Scenario!$C$28+T78*02_情境權重_Scenario!$C$29,1))</f>
        <v/>
      </c>
      <c r="V78" s="60"/>
      <c r="W78" s="261" t="str">
        <f aca="false">IF($A78="","",IF(OR(M78="未通過",V78="極高"),"暫緩 Hold",IF(AND(Q78&gt;=3.5,U78&gt;=3),"立即推進 Go",IF(Q78&gt;=3.5,"先補條件 Prepare",IF(U78&gt;=3,"快速小案 Quick-win","儲備觀察 Backlog")))))</f>
        <v/>
      </c>
      <c r="X78" s="52"/>
      <c r="Y78" s="52"/>
      <c r="Z78" s="53"/>
      <c r="AA78" s="59"/>
      <c r="AB78" s="59"/>
      <c r="AC78" s="52"/>
      <c r="AD78" s="52"/>
      <c r="AE78" s="60"/>
      <c r="AF78" s="54" t="str">
        <f aca="false">IF($A78="","",16_能力商機矩陣_CapOppMap!$CQ78)</f>
        <v/>
      </c>
    </row>
    <row r="79" customFormat="false" ht="25.5" hidden="false" customHeight="true" outlineLevel="0" collapsed="false">
      <c r="A79" s="59"/>
      <c r="B79" s="59"/>
      <c r="C79" s="59"/>
      <c r="D79" s="59"/>
      <c r="E79" s="95"/>
      <c r="F79" s="95"/>
      <c r="G79" s="95"/>
      <c r="H79" s="60"/>
      <c r="I79" s="59"/>
      <c r="J79" s="52"/>
      <c r="K79" s="52"/>
      <c r="L79" s="52"/>
      <c r="M79" s="60"/>
      <c r="N79" s="59"/>
      <c r="O79" s="59"/>
      <c r="P79" s="59"/>
      <c r="Q79" s="55" t="str">
        <f aca="false">IF($A79="","",ROUND(N79*02_情境權重_Scenario!$C$21+O79*02_情境權重_Scenario!$C$22+P79*02_情境權重_Scenario!$C$23,1))</f>
        <v/>
      </c>
      <c r="R79" s="59"/>
      <c r="S79" s="59"/>
      <c r="T79" s="59"/>
      <c r="U79" s="55" t="str">
        <f aca="false">IF($A79="","",ROUND(R79*02_情境權重_Scenario!$C$27+S79*02_情境權重_Scenario!$C$28+T79*02_情境權重_Scenario!$C$29,1))</f>
        <v/>
      </c>
      <c r="V79" s="60"/>
      <c r="W79" s="261" t="str">
        <f aca="false">IF($A79="","",IF(OR(M79="未通過",V79="極高"),"暫緩 Hold",IF(AND(Q79&gt;=3.5,U79&gt;=3),"立即推進 Go",IF(Q79&gt;=3.5,"先補條件 Prepare",IF(U79&gt;=3,"快速小案 Quick-win","儲備觀察 Backlog")))))</f>
        <v/>
      </c>
      <c r="X79" s="52"/>
      <c r="Y79" s="52"/>
      <c r="Z79" s="53"/>
      <c r="AA79" s="59"/>
      <c r="AB79" s="59"/>
      <c r="AC79" s="52"/>
      <c r="AD79" s="52"/>
      <c r="AE79" s="60"/>
      <c r="AF79" s="54" t="str">
        <f aca="false">IF($A79="","",16_能力商機矩陣_CapOppMap!$CQ79)</f>
        <v/>
      </c>
    </row>
    <row r="80" customFormat="false" ht="25.5" hidden="false" customHeight="true" outlineLevel="0" collapsed="false">
      <c r="A80" s="59"/>
      <c r="B80" s="59"/>
      <c r="C80" s="59"/>
      <c r="D80" s="59"/>
      <c r="E80" s="95"/>
      <c r="F80" s="95"/>
      <c r="G80" s="95"/>
      <c r="H80" s="60"/>
      <c r="I80" s="59"/>
      <c r="J80" s="52"/>
      <c r="K80" s="52"/>
      <c r="L80" s="52"/>
      <c r="M80" s="60"/>
      <c r="N80" s="59"/>
      <c r="O80" s="59"/>
      <c r="P80" s="59"/>
      <c r="Q80" s="55" t="str">
        <f aca="false">IF($A80="","",ROUND(N80*02_情境權重_Scenario!$C$21+O80*02_情境權重_Scenario!$C$22+P80*02_情境權重_Scenario!$C$23,1))</f>
        <v/>
      </c>
      <c r="R80" s="59"/>
      <c r="S80" s="59"/>
      <c r="T80" s="59"/>
      <c r="U80" s="55" t="str">
        <f aca="false">IF($A80="","",ROUND(R80*02_情境權重_Scenario!$C$27+S80*02_情境權重_Scenario!$C$28+T80*02_情境權重_Scenario!$C$29,1))</f>
        <v/>
      </c>
      <c r="V80" s="60"/>
      <c r="W80" s="261" t="str">
        <f aca="false">IF($A80="","",IF(OR(M80="未通過",V80="極高"),"暫緩 Hold",IF(AND(Q80&gt;=3.5,U80&gt;=3),"立即推進 Go",IF(Q80&gt;=3.5,"先補條件 Prepare",IF(U80&gt;=3,"快速小案 Quick-win","儲備觀察 Backlog")))))</f>
        <v/>
      </c>
      <c r="X80" s="52"/>
      <c r="Y80" s="52"/>
      <c r="Z80" s="53"/>
      <c r="AA80" s="59"/>
      <c r="AB80" s="59"/>
      <c r="AC80" s="52"/>
      <c r="AD80" s="52"/>
      <c r="AE80" s="60"/>
      <c r="AF80" s="54" t="str">
        <f aca="false">IF($A80="","",16_能力商機矩陣_CapOppMap!$CQ80)</f>
        <v/>
      </c>
    </row>
    <row r="81" customFormat="false" ht="25.5" hidden="false" customHeight="true" outlineLevel="0" collapsed="false">
      <c r="A81" s="59"/>
      <c r="B81" s="59"/>
      <c r="C81" s="59"/>
      <c r="D81" s="59"/>
      <c r="E81" s="95"/>
      <c r="F81" s="95"/>
      <c r="G81" s="95"/>
      <c r="H81" s="60"/>
      <c r="I81" s="59"/>
      <c r="J81" s="52"/>
      <c r="K81" s="52"/>
      <c r="L81" s="52"/>
      <c r="M81" s="60"/>
      <c r="N81" s="59"/>
      <c r="O81" s="59"/>
      <c r="P81" s="59"/>
      <c r="Q81" s="55" t="str">
        <f aca="false">IF($A81="","",ROUND(N81*02_情境權重_Scenario!$C$21+O81*02_情境權重_Scenario!$C$22+P81*02_情境權重_Scenario!$C$23,1))</f>
        <v/>
      </c>
      <c r="R81" s="59"/>
      <c r="S81" s="59"/>
      <c r="T81" s="59"/>
      <c r="U81" s="55" t="str">
        <f aca="false">IF($A81="","",ROUND(R81*02_情境權重_Scenario!$C$27+S81*02_情境權重_Scenario!$C$28+T81*02_情境權重_Scenario!$C$29,1))</f>
        <v/>
      </c>
      <c r="V81" s="60"/>
      <c r="W81" s="261" t="str">
        <f aca="false">IF($A81="","",IF(OR(M81="未通過",V81="極高"),"暫緩 Hold",IF(AND(Q81&gt;=3.5,U81&gt;=3),"立即推進 Go",IF(Q81&gt;=3.5,"先補條件 Prepare",IF(U81&gt;=3,"快速小案 Quick-win","儲備觀察 Backlog")))))</f>
        <v/>
      </c>
      <c r="X81" s="52"/>
      <c r="Y81" s="52"/>
      <c r="Z81" s="53"/>
      <c r="AA81" s="59"/>
      <c r="AB81" s="59"/>
      <c r="AC81" s="52"/>
      <c r="AD81" s="52"/>
      <c r="AE81" s="60"/>
      <c r="AF81" s="54" t="str">
        <f aca="false">IF($A81="","",16_能力商機矩陣_CapOppMap!$CQ81)</f>
        <v/>
      </c>
    </row>
    <row r="82" customFormat="false" ht="25.5" hidden="false" customHeight="true" outlineLevel="0" collapsed="false">
      <c r="A82" s="59"/>
      <c r="B82" s="59"/>
      <c r="C82" s="59"/>
      <c r="D82" s="59"/>
      <c r="E82" s="95"/>
      <c r="F82" s="95"/>
      <c r="G82" s="95"/>
      <c r="H82" s="60"/>
      <c r="I82" s="59"/>
      <c r="J82" s="52"/>
      <c r="K82" s="52"/>
      <c r="L82" s="52"/>
      <c r="M82" s="60"/>
      <c r="N82" s="59"/>
      <c r="O82" s="59"/>
      <c r="P82" s="59"/>
      <c r="Q82" s="55" t="str">
        <f aca="false">IF($A82="","",ROUND(N82*02_情境權重_Scenario!$C$21+O82*02_情境權重_Scenario!$C$22+P82*02_情境權重_Scenario!$C$23,1))</f>
        <v/>
      </c>
      <c r="R82" s="59"/>
      <c r="S82" s="59"/>
      <c r="T82" s="59"/>
      <c r="U82" s="55" t="str">
        <f aca="false">IF($A82="","",ROUND(R82*02_情境權重_Scenario!$C$27+S82*02_情境權重_Scenario!$C$28+T82*02_情境權重_Scenario!$C$29,1))</f>
        <v/>
      </c>
      <c r="V82" s="60"/>
      <c r="W82" s="261" t="str">
        <f aca="false">IF($A82="","",IF(OR(M82="未通過",V82="極高"),"暫緩 Hold",IF(AND(Q82&gt;=3.5,U82&gt;=3),"立即推進 Go",IF(Q82&gt;=3.5,"先補條件 Prepare",IF(U82&gt;=3,"快速小案 Quick-win","儲備觀察 Backlog")))))</f>
        <v/>
      </c>
      <c r="X82" s="52"/>
      <c r="Y82" s="52"/>
      <c r="Z82" s="53"/>
      <c r="AA82" s="59"/>
      <c r="AB82" s="59"/>
      <c r="AC82" s="52"/>
      <c r="AD82" s="52"/>
      <c r="AE82" s="60"/>
      <c r="AF82" s="54" t="str">
        <f aca="false">IF($A82="","",16_能力商機矩陣_CapOppMap!$CQ82)</f>
        <v/>
      </c>
    </row>
    <row r="83" customFormat="false" ht="25.5" hidden="false" customHeight="true" outlineLevel="0" collapsed="false">
      <c r="A83" s="59"/>
      <c r="B83" s="59"/>
      <c r="C83" s="59"/>
      <c r="D83" s="59"/>
      <c r="E83" s="95"/>
      <c r="F83" s="95"/>
      <c r="G83" s="95"/>
      <c r="H83" s="60"/>
      <c r="I83" s="59"/>
      <c r="J83" s="52"/>
      <c r="K83" s="52"/>
      <c r="L83" s="52"/>
      <c r="M83" s="60"/>
      <c r="N83" s="59"/>
      <c r="O83" s="59"/>
      <c r="P83" s="59"/>
      <c r="Q83" s="55" t="str">
        <f aca="false">IF($A83="","",ROUND(N83*02_情境權重_Scenario!$C$21+O83*02_情境權重_Scenario!$C$22+P83*02_情境權重_Scenario!$C$23,1))</f>
        <v/>
      </c>
      <c r="R83" s="59"/>
      <c r="S83" s="59"/>
      <c r="T83" s="59"/>
      <c r="U83" s="55" t="str">
        <f aca="false">IF($A83="","",ROUND(R83*02_情境權重_Scenario!$C$27+S83*02_情境權重_Scenario!$C$28+T83*02_情境權重_Scenario!$C$29,1))</f>
        <v/>
      </c>
      <c r="V83" s="60"/>
      <c r="W83" s="261" t="str">
        <f aca="false">IF($A83="","",IF(OR(M83="未通過",V83="極高"),"暫緩 Hold",IF(AND(Q83&gt;=3.5,U83&gt;=3),"立即推進 Go",IF(Q83&gt;=3.5,"先補條件 Prepare",IF(U83&gt;=3,"快速小案 Quick-win","儲備觀察 Backlog")))))</f>
        <v/>
      </c>
      <c r="X83" s="52"/>
      <c r="Y83" s="52"/>
      <c r="Z83" s="53"/>
      <c r="AA83" s="59"/>
      <c r="AB83" s="59"/>
      <c r="AC83" s="52"/>
      <c r="AD83" s="52"/>
      <c r="AE83" s="60"/>
      <c r="AF83" s="54" t="str">
        <f aca="false">IF($A83="","",16_能力商機矩陣_CapOppMap!$CQ83)</f>
        <v/>
      </c>
    </row>
    <row r="84" customFormat="false" ht="25.5" hidden="false" customHeight="true" outlineLevel="0" collapsed="false">
      <c r="A84" s="59"/>
      <c r="B84" s="59"/>
      <c r="C84" s="59"/>
      <c r="D84" s="59"/>
      <c r="E84" s="95"/>
      <c r="F84" s="95"/>
      <c r="G84" s="95"/>
      <c r="H84" s="60"/>
      <c r="I84" s="59"/>
      <c r="J84" s="52"/>
      <c r="K84" s="52"/>
      <c r="L84" s="52"/>
      <c r="M84" s="60"/>
      <c r="N84" s="59"/>
      <c r="O84" s="59"/>
      <c r="P84" s="59"/>
      <c r="Q84" s="55" t="str">
        <f aca="false">IF($A84="","",ROUND(N84*02_情境權重_Scenario!$C$21+O84*02_情境權重_Scenario!$C$22+P84*02_情境權重_Scenario!$C$23,1))</f>
        <v/>
      </c>
      <c r="R84" s="59"/>
      <c r="S84" s="59"/>
      <c r="T84" s="59"/>
      <c r="U84" s="55" t="str">
        <f aca="false">IF($A84="","",ROUND(R84*02_情境權重_Scenario!$C$27+S84*02_情境權重_Scenario!$C$28+T84*02_情境權重_Scenario!$C$29,1))</f>
        <v/>
      </c>
      <c r="V84" s="60"/>
      <c r="W84" s="261" t="str">
        <f aca="false">IF($A84="","",IF(OR(M84="未通過",V84="極高"),"暫緩 Hold",IF(AND(Q84&gt;=3.5,U84&gt;=3),"立即推進 Go",IF(Q84&gt;=3.5,"先補條件 Prepare",IF(U84&gt;=3,"快速小案 Quick-win","儲備觀察 Backlog")))))</f>
        <v/>
      </c>
      <c r="X84" s="52"/>
      <c r="Y84" s="52"/>
      <c r="Z84" s="53"/>
      <c r="AA84" s="59"/>
      <c r="AB84" s="59"/>
      <c r="AC84" s="52"/>
      <c r="AD84" s="52"/>
      <c r="AE84" s="60"/>
      <c r="AF84" s="54" t="str">
        <f aca="false">IF($A84="","",16_能力商機矩陣_CapOppMap!$CQ84)</f>
        <v/>
      </c>
    </row>
    <row r="85" customFormat="false" ht="25.5" hidden="false" customHeight="true" outlineLevel="0" collapsed="false">
      <c r="A85" s="59"/>
      <c r="B85" s="59"/>
      <c r="C85" s="59"/>
      <c r="D85" s="59"/>
      <c r="E85" s="95"/>
      <c r="F85" s="95"/>
      <c r="G85" s="95"/>
      <c r="H85" s="60"/>
      <c r="I85" s="59"/>
      <c r="J85" s="52"/>
      <c r="K85" s="52"/>
      <c r="L85" s="52"/>
      <c r="M85" s="60"/>
      <c r="N85" s="59"/>
      <c r="O85" s="59"/>
      <c r="P85" s="59"/>
      <c r="Q85" s="55" t="str">
        <f aca="false">IF($A85="","",ROUND(N85*02_情境權重_Scenario!$C$21+O85*02_情境權重_Scenario!$C$22+P85*02_情境權重_Scenario!$C$23,1))</f>
        <v/>
      </c>
      <c r="R85" s="59"/>
      <c r="S85" s="59"/>
      <c r="T85" s="59"/>
      <c r="U85" s="55" t="str">
        <f aca="false">IF($A85="","",ROUND(R85*02_情境權重_Scenario!$C$27+S85*02_情境權重_Scenario!$C$28+T85*02_情境權重_Scenario!$C$29,1))</f>
        <v/>
      </c>
      <c r="V85" s="60"/>
      <c r="W85" s="261" t="str">
        <f aca="false">IF($A85="","",IF(OR(M85="未通過",V85="極高"),"暫緩 Hold",IF(AND(Q85&gt;=3.5,U85&gt;=3),"立即推進 Go",IF(Q85&gt;=3.5,"先補條件 Prepare",IF(U85&gt;=3,"快速小案 Quick-win","儲備觀察 Backlog")))))</f>
        <v/>
      </c>
      <c r="X85" s="52"/>
      <c r="Y85" s="52"/>
      <c r="Z85" s="53"/>
      <c r="AA85" s="59"/>
      <c r="AB85" s="59"/>
      <c r="AC85" s="52"/>
      <c r="AD85" s="52"/>
      <c r="AE85" s="60"/>
      <c r="AF85" s="54" t="str">
        <f aca="false">IF($A85="","",16_能力商機矩陣_CapOppMap!$CQ85)</f>
        <v/>
      </c>
    </row>
    <row r="86" customFormat="false" ht="25.5" hidden="false" customHeight="true" outlineLevel="0" collapsed="false">
      <c r="A86" s="59"/>
      <c r="B86" s="59"/>
      <c r="C86" s="59"/>
      <c r="D86" s="59"/>
      <c r="E86" s="95"/>
      <c r="F86" s="95"/>
      <c r="G86" s="95"/>
      <c r="H86" s="60"/>
      <c r="I86" s="59"/>
      <c r="J86" s="52"/>
      <c r="K86" s="52"/>
      <c r="L86" s="52"/>
      <c r="M86" s="60"/>
      <c r="N86" s="59"/>
      <c r="O86" s="59"/>
      <c r="P86" s="59"/>
      <c r="Q86" s="55" t="str">
        <f aca="false">IF($A86="","",ROUND(N86*02_情境權重_Scenario!$C$21+O86*02_情境權重_Scenario!$C$22+P86*02_情境權重_Scenario!$C$23,1))</f>
        <v/>
      </c>
      <c r="R86" s="59"/>
      <c r="S86" s="59"/>
      <c r="T86" s="59"/>
      <c r="U86" s="55" t="str">
        <f aca="false">IF($A86="","",ROUND(R86*02_情境權重_Scenario!$C$27+S86*02_情境權重_Scenario!$C$28+T86*02_情境權重_Scenario!$C$29,1))</f>
        <v/>
      </c>
      <c r="V86" s="60"/>
      <c r="W86" s="261" t="str">
        <f aca="false">IF($A86="","",IF(OR(M86="未通過",V86="極高"),"暫緩 Hold",IF(AND(Q86&gt;=3.5,U86&gt;=3),"立即推進 Go",IF(Q86&gt;=3.5,"先補條件 Prepare",IF(U86&gt;=3,"快速小案 Quick-win","儲備觀察 Backlog")))))</f>
        <v/>
      </c>
      <c r="X86" s="52"/>
      <c r="Y86" s="52"/>
      <c r="Z86" s="53"/>
      <c r="AA86" s="59"/>
      <c r="AB86" s="59"/>
      <c r="AC86" s="52"/>
      <c r="AD86" s="52"/>
      <c r="AE86" s="60"/>
      <c r="AF86" s="54" t="str">
        <f aca="false">IF($A86="","",16_能力商機矩陣_CapOppMap!$CQ86)</f>
        <v/>
      </c>
    </row>
    <row r="87" customFormat="false" ht="25.5" hidden="false" customHeight="true" outlineLevel="0" collapsed="false">
      <c r="A87" s="59"/>
      <c r="B87" s="59"/>
      <c r="C87" s="59"/>
      <c r="D87" s="59"/>
      <c r="E87" s="95"/>
      <c r="F87" s="95"/>
      <c r="G87" s="95"/>
      <c r="H87" s="60"/>
      <c r="I87" s="59"/>
      <c r="J87" s="52"/>
      <c r="K87" s="52"/>
      <c r="L87" s="52"/>
      <c r="M87" s="60"/>
      <c r="N87" s="59"/>
      <c r="O87" s="59"/>
      <c r="P87" s="59"/>
      <c r="Q87" s="55" t="str">
        <f aca="false">IF($A87="","",ROUND(N87*02_情境權重_Scenario!$C$21+O87*02_情境權重_Scenario!$C$22+P87*02_情境權重_Scenario!$C$23,1))</f>
        <v/>
      </c>
      <c r="R87" s="59"/>
      <c r="S87" s="59"/>
      <c r="T87" s="59"/>
      <c r="U87" s="55" t="str">
        <f aca="false">IF($A87="","",ROUND(R87*02_情境權重_Scenario!$C$27+S87*02_情境權重_Scenario!$C$28+T87*02_情境權重_Scenario!$C$29,1))</f>
        <v/>
      </c>
      <c r="V87" s="60"/>
      <c r="W87" s="261" t="str">
        <f aca="false">IF($A87="","",IF(OR(M87="未通過",V87="極高"),"暫緩 Hold",IF(AND(Q87&gt;=3.5,U87&gt;=3),"立即推進 Go",IF(Q87&gt;=3.5,"先補條件 Prepare",IF(U87&gt;=3,"快速小案 Quick-win","儲備觀察 Backlog")))))</f>
        <v/>
      </c>
      <c r="X87" s="52"/>
      <c r="Y87" s="52"/>
      <c r="Z87" s="53"/>
      <c r="AA87" s="59"/>
      <c r="AB87" s="59"/>
      <c r="AC87" s="52"/>
      <c r="AD87" s="52"/>
      <c r="AE87" s="60"/>
      <c r="AF87" s="54" t="str">
        <f aca="false">IF($A87="","",16_能力商機矩陣_CapOppMap!$CQ87)</f>
        <v/>
      </c>
    </row>
    <row r="88" customFormat="false" ht="25.5" hidden="false" customHeight="true" outlineLevel="0" collapsed="false">
      <c r="A88" s="59"/>
      <c r="B88" s="59"/>
      <c r="C88" s="59"/>
      <c r="D88" s="59"/>
      <c r="E88" s="95"/>
      <c r="F88" s="95"/>
      <c r="G88" s="95"/>
      <c r="H88" s="60"/>
      <c r="I88" s="59"/>
      <c r="J88" s="52"/>
      <c r="K88" s="52"/>
      <c r="L88" s="52"/>
      <c r="M88" s="60"/>
      <c r="N88" s="59"/>
      <c r="O88" s="59"/>
      <c r="P88" s="59"/>
      <c r="Q88" s="55" t="str">
        <f aca="false">IF($A88="","",ROUND(N88*02_情境權重_Scenario!$C$21+O88*02_情境權重_Scenario!$C$22+P88*02_情境權重_Scenario!$C$23,1))</f>
        <v/>
      </c>
      <c r="R88" s="59"/>
      <c r="S88" s="59"/>
      <c r="T88" s="59"/>
      <c r="U88" s="55" t="str">
        <f aca="false">IF($A88="","",ROUND(R88*02_情境權重_Scenario!$C$27+S88*02_情境權重_Scenario!$C$28+T88*02_情境權重_Scenario!$C$29,1))</f>
        <v/>
      </c>
      <c r="V88" s="60"/>
      <c r="W88" s="261" t="str">
        <f aca="false">IF($A88="","",IF(OR(M88="未通過",V88="極高"),"暫緩 Hold",IF(AND(Q88&gt;=3.5,U88&gt;=3),"立即推進 Go",IF(Q88&gt;=3.5,"先補條件 Prepare",IF(U88&gt;=3,"快速小案 Quick-win","儲備觀察 Backlog")))))</f>
        <v/>
      </c>
      <c r="X88" s="52"/>
      <c r="Y88" s="52"/>
      <c r="Z88" s="53"/>
      <c r="AA88" s="59"/>
      <c r="AB88" s="59"/>
      <c r="AC88" s="52"/>
      <c r="AD88" s="52"/>
      <c r="AE88" s="60"/>
      <c r="AF88" s="54" t="str">
        <f aca="false">IF($A88="","",16_能力商機矩陣_CapOppMap!$CQ88)</f>
        <v/>
      </c>
    </row>
    <row r="89" customFormat="false" ht="25.5" hidden="false" customHeight="true" outlineLevel="0" collapsed="false">
      <c r="A89" s="59"/>
      <c r="B89" s="59"/>
      <c r="C89" s="59"/>
      <c r="D89" s="59"/>
      <c r="E89" s="95"/>
      <c r="F89" s="95"/>
      <c r="G89" s="95"/>
      <c r="H89" s="60"/>
      <c r="I89" s="59"/>
      <c r="J89" s="52"/>
      <c r="K89" s="52"/>
      <c r="L89" s="52"/>
      <c r="M89" s="60"/>
      <c r="N89" s="59"/>
      <c r="O89" s="59"/>
      <c r="P89" s="59"/>
      <c r="Q89" s="55" t="str">
        <f aca="false">IF($A89="","",ROUND(N89*02_情境權重_Scenario!$C$21+O89*02_情境權重_Scenario!$C$22+P89*02_情境權重_Scenario!$C$23,1))</f>
        <v/>
      </c>
      <c r="R89" s="59"/>
      <c r="S89" s="59"/>
      <c r="T89" s="59"/>
      <c r="U89" s="55" t="str">
        <f aca="false">IF($A89="","",ROUND(R89*02_情境權重_Scenario!$C$27+S89*02_情境權重_Scenario!$C$28+T89*02_情境權重_Scenario!$C$29,1))</f>
        <v/>
      </c>
      <c r="V89" s="60"/>
      <c r="W89" s="261" t="str">
        <f aca="false">IF($A89="","",IF(OR(M89="未通過",V89="極高"),"暫緩 Hold",IF(AND(Q89&gt;=3.5,U89&gt;=3),"立即推進 Go",IF(Q89&gt;=3.5,"先補條件 Prepare",IF(U89&gt;=3,"快速小案 Quick-win","儲備觀察 Backlog")))))</f>
        <v/>
      </c>
      <c r="X89" s="52"/>
      <c r="Y89" s="52"/>
      <c r="Z89" s="53"/>
      <c r="AA89" s="59"/>
      <c r="AB89" s="59"/>
      <c r="AC89" s="52"/>
      <c r="AD89" s="52"/>
      <c r="AE89" s="60"/>
      <c r="AF89" s="54" t="str">
        <f aca="false">IF($A89="","",16_能力商機矩陣_CapOppMap!$CQ89)</f>
        <v/>
      </c>
    </row>
    <row r="90" customFormat="false" ht="25.5" hidden="false" customHeight="true" outlineLevel="0" collapsed="false">
      <c r="A90" s="59"/>
      <c r="B90" s="59"/>
      <c r="C90" s="59"/>
      <c r="D90" s="59"/>
      <c r="E90" s="95"/>
      <c r="F90" s="95"/>
      <c r="G90" s="95"/>
      <c r="H90" s="60"/>
      <c r="I90" s="59"/>
      <c r="J90" s="52"/>
      <c r="K90" s="52"/>
      <c r="L90" s="52"/>
      <c r="M90" s="60"/>
      <c r="N90" s="59"/>
      <c r="O90" s="59"/>
      <c r="P90" s="59"/>
      <c r="Q90" s="55" t="str">
        <f aca="false">IF($A90="","",ROUND(N90*02_情境權重_Scenario!$C$21+O90*02_情境權重_Scenario!$C$22+P90*02_情境權重_Scenario!$C$23,1))</f>
        <v/>
      </c>
      <c r="R90" s="59"/>
      <c r="S90" s="59"/>
      <c r="T90" s="59"/>
      <c r="U90" s="55" t="str">
        <f aca="false">IF($A90="","",ROUND(R90*02_情境權重_Scenario!$C$27+S90*02_情境權重_Scenario!$C$28+T90*02_情境權重_Scenario!$C$29,1))</f>
        <v/>
      </c>
      <c r="V90" s="60"/>
      <c r="W90" s="261" t="str">
        <f aca="false">IF($A90="","",IF(OR(M90="未通過",V90="極高"),"暫緩 Hold",IF(AND(Q90&gt;=3.5,U90&gt;=3),"立即推進 Go",IF(Q90&gt;=3.5,"先補條件 Prepare",IF(U90&gt;=3,"快速小案 Quick-win","儲備觀察 Backlog")))))</f>
        <v/>
      </c>
      <c r="X90" s="52"/>
      <c r="Y90" s="52"/>
      <c r="Z90" s="53"/>
      <c r="AA90" s="59"/>
      <c r="AB90" s="59"/>
      <c r="AC90" s="52"/>
      <c r="AD90" s="52"/>
      <c r="AE90" s="60"/>
      <c r="AF90" s="54" t="str">
        <f aca="false">IF($A90="","",16_能力商機矩陣_CapOppMap!$CQ90)</f>
        <v/>
      </c>
    </row>
    <row r="91" customFormat="false" ht="25.5" hidden="false" customHeight="true" outlineLevel="0" collapsed="false">
      <c r="A91" s="59"/>
      <c r="B91" s="59"/>
      <c r="C91" s="59"/>
      <c r="D91" s="59"/>
      <c r="E91" s="95"/>
      <c r="F91" s="95"/>
      <c r="G91" s="95"/>
      <c r="H91" s="60"/>
      <c r="I91" s="59"/>
      <c r="J91" s="52"/>
      <c r="K91" s="52"/>
      <c r="L91" s="52"/>
      <c r="M91" s="60"/>
      <c r="N91" s="59"/>
      <c r="O91" s="59"/>
      <c r="P91" s="59"/>
      <c r="Q91" s="55" t="str">
        <f aca="false">IF($A91="","",ROUND(N91*02_情境權重_Scenario!$C$21+O91*02_情境權重_Scenario!$C$22+P91*02_情境權重_Scenario!$C$23,1))</f>
        <v/>
      </c>
      <c r="R91" s="59"/>
      <c r="S91" s="59"/>
      <c r="T91" s="59"/>
      <c r="U91" s="55" t="str">
        <f aca="false">IF($A91="","",ROUND(R91*02_情境權重_Scenario!$C$27+S91*02_情境權重_Scenario!$C$28+T91*02_情境權重_Scenario!$C$29,1))</f>
        <v/>
      </c>
      <c r="V91" s="60"/>
      <c r="W91" s="261" t="str">
        <f aca="false">IF($A91="","",IF(OR(M91="未通過",V91="極高"),"暫緩 Hold",IF(AND(Q91&gt;=3.5,U91&gt;=3),"立即推進 Go",IF(Q91&gt;=3.5,"先補條件 Prepare",IF(U91&gt;=3,"快速小案 Quick-win","儲備觀察 Backlog")))))</f>
        <v/>
      </c>
      <c r="X91" s="52"/>
      <c r="Y91" s="52"/>
      <c r="Z91" s="53"/>
      <c r="AA91" s="59"/>
      <c r="AB91" s="59"/>
      <c r="AC91" s="52"/>
      <c r="AD91" s="52"/>
      <c r="AE91" s="60"/>
      <c r="AF91" s="54" t="str">
        <f aca="false">IF($A91="","",16_能力商機矩陣_CapOppMap!$CQ91)</f>
        <v/>
      </c>
    </row>
    <row r="92" customFormat="false" ht="25.5" hidden="false" customHeight="true" outlineLevel="0" collapsed="false">
      <c r="A92" s="59"/>
      <c r="B92" s="59"/>
      <c r="C92" s="59"/>
      <c r="D92" s="59"/>
      <c r="E92" s="95"/>
      <c r="F92" s="95"/>
      <c r="G92" s="95"/>
      <c r="H92" s="60"/>
      <c r="I92" s="59"/>
      <c r="J92" s="52"/>
      <c r="K92" s="52"/>
      <c r="L92" s="52"/>
      <c r="M92" s="60"/>
      <c r="N92" s="59"/>
      <c r="O92" s="59"/>
      <c r="P92" s="59"/>
      <c r="Q92" s="55" t="str">
        <f aca="false">IF($A92="","",ROUND(N92*02_情境權重_Scenario!$C$21+O92*02_情境權重_Scenario!$C$22+P92*02_情境權重_Scenario!$C$23,1))</f>
        <v/>
      </c>
      <c r="R92" s="59"/>
      <c r="S92" s="59"/>
      <c r="T92" s="59"/>
      <c r="U92" s="55" t="str">
        <f aca="false">IF($A92="","",ROUND(R92*02_情境權重_Scenario!$C$27+S92*02_情境權重_Scenario!$C$28+T92*02_情境權重_Scenario!$C$29,1))</f>
        <v/>
      </c>
      <c r="V92" s="60"/>
      <c r="W92" s="261" t="str">
        <f aca="false">IF($A92="","",IF(OR(M92="未通過",V92="極高"),"暫緩 Hold",IF(AND(Q92&gt;=3.5,U92&gt;=3),"立即推進 Go",IF(Q92&gt;=3.5,"先補條件 Prepare",IF(U92&gt;=3,"快速小案 Quick-win","儲備觀察 Backlog")))))</f>
        <v/>
      </c>
      <c r="X92" s="52"/>
      <c r="Y92" s="52"/>
      <c r="Z92" s="53"/>
      <c r="AA92" s="59"/>
      <c r="AB92" s="59"/>
      <c r="AC92" s="52"/>
      <c r="AD92" s="52"/>
      <c r="AE92" s="60"/>
      <c r="AF92" s="54" t="str">
        <f aca="false">IF($A92="","",16_能力商機矩陣_CapOppMap!$CQ92)</f>
        <v/>
      </c>
    </row>
    <row r="93" customFormat="false" ht="25.5" hidden="false" customHeight="true" outlineLevel="0" collapsed="false">
      <c r="A93" s="59"/>
      <c r="B93" s="59"/>
      <c r="C93" s="59"/>
      <c r="D93" s="59"/>
      <c r="E93" s="95"/>
      <c r="F93" s="95"/>
      <c r="G93" s="95"/>
      <c r="H93" s="60"/>
      <c r="I93" s="59"/>
      <c r="J93" s="52"/>
      <c r="K93" s="52"/>
      <c r="L93" s="52"/>
      <c r="M93" s="60"/>
      <c r="N93" s="59"/>
      <c r="O93" s="59"/>
      <c r="P93" s="59"/>
      <c r="Q93" s="55" t="str">
        <f aca="false">IF($A93="","",ROUND(N93*02_情境權重_Scenario!$C$21+O93*02_情境權重_Scenario!$C$22+P93*02_情境權重_Scenario!$C$23,1))</f>
        <v/>
      </c>
      <c r="R93" s="59"/>
      <c r="S93" s="59"/>
      <c r="T93" s="59"/>
      <c r="U93" s="55" t="str">
        <f aca="false">IF($A93="","",ROUND(R93*02_情境權重_Scenario!$C$27+S93*02_情境權重_Scenario!$C$28+T93*02_情境權重_Scenario!$C$29,1))</f>
        <v/>
      </c>
      <c r="V93" s="60"/>
      <c r="W93" s="261" t="str">
        <f aca="false">IF($A93="","",IF(OR(M93="未通過",V93="極高"),"暫緩 Hold",IF(AND(Q93&gt;=3.5,U93&gt;=3),"立即推進 Go",IF(Q93&gt;=3.5,"先補條件 Prepare",IF(U93&gt;=3,"快速小案 Quick-win","儲備觀察 Backlog")))))</f>
        <v/>
      </c>
      <c r="X93" s="52"/>
      <c r="Y93" s="52"/>
      <c r="Z93" s="53"/>
      <c r="AA93" s="59"/>
      <c r="AB93" s="59"/>
      <c r="AC93" s="52"/>
      <c r="AD93" s="52"/>
      <c r="AE93" s="60"/>
      <c r="AF93" s="54" t="str">
        <f aca="false">IF($A93="","",16_能力商機矩陣_CapOppMap!$CQ93)</f>
        <v/>
      </c>
    </row>
    <row r="94" customFormat="false" ht="25.5" hidden="false" customHeight="true" outlineLevel="0" collapsed="false">
      <c r="A94" s="59"/>
      <c r="B94" s="59"/>
      <c r="C94" s="59"/>
      <c r="D94" s="59"/>
      <c r="E94" s="95"/>
      <c r="F94" s="95"/>
      <c r="G94" s="95"/>
      <c r="H94" s="60"/>
      <c r="I94" s="59"/>
      <c r="J94" s="52"/>
      <c r="K94" s="52"/>
      <c r="L94" s="52"/>
      <c r="M94" s="60"/>
      <c r="N94" s="59"/>
      <c r="O94" s="59"/>
      <c r="P94" s="59"/>
      <c r="Q94" s="55" t="str">
        <f aca="false">IF($A94="","",ROUND(N94*02_情境權重_Scenario!$C$21+O94*02_情境權重_Scenario!$C$22+P94*02_情境權重_Scenario!$C$23,1))</f>
        <v/>
      </c>
      <c r="R94" s="59"/>
      <c r="S94" s="59"/>
      <c r="T94" s="59"/>
      <c r="U94" s="55" t="str">
        <f aca="false">IF($A94="","",ROUND(R94*02_情境權重_Scenario!$C$27+S94*02_情境權重_Scenario!$C$28+T94*02_情境權重_Scenario!$C$29,1))</f>
        <v/>
      </c>
      <c r="V94" s="60"/>
      <c r="W94" s="261" t="str">
        <f aca="false">IF($A94="","",IF(OR(M94="未通過",V94="極高"),"暫緩 Hold",IF(AND(Q94&gt;=3.5,U94&gt;=3),"立即推進 Go",IF(Q94&gt;=3.5,"先補條件 Prepare",IF(U94&gt;=3,"快速小案 Quick-win","儲備觀察 Backlog")))))</f>
        <v/>
      </c>
      <c r="X94" s="52"/>
      <c r="Y94" s="52"/>
      <c r="Z94" s="53"/>
      <c r="AA94" s="59"/>
      <c r="AB94" s="59"/>
      <c r="AC94" s="52"/>
      <c r="AD94" s="52"/>
      <c r="AE94" s="60"/>
      <c r="AF94" s="54" t="str">
        <f aca="false">IF($A94="","",16_能力商機矩陣_CapOppMap!$CQ94)</f>
        <v/>
      </c>
    </row>
    <row r="95" customFormat="false" ht="25.5" hidden="false" customHeight="true" outlineLevel="0" collapsed="false">
      <c r="A95" s="59"/>
      <c r="B95" s="59"/>
      <c r="C95" s="59"/>
      <c r="D95" s="59"/>
      <c r="E95" s="95"/>
      <c r="F95" s="95"/>
      <c r="G95" s="95"/>
      <c r="H95" s="60"/>
      <c r="I95" s="59"/>
      <c r="J95" s="52"/>
      <c r="K95" s="52"/>
      <c r="L95" s="52"/>
      <c r="M95" s="60"/>
      <c r="N95" s="59"/>
      <c r="O95" s="59"/>
      <c r="P95" s="59"/>
      <c r="Q95" s="55" t="str">
        <f aca="false">IF($A95="","",ROUND(N95*02_情境權重_Scenario!$C$21+O95*02_情境權重_Scenario!$C$22+P95*02_情境權重_Scenario!$C$23,1))</f>
        <v/>
      </c>
      <c r="R95" s="59"/>
      <c r="S95" s="59"/>
      <c r="T95" s="59"/>
      <c r="U95" s="55" t="str">
        <f aca="false">IF($A95="","",ROUND(R95*02_情境權重_Scenario!$C$27+S95*02_情境權重_Scenario!$C$28+T95*02_情境權重_Scenario!$C$29,1))</f>
        <v/>
      </c>
      <c r="V95" s="60"/>
      <c r="W95" s="261" t="str">
        <f aca="false">IF($A95="","",IF(OR(M95="未通過",V95="極高"),"暫緩 Hold",IF(AND(Q95&gt;=3.5,U95&gt;=3),"立即推進 Go",IF(Q95&gt;=3.5,"先補條件 Prepare",IF(U95&gt;=3,"快速小案 Quick-win","儲備觀察 Backlog")))))</f>
        <v/>
      </c>
      <c r="X95" s="52"/>
      <c r="Y95" s="52"/>
      <c r="Z95" s="53"/>
      <c r="AA95" s="59"/>
      <c r="AB95" s="59"/>
      <c r="AC95" s="52"/>
      <c r="AD95" s="52"/>
      <c r="AE95" s="60"/>
      <c r="AF95" s="54" t="str">
        <f aca="false">IF($A95="","",16_能力商機矩陣_CapOppMap!$CQ95)</f>
        <v/>
      </c>
    </row>
    <row r="96" customFormat="false" ht="25.5" hidden="false" customHeight="true" outlineLevel="0" collapsed="false">
      <c r="A96" s="59"/>
      <c r="B96" s="59"/>
      <c r="C96" s="59"/>
      <c r="D96" s="59"/>
      <c r="E96" s="95"/>
      <c r="F96" s="95"/>
      <c r="G96" s="95"/>
      <c r="H96" s="60"/>
      <c r="I96" s="59"/>
      <c r="J96" s="52"/>
      <c r="K96" s="52"/>
      <c r="L96" s="52"/>
      <c r="M96" s="60"/>
      <c r="N96" s="59"/>
      <c r="O96" s="59"/>
      <c r="P96" s="59"/>
      <c r="Q96" s="55" t="str">
        <f aca="false">IF($A96="","",ROUND(N96*02_情境權重_Scenario!$C$21+O96*02_情境權重_Scenario!$C$22+P96*02_情境權重_Scenario!$C$23,1))</f>
        <v/>
      </c>
      <c r="R96" s="59"/>
      <c r="S96" s="59"/>
      <c r="T96" s="59"/>
      <c r="U96" s="55" t="str">
        <f aca="false">IF($A96="","",ROUND(R96*02_情境權重_Scenario!$C$27+S96*02_情境權重_Scenario!$C$28+T96*02_情境權重_Scenario!$C$29,1))</f>
        <v/>
      </c>
      <c r="V96" s="60"/>
      <c r="W96" s="261" t="str">
        <f aca="false">IF($A96="","",IF(OR(M96="未通過",V96="極高"),"暫緩 Hold",IF(AND(Q96&gt;=3.5,U96&gt;=3),"立即推進 Go",IF(Q96&gt;=3.5,"先補條件 Prepare",IF(U96&gt;=3,"快速小案 Quick-win","儲備觀察 Backlog")))))</f>
        <v/>
      </c>
      <c r="X96" s="52"/>
      <c r="Y96" s="52"/>
      <c r="Z96" s="53"/>
      <c r="AA96" s="59"/>
      <c r="AB96" s="59"/>
      <c r="AC96" s="52"/>
      <c r="AD96" s="52"/>
      <c r="AE96" s="60"/>
      <c r="AF96" s="54" t="str">
        <f aca="false">IF($A96="","",16_能力商機矩陣_CapOppMap!$CQ96)</f>
        <v/>
      </c>
    </row>
    <row r="97" customFormat="false" ht="25.5" hidden="false" customHeight="true" outlineLevel="0" collapsed="false">
      <c r="A97" s="59"/>
      <c r="B97" s="59"/>
      <c r="C97" s="59"/>
      <c r="D97" s="59"/>
      <c r="E97" s="95"/>
      <c r="F97" s="95"/>
      <c r="G97" s="95"/>
      <c r="H97" s="60"/>
      <c r="I97" s="59"/>
      <c r="J97" s="52"/>
      <c r="K97" s="52"/>
      <c r="L97" s="52"/>
      <c r="M97" s="60"/>
      <c r="N97" s="59"/>
      <c r="O97" s="59"/>
      <c r="P97" s="59"/>
      <c r="Q97" s="55" t="str">
        <f aca="false">IF($A97="","",ROUND(N97*02_情境權重_Scenario!$C$21+O97*02_情境權重_Scenario!$C$22+P97*02_情境權重_Scenario!$C$23,1))</f>
        <v/>
      </c>
      <c r="R97" s="59"/>
      <c r="S97" s="59"/>
      <c r="T97" s="59"/>
      <c r="U97" s="55" t="str">
        <f aca="false">IF($A97="","",ROUND(R97*02_情境權重_Scenario!$C$27+S97*02_情境權重_Scenario!$C$28+T97*02_情境權重_Scenario!$C$29,1))</f>
        <v/>
      </c>
      <c r="V97" s="60"/>
      <c r="W97" s="261" t="str">
        <f aca="false">IF($A97="","",IF(OR(M97="未通過",V97="極高"),"暫緩 Hold",IF(AND(Q97&gt;=3.5,U97&gt;=3),"立即推進 Go",IF(Q97&gt;=3.5,"先補條件 Prepare",IF(U97&gt;=3,"快速小案 Quick-win","儲備觀察 Backlog")))))</f>
        <v/>
      </c>
      <c r="X97" s="52"/>
      <c r="Y97" s="52"/>
      <c r="Z97" s="53"/>
      <c r="AA97" s="59"/>
      <c r="AB97" s="59"/>
      <c r="AC97" s="52"/>
      <c r="AD97" s="52"/>
      <c r="AE97" s="60"/>
      <c r="AF97" s="54" t="str">
        <f aca="false">IF($A97="","",16_能力商機矩陣_CapOppMap!$CQ97)</f>
        <v/>
      </c>
    </row>
    <row r="98" customFormat="false" ht="25.5" hidden="false" customHeight="true" outlineLevel="0" collapsed="false">
      <c r="A98" s="59"/>
      <c r="B98" s="59"/>
      <c r="C98" s="59"/>
      <c r="D98" s="59"/>
      <c r="E98" s="95"/>
      <c r="F98" s="95"/>
      <c r="G98" s="95"/>
      <c r="H98" s="60"/>
      <c r="I98" s="59"/>
      <c r="J98" s="52"/>
      <c r="K98" s="52"/>
      <c r="L98" s="52"/>
      <c r="M98" s="60"/>
      <c r="N98" s="59"/>
      <c r="O98" s="59"/>
      <c r="P98" s="59"/>
      <c r="Q98" s="55" t="str">
        <f aca="false">IF($A98="","",ROUND(N98*02_情境權重_Scenario!$C$21+O98*02_情境權重_Scenario!$C$22+P98*02_情境權重_Scenario!$C$23,1))</f>
        <v/>
      </c>
      <c r="R98" s="59"/>
      <c r="S98" s="59"/>
      <c r="T98" s="59"/>
      <c r="U98" s="55" t="str">
        <f aca="false">IF($A98="","",ROUND(R98*02_情境權重_Scenario!$C$27+S98*02_情境權重_Scenario!$C$28+T98*02_情境權重_Scenario!$C$29,1))</f>
        <v/>
      </c>
      <c r="V98" s="60"/>
      <c r="W98" s="261" t="str">
        <f aca="false">IF($A98="","",IF(OR(M98="未通過",V98="極高"),"暫緩 Hold",IF(AND(Q98&gt;=3.5,U98&gt;=3),"立即推進 Go",IF(Q98&gt;=3.5,"先補條件 Prepare",IF(U98&gt;=3,"快速小案 Quick-win","儲備觀察 Backlog")))))</f>
        <v/>
      </c>
      <c r="X98" s="52"/>
      <c r="Y98" s="52"/>
      <c r="Z98" s="53"/>
      <c r="AA98" s="59"/>
      <c r="AB98" s="59"/>
      <c r="AC98" s="52"/>
      <c r="AD98" s="52"/>
      <c r="AE98" s="60"/>
      <c r="AF98" s="54" t="str">
        <f aca="false">IF($A98="","",16_能力商機矩陣_CapOppMap!$CQ98)</f>
        <v/>
      </c>
    </row>
    <row r="99" customFormat="false" ht="25.5" hidden="false" customHeight="true" outlineLevel="0" collapsed="false">
      <c r="A99" s="59"/>
      <c r="B99" s="59"/>
      <c r="C99" s="59"/>
      <c r="D99" s="59"/>
      <c r="E99" s="95"/>
      <c r="F99" s="95"/>
      <c r="G99" s="95"/>
      <c r="H99" s="60"/>
      <c r="I99" s="59"/>
      <c r="J99" s="52"/>
      <c r="K99" s="52"/>
      <c r="L99" s="52"/>
      <c r="M99" s="60"/>
      <c r="N99" s="59"/>
      <c r="O99" s="59"/>
      <c r="P99" s="59"/>
      <c r="Q99" s="55" t="str">
        <f aca="false">IF($A99="","",ROUND(N99*02_情境權重_Scenario!$C$21+O99*02_情境權重_Scenario!$C$22+P99*02_情境權重_Scenario!$C$23,1))</f>
        <v/>
      </c>
      <c r="R99" s="59"/>
      <c r="S99" s="59"/>
      <c r="T99" s="59"/>
      <c r="U99" s="55" t="str">
        <f aca="false">IF($A99="","",ROUND(R99*02_情境權重_Scenario!$C$27+S99*02_情境權重_Scenario!$C$28+T99*02_情境權重_Scenario!$C$29,1))</f>
        <v/>
      </c>
      <c r="V99" s="60"/>
      <c r="W99" s="261" t="str">
        <f aca="false">IF($A99="","",IF(OR(M99="未通過",V99="極高"),"暫緩 Hold",IF(AND(Q99&gt;=3.5,U99&gt;=3),"立即推進 Go",IF(Q99&gt;=3.5,"先補條件 Prepare",IF(U99&gt;=3,"快速小案 Quick-win","儲備觀察 Backlog")))))</f>
        <v/>
      </c>
      <c r="X99" s="52"/>
      <c r="Y99" s="52"/>
      <c r="Z99" s="53"/>
      <c r="AA99" s="59"/>
      <c r="AB99" s="59"/>
      <c r="AC99" s="52"/>
      <c r="AD99" s="52"/>
      <c r="AE99" s="60"/>
      <c r="AF99" s="54" t="str">
        <f aca="false">IF($A99="","",16_能力商機矩陣_CapOppMap!$CQ99)</f>
        <v/>
      </c>
    </row>
    <row r="100" customFormat="false" ht="25.5" hidden="false" customHeight="true" outlineLevel="0" collapsed="false">
      <c r="A100" s="59"/>
      <c r="B100" s="59"/>
      <c r="C100" s="59"/>
      <c r="D100" s="59"/>
      <c r="E100" s="95"/>
      <c r="F100" s="95"/>
      <c r="G100" s="95"/>
      <c r="H100" s="60"/>
      <c r="I100" s="59"/>
      <c r="J100" s="52"/>
      <c r="K100" s="52"/>
      <c r="L100" s="52"/>
      <c r="M100" s="60"/>
      <c r="N100" s="59"/>
      <c r="O100" s="59"/>
      <c r="P100" s="59"/>
      <c r="Q100" s="55" t="str">
        <f aca="false">IF($A100="","",ROUND(N100*02_情境權重_Scenario!$C$21+O100*02_情境權重_Scenario!$C$22+P100*02_情境權重_Scenario!$C$23,1))</f>
        <v/>
      </c>
      <c r="R100" s="59"/>
      <c r="S100" s="59"/>
      <c r="T100" s="59"/>
      <c r="U100" s="55" t="str">
        <f aca="false">IF($A100="","",ROUND(R100*02_情境權重_Scenario!$C$27+S100*02_情境權重_Scenario!$C$28+T100*02_情境權重_Scenario!$C$29,1))</f>
        <v/>
      </c>
      <c r="V100" s="60"/>
      <c r="W100" s="261" t="str">
        <f aca="false">IF($A100="","",IF(OR(M100="未通過",V100="極高"),"暫緩 Hold",IF(AND(Q100&gt;=3.5,U100&gt;=3),"立即推進 Go",IF(Q100&gt;=3.5,"先補條件 Prepare",IF(U100&gt;=3,"快速小案 Quick-win","儲備觀察 Backlog")))))</f>
        <v/>
      </c>
      <c r="X100" s="52"/>
      <c r="Y100" s="52"/>
      <c r="Z100" s="53"/>
      <c r="AA100" s="59"/>
      <c r="AB100" s="59"/>
      <c r="AC100" s="52"/>
      <c r="AD100" s="52"/>
      <c r="AE100" s="60"/>
      <c r="AF100" s="54" t="str">
        <f aca="false">IF($A100="","",16_能力商機矩陣_CapOppMap!$CQ100)</f>
        <v/>
      </c>
    </row>
    <row r="101" customFormat="false" ht="25.5" hidden="false" customHeight="true" outlineLevel="0" collapsed="false">
      <c r="A101" s="59"/>
      <c r="B101" s="59"/>
      <c r="C101" s="59"/>
      <c r="D101" s="59"/>
      <c r="E101" s="95"/>
      <c r="F101" s="95"/>
      <c r="G101" s="95"/>
      <c r="H101" s="60"/>
      <c r="I101" s="59"/>
      <c r="J101" s="52"/>
      <c r="K101" s="52"/>
      <c r="L101" s="52"/>
      <c r="M101" s="60"/>
      <c r="N101" s="59"/>
      <c r="O101" s="59"/>
      <c r="P101" s="59"/>
      <c r="Q101" s="55" t="str">
        <f aca="false">IF($A101="","",ROUND(N101*02_情境權重_Scenario!$C$21+O101*02_情境權重_Scenario!$C$22+P101*02_情境權重_Scenario!$C$23,1))</f>
        <v/>
      </c>
      <c r="R101" s="59"/>
      <c r="S101" s="59"/>
      <c r="T101" s="59"/>
      <c r="U101" s="55" t="str">
        <f aca="false">IF($A101="","",ROUND(R101*02_情境權重_Scenario!$C$27+S101*02_情境權重_Scenario!$C$28+T101*02_情境權重_Scenario!$C$29,1))</f>
        <v/>
      </c>
      <c r="V101" s="60"/>
      <c r="W101" s="261" t="str">
        <f aca="false">IF($A101="","",IF(OR(M101="未通過",V101="極高"),"暫緩 Hold",IF(AND(Q101&gt;=3.5,U101&gt;=3),"立即推進 Go",IF(Q101&gt;=3.5,"先補條件 Prepare",IF(U101&gt;=3,"快速小案 Quick-win","儲備觀察 Backlog")))))</f>
        <v/>
      </c>
      <c r="X101" s="52"/>
      <c r="Y101" s="52"/>
      <c r="Z101" s="53"/>
      <c r="AA101" s="59"/>
      <c r="AB101" s="59"/>
      <c r="AC101" s="52"/>
      <c r="AD101" s="52"/>
      <c r="AE101" s="60"/>
      <c r="AF101" s="54" t="str">
        <f aca="false">IF($A101="","",16_能力商機矩陣_CapOppMap!$CQ101)</f>
        <v/>
      </c>
    </row>
    <row r="102" customFormat="false" ht="25.5" hidden="false" customHeight="true" outlineLevel="0" collapsed="false">
      <c r="A102" s="59"/>
      <c r="B102" s="59"/>
      <c r="C102" s="59"/>
      <c r="D102" s="59"/>
      <c r="E102" s="95"/>
      <c r="F102" s="95"/>
      <c r="G102" s="95"/>
      <c r="H102" s="60"/>
      <c r="I102" s="59"/>
      <c r="J102" s="52"/>
      <c r="K102" s="52"/>
      <c r="L102" s="52"/>
      <c r="M102" s="60"/>
      <c r="N102" s="59"/>
      <c r="O102" s="59"/>
      <c r="P102" s="59"/>
      <c r="Q102" s="55" t="str">
        <f aca="false">IF($A102="","",ROUND(N102*02_情境權重_Scenario!$C$21+O102*02_情境權重_Scenario!$C$22+P102*02_情境權重_Scenario!$C$23,1))</f>
        <v/>
      </c>
      <c r="R102" s="59"/>
      <c r="S102" s="59"/>
      <c r="T102" s="59"/>
      <c r="U102" s="55" t="str">
        <f aca="false">IF($A102="","",ROUND(R102*02_情境權重_Scenario!$C$27+S102*02_情境權重_Scenario!$C$28+T102*02_情境權重_Scenario!$C$29,1))</f>
        <v/>
      </c>
      <c r="V102" s="60"/>
      <c r="W102" s="261" t="str">
        <f aca="false">IF($A102="","",IF(OR(M102="未通過",V102="極高"),"暫緩 Hold",IF(AND(Q102&gt;=3.5,U102&gt;=3),"立即推進 Go",IF(Q102&gt;=3.5,"先補條件 Prepare",IF(U102&gt;=3,"快速小案 Quick-win","儲備觀察 Backlog")))))</f>
        <v/>
      </c>
      <c r="X102" s="52"/>
      <c r="Y102" s="52"/>
      <c r="Z102" s="53"/>
      <c r="AA102" s="59"/>
      <c r="AB102" s="59"/>
      <c r="AC102" s="52"/>
      <c r="AD102" s="52"/>
      <c r="AE102" s="60"/>
      <c r="AF102" s="54" t="str">
        <f aca="false">IF($A102="","",16_能力商機矩陣_CapOppMap!$CQ102)</f>
        <v/>
      </c>
    </row>
    <row r="103" customFormat="false" ht="25.5" hidden="false" customHeight="true" outlineLevel="0" collapsed="false">
      <c r="A103" s="59"/>
      <c r="B103" s="59"/>
      <c r="C103" s="59"/>
      <c r="D103" s="59"/>
      <c r="E103" s="95"/>
      <c r="F103" s="95"/>
      <c r="G103" s="95"/>
      <c r="H103" s="60"/>
      <c r="I103" s="59"/>
      <c r="J103" s="52"/>
      <c r="K103" s="52"/>
      <c r="L103" s="52"/>
      <c r="M103" s="60"/>
      <c r="N103" s="59"/>
      <c r="O103" s="59"/>
      <c r="P103" s="59"/>
      <c r="Q103" s="55" t="str">
        <f aca="false">IF($A103="","",ROUND(N103*02_情境權重_Scenario!$C$21+O103*02_情境權重_Scenario!$C$22+P103*02_情境權重_Scenario!$C$23,1))</f>
        <v/>
      </c>
      <c r="R103" s="59"/>
      <c r="S103" s="59"/>
      <c r="T103" s="59"/>
      <c r="U103" s="55" t="str">
        <f aca="false">IF($A103="","",ROUND(R103*02_情境權重_Scenario!$C$27+S103*02_情境權重_Scenario!$C$28+T103*02_情境權重_Scenario!$C$29,1))</f>
        <v/>
      </c>
      <c r="V103" s="60"/>
      <c r="W103" s="261" t="str">
        <f aca="false">IF($A103="","",IF(OR(M103="未通過",V103="極高"),"暫緩 Hold",IF(AND(Q103&gt;=3.5,U103&gt;=3),"立即推進 Go",IF(Q103&gt;=3.5,"先補條件 Prepare",IF(U103&gt;=3,"快速小案 Quick-win","儲備觀察 Backlog")))))</f>
        <v/>
      </c>
      <c r="X103" s="52"/>
      <c r="Y103" s="52"/>
      <c r="Z103" s="53"/>
      <c r="AA103" s="59"/>
      <c r="AB103" s="59"/>
      <c r="AC103" s="52"/>
      <c r="AD103" s="52"/>
      <c r="AE103" s="60"/>
      <c r="AF103" s="54" t="str">
        <f aca="false">IF($A103="","",16_能力商機矩陣_CapOppMap!$CQ103)</f>
        <v/>
      </c>
    </row>
    <row r="104" customFormat="false" ht="25.5" hidden="false" customHeight="true" outlineLevel="0" collapsed="false">
      <c r="A104" s="59"/>
      <c r="B104" s="59"/>
      <c r="C104" s="59"/>
      <c r="D104" s="59"/>
      <c r="E104" s="95"/>
      <c r="F104" s="95"/>
      <c r="G104" s="95"/>
      <c r="H104" s="60"/>
      <c r="I104" s="59"/>
      <c r="J104" s="52"/>
      <c r="K104" s="52"/>
      <c r="L104" s="52"/>
      <c r="M104" s="60"/>
      <c r="N104" s="59"/>
      <c r="O104" s="59"/>
      <c r="P104" s="59"/>
      <c r="Q104" s="55" t="str">
        <f aca="false">IF($A104="","",ROUND(N104*02_情境權重_Scenario!$C$21+O104*02_情境權重_Scenario!$C$22+P104*02_情境權重_Scenario!$C$23,1))</f>
        <v/>
      </c>
      <c r="R104" s="59"/>
      <c r="S104" s="59"/>
      <c r="T104" s="59"/>
      <c r="U104" s="55" t="str">
        <f aca="false">IF($A104="","",ROUND(R104*02_情境權重_Scenario!$C$27+S104*02_情境權重_Scenario!$C$28+T104*02_情境權重_Scenario!$C$29,1))</f>
        <v/>
      </c>
      <c r="V104" s="60"/>
      <c r="W104" s="261" t="str">
        <f aca="false">IF($A104="","",IF(OR(M104="未通過",V104="極高"),"暫緩 Hold",IF(AND(Q104&gt;=3.5,U104&gt;=3),"立即推進 Go",IF(Q104&gt;=3.5,"先補條件 Prepare",IF(U104&gt;=3,"快速小案 Quick-win","儲備觀察 Backlog")))))</f>
        <v/>
      </c>
      <c r="X104" s="52"/>
      <c r="Y104" s="52"/>
      <c r="Z104" s="53"/>
      <c r="AA104" s="59"/>
      <c r="AB104" s="59"/>
      <c r="AC104" s="52"/>
      <c r="AD104" s="52"/>
      <c r="AE104" s="60"/>
      <c r="AF104" s="54" t="str">
        <f aca="false">IF($A104="","",16_能力商機矩陣_CapOppMap!$CQ104)</f>
        <v/>
      </c>
    </row>
    <row r="105" customFormat="false" ht="25.5" hidden="false" customHeight="true" outlineLevel="0" collapsed="false">
      <c r="A105" s="59"/>
      <c r="B105" s="59"/>
      <c r="C105" s="59"/>
      <c r="D105" s="59"/>
      <c r="E105" s="95"/>
      <c r="F105" s="95"/>
      <c r="G105" s="95"/>
      <c r="H105" s="60"/>
      <c r="I105" s="59"/>
      <c r="J105" s="52"/>
      <c r="K105" s="52"/>
      <c r="L105" s="52"/>
      <c r="M105" s="60"/>
      <c r="N105" s="59"/>
      <c r="O105" s="59"/>
      <c r="P105" s="59"/>
      <c r="Q105" s="55" t="str">
        <f aca="false">IF($A105="","",ROUND(N105*02_情境權重_Scenario!$C$21+O105*02_情境權重_Scenario!$C$22+P105*02_情境權重_Scenario!$C$23,1))</f>
        <v/>
      </c>
      <c r="R105" s="59"/>
      <c r="S105" s="59"/>
      <c r="T105" s="59"/>
      <c r="U105" s="55" t="str">
        <f aca="false">IF($A105="","",ROUND(R105*02_情境權重_Scenario!$C$27+S105*02_情境權重_Scenario!$C$28+T105*02_情境權重_Scenario!$C$29,1))</f>
        <v/>
      </c>
      <c r="V105" s="60"/>
      <c r="W105" s="261" t="str">
        <f aca="false">IF($A105="","",IF(OR(M105="未通過",V105="極高"),"暫緩 Hold",IF(AND(Q105&gt;=3.5,U105&gt;=3),"立即推進 Go",IF(Q105&gt;=3.5,"先補條件 Prepare",IF(U105&gt;=3,"快速小案 Quick-win","儲備觀察 Backlog")))))</f>
        <v/>
      </c>
      <c r="X105" s="52"/>
      <c r="Y105" s="52"/>
      <c r="Z105" s="53"/>
      <c r="AA105" s="59"/>
      <c r="AB105" s="59"/>
      <c r="AC105" s="52"/>
      <c r="AD105" s="52"/>
      <c r="AE105" s="60"/>
      <c r="AF105" s="54" t="str">
        <f aca="false">IF($A105="","",16_能力商機矩陣_CapOppMap!$CQ105)</f>
        <v/>
      </c>
    </row>
    <row r="106" customFormat="false" ht="25.5" hidden="false" customHeight="true" outlineLevel="0" collapsed="false">
      <c r="A106" s="59"/>
      <c r="B106" s="59"/>
      <c r="C106" s="59"/>
      <c r="D106" s="59"/>
      <c r="E106" s="95"/>
      <c r="F106" s="95"/>
      <c r="G106" s="95"/>
      <c r="H106" s="60"/>
      <c r="I106" s="59"/>
      <c r="J106" s="52"/>
      <c r="K106" s="52"/>
      <c r="L106" s="52"/>
      <c r="M106" s="60"/>
      <c r="N106" s="59"/>
      <c r="O106" s="59"/>
      <c r="P106" s="59"/>
      <c r="Q106" s="55" t="str">
        <f aca="false">IF($A106="","",ROUND(N106*02_情境權重_Scenario!$C$21+O106*02_情境權重_Scenario!$C$22+P106*02_情境權重_Scenario!$C$23,1))</f>
        <v/>
      </c>
      <c r="R106" s="59"/>
      <c r="S106" s="59"/>
      <c r="T106" s="59"/>
      <c r="U106" s="55" t="str">
        <f aca="false">IF($A106="","",ROUND(R106*02_情境權重_Scenario!$C$27+S106*02_情境權重_Scenario!$C$28+T106*02_情境權重_Scenario!$C$29,1))</f>
        <v/>
      </c>
      <c r="V106" s="60"/>
      <c r="W106" s="261" t="str">
        <f aca="false">IF($A106="","",IF(OR(M106="未通過",V106="極高"),"暫緩 Hold",IF(AND(Q106&gt;=3.5,U106&gt;=3),"立即推進 Go",IF(Q106&gt;=3.5,"先補條件 Prepare",IF(U106&gt;=3,"快速小案 Quick-win","儲備觀察 Backlog")))))</f>
        <v/>
      </c>
      <c r="X106" s="52"/>
      <c r="Y106" s="52"/>
      <c r="Z106" s="53"/>
      <c r="AA106" s="59"/>
      <c r="AB106" s="59"/>
      <c r="AC106" s="52"/>
      <c r="AD106" s="52"/>
      <c r="AE106" s="60"/>
      <c r="AF106" s="54" t="str">
        <f aca="false">IF($A106="","",16_能力商機矩陣_CapOppMap!$CQ106)</f>
        <v/>
      </c>
    </row>
    <row r="107" customFormat="false" ht="25.5" hidden="false" customHeight="true" outlineLevel="0" collapsed="false">
      <c r="A107" s="59"/>
      <c r="B107" s="59"/>
      <c r="C107" s="59"/>
      <c r="D107" s="59"/>
      <c r="E107" s="95"/>
      <c r="F107" s="95"/>
      <c r="G107" s="95"/>
      <c r="H107" s="60"/>
      <c r="I107" s="59"/>
      <c r="J107" s="52"/>
      <c r="K107" s="52"/>
      <c r="L107" s="52"/>
      <c r="M107" s="60"/>
      <c r="N107" s="59"/>
      <c r="O107" s="59"/>
      <c r="P107" s="59"/>
      <c r="Q107" s="55" t="str">
        <f aca="false">IF($A107="","",ROUND(N107*02_情境權重_Scenario!$C$21+O107*02_情境權重_Scenario!$C$22+P107*02_情境權重_Scenario!$C$23,1))</f>
        <v/>
      </c>
      <c r="R107" s="59"/>
      <c r="S107" s="59"/>
      <c r="T107" s="59"/>
      <c r="U107" s="55" t="str">
        <f aca="false">IF($A107="","",ROUND(R107*02_情境權重_Scenario!$C$27+S107*02_情境權重_Scenario!$C$28+T107*02_情境權重_Scenario!$C$29,1))</f>
        <v/>
      </c>
      <c r="V107" s="60"/>
      <c r="W107" s="261" t="str">
        <f aca="false">IF($A107="","",IF(OR(M107="未通過",V107="極高"),"暫緩 Hold",IF(AND(Q107&gt;=3.5,U107&gt;=3),"立即推進 Go",IF(Q107&gt;=3.5,"先補條件 Prepare",IF(U107&gt;=3,"快速小案 Quick-win","儲備觀察 Backlog")))))</f>
        <v/>
      </c>
      <c r="X107" s="52"/>
      <c r="Y107" s="52"/>
      <c r="Z107" s="53"/>
      <c r="AA107" s="59"/>
      <c r="AB107" s="59"/>
      <c r="AC107" s="52"/>
      <c r="AD107" s="52"/>
      <c r="AE107" s="60"/>
      <c r="AF107" s="54" t="str">
        <f aca="false">IF($A107="","",16_能力商機矩陣_CapOppMap!$CQ107)</f>
        <v/>
      </c>
    </row>
    <row r="108" customFormat="false" ht="25.5" hidden="false" customHeight="true" outlineLevel="0" collapsed="false">
      <c r="A108" s="59"/>
      <c r="B108" s="59"/>
      <c r="C108" s="59"/>
      <c r="D108" s="59"/>
      <c r="E108" s="95"/>
      <c r="F108" s="95"/>
      <c r="G108" s="95"/>
      <c r="H108" s="60"/>
      <c r="I108" s="59"/>
      <c r="J108" s="52"/>
      <c r="K108" s="52"/>
      <c r="L108" s="52"/>
      <c r="M108" s="60"/>
      <c r="N108" s="59"/>
      <c r="O108" s="59"/>
      <c r="P108" s="59"/>
      <c r="Q108" s="55" t="str">
        <f aca="false">IF($A108="","",ROUND(N108*02_情境權重_Scenario!$C$21+O108*02_情境權重_Scenario!$C$22+P108*02_情境權重_Scenario!$C$23,1))</f>
        <v/>
      </c>
      <c r="R108" s="59"/>
      <c r="S108" s="59"/>
      <c r="T108" s="59"/>
      <c r="U108" s="55" t="str">
        <f aca="false">IF($A108="","",ROUND(R108*02_情境權重_Scenario!$C$27+S108*02_情境權重_Scenario!$C$28+T108*02_情境權重_Scenario!$C$29,1))</f>
        <v/>
      </c>
      <c r="V108" s="60"/>
      <c r="W108" s="261" t="str">
        <f aca="false">IF($A108="","",IF(OR(M108="未通過",V108="極高"),"暫緩 Hold",IF(AND(Q108&gt;=3.5,U108&gt;=3),"立即推進 Go",IF(Q108&gt;=3.5,"先補條件 Prepare",IF(U108&gt;=3,"快速小案 Quick-win","儲備觀察 Backlog")))))</f>
        <v/>
      </c>
      <c r="X108" s="52"/>
      <c r="Y108" s="52"/>
      <c r="Z108" s="53"/>
      <c r="AA108" s="59"/>
      <c r="AB108" s="59"/>
      <c r="AC108" s="52"/>
      <c r="AD108" s="52"/>
      <c r="AE108" s="60"/>
      <c r="AF108" s="54" t="str">
        <f aca="false">IF($A108="","",16_能力商機矩陣_CapOppMap!$CQ108)</f>
        <v/>
      </c>
    </row>
    <row r="109" customFormat="false" ht="25.5" hidden="false" customHeight="true" outlineLevel="0" collapsed="false">
      <c r="A109" s="59"/>
      <c r="B109" s="59"/>
      <c r="C109" s="59"/>
      <c r="D109" s="59"/>
      <c r="E109" s="95"/>
      <c r="F109" s="95"/>
      <c r="G109" s="95"/>
      <c r="H109" s="60"/>
      <c r="I109" s="59"/>
      <c r="J109" s="52"/>
      <c r="K109" s="52"/>
      <c r="L109" s="52"/>
      <c r="M109" s="60"/>
      <c r="N109" s="59"/>
      <c r="O109" s="59"/>
      <c r="P109" s="59"/>
      <c r="Q109" s="55" t="str">
        <f aca="false">IF($A109="","",ROUND(N109*02_情境權重_Scenario!$C$21+O109*02_情境權重_Scenario!$C$22+P109*02_情境權重_Scenario!$C$23,1))</f>
        <v/>
      </c>
      <c r="R109" s="59"/>
      <c r="S109" s="59"/>
      <c r="T109" s="59"/>
      <c r="U109" s="55" t="str">
        <f aca="false">IF($A109="","",ROUND(R109*02_情境權重_Scenario!$C$27+S109*02_情境權重_Scenario!$C$28+T109*02_情境權重_Scenario!$C$29,1))</f>
        <v/>
      </c>
      <c r="V109" s="60"/>
      <c r="W109" s="261" t="str">
        <f aca="false">IF($A109="","",IF(OR(M109="未通過",V109="極高"),"暫緩 Hold",IF(AND(Q109&gt;=3.5,U109&gt;=3),"立即推進 Go",IF(Q109&gt;=3.5,"先補條件 Prepare",IF(U109&gt;=3,"快速小案 Quick-win","儲備觀察 Backlog")))))</f>
        <v/>
      </c>
      <c r="X109" s="52"/>
      <c r="Y109" s="52"/>
      <c r="Z109" s="53"/>
      <c r="AA109" s="59"/>
      <c r="AB109" s="59"/>
      <c r="AC109" s="52"/>
      <c r="AD109" s="52"/>
      <c r="AE109" s="60"/>
      <c r="AF109" s="54" t="str">
        <f aca="false">IF($A109="","",16_能力商機矩陣_CapOppMap!$CQ109)</f>
        <v/>
      </c>
    </row>
    <row r="110" customFormat="false" ht="25.5" hidden="false" customHeight="true" outlineLevel="0" collapsed="false">
      <c r="A110" s="59"/>
      <c r="B110" s="59"/>
      <c r="C110" s="59"/>
      <c r="D110" s="59"/>
      <c r="E110" s="95"/>
      <c r="F110" s="95"/>
      <c r="G110" s="95"/>
      <c r="H110" s="60"/>
      <c r="I110" s="59"/>
      <c r="J110" s="52"/>
      <c r="K110" s="52"/>
      <c r="L110" s="52"/>
      <c r="M110" s="60"/>
      <c r="N110" s="59"/>
      <c r="O110" s="59"/>
      <c r="P110" s="59"/>
      <c r="Q110" s="55" t="str">
        <f aca="false">IF($A110="","",ROUND(N110*02_情境權重_Scenario!$C$21+O110*02_情境權重_Scenario!$C$22+P110*02_情境權重_Scenario!$C$23,1))</f>
        <v/>
      </c>
      <c r="R110" s="59"/>
      <c r="S110" s="59"/>
      <c r="T110" s="59"/>
      <c r="U110" s="55" t="str">
        <f aca="false">IF($A110="","",ROUND(R110*02_情境權重_Scenario!$C$27+S110*02_情境權重_Scenario!$C$28+T110*02_情境權重_Scenario!$C$29,1))</f>
        <v/>
      </c>
      <c r="V110" s="60"/>
      <c r="W110" s="261" t="str">
        <f aca="false">IF($A110="","",IF(OR(M110="未通過",V110="極高"),"暫緩 Hold",IF(AND(Q110&gt;=3.5,U110&gt;=3),"立即推進 Go",IF(Q110&gt;=3.5,"先補條件 Prepare",IF(U110&gt;=3,"快速小案 Quick-win","儲備觀察 Backlog")))))</f>
        <v/>
      </c>
      <c r="X110" s="52"/>
      <c r="Y110" s="52"/>
      <c r="Z110" s="53"/>
      <c r="AA110" s="59"/>
      <c r="AB110" s="59"/>
      <c r="AC110" s="52"/>
      <c r="AD110" s="52"/>
      <c r="AE110" s="60"/>
      <c r="AF110" s="54" t="str">
        <f aca="false">IF($A110="","",16_能力商機矩陣_CapOppMap!$CQ110)</f>
        <v/>
      </c>
    </row>
    <row r="111" customFormat="false" ht="25.5" hidden="false" customHeight="true" outlineLevel="0" collapsed="false">
      <c r="A111" s="59"/>
      <c r="B111" s="59"/>
      <c r="C111" s="59"/>
      <c r="D111" s="59"/>
      <c r="E111" s="95"/>
      <c r="F111" s="95"/>
      <c r="G111" s="95"/>
      <c r="H111" s="60"/>
      <c r="I111" s="59"/>
      <c r="J111" s="52"/>
      <c r="K111" s="52"/>
      <c r="L111" s="52"/>
      <c r="M111" s="60"/>
      <c r="N111" s="59"/>
      <c r="O111" s="59"/>
      <c r="P111" s="59"/>
      <c r="Q111" s="55" t="str">
        <f aca="false">IF($A111="","",ROUND(N111*02_情境權重_Scenario!$C$21+O111*02_情境權重_Scenario!$C$22+P111*02_情境權重_Scenario!$C$23,1))</f>
        <v/>
      </c>
      <c r="R111" s="59"/>
      <c r="S111" s="59"/>
      <c r="T111" s="59"/>
      <c r="U111" s="55" t="str">
        <f aca="false">IF($A111="","",ROUND(R111*02_情境權重_Scenario!$C$27+S111*02_情境權重_Scenario!$C$28+T111*02_情境權重_Scenario!$C$29,1))</f>
        <v/>
      </c>
      <c r="V111" s="60"/>
      <c r="W111" s="261" t="str">
        <f aca="false">IF($A111="","",IF(OR(M111="未通過",V111="極高"),"暫緩 Hold",IF(AND(Q111&gt;=3.5,U111&gt;=3),"立即推進 Go",IF(Q111&gt;=3.5,"先補條件 Prepare",IF(U111&gt;=3,"快速小案 Quick-win","儲備觀察 Backlog")))))</f>
        <v/>
      </c>
      <c r="X111" s="52"/>
      <c r="Y111" s="52"/>
      <c r="Z111" s="53"/>
      <c r="AA111" s="59"/>
      <c r="AB111" s="59"/>
      <c r="AC111" s="52"/>
      <c r="AD111" s="52"/>
      <c r="AE111" s="60"/>
      <c r="AF111" s="54" t="str">
        <f aca="false">IF($A111="","",16_能力商機矩陣_CapOppMap!$CQ111)</f>
        <v/>
      </c>
    </row>
    <row r="112" customFormat="false" ht="25.5" hidden="false" customHeight="true" outlineLevel="0" collapsed="false">
      <c r="A112" s="59"/>
      <c r="B112" s="59"/>
      <c r="C112" s="59"/>
      <c r="D112" s="59"/>
      <c r="E112" s="95"/>
      <c r="F112" s="95"/>
      <c r="G112" s="95"/>
      <c r="H112" s="60"/>
      <c r="I112" s="59"/>
      <c r="J112" s="52"/>
      <c r="K112" s="52"/>
      <c r="L112" s="52"/>
      <c r="M112" s="60"/>
      <c r="N112" s="59"/>
      <c r="O112" s="59"/>
      <c r="P112" s="59"/>
      <c r="Q112" s="55" t="str">
        <f aca="false">IF($A112="","",ROUND(N112*02_情境權重_Scenario!$C$21+O112*02_情境權重_Scenario!$C$22+P112*02_情境權重_Scenario!$C$23,1))</f>
        <v/>
      </c>
      <c r="R112" s="59"/>
      <c r="S112" s="59"/>
      <c r="T112" s="59"/>
      <c r="U112" s="55" t="str">
        <f aca="false">IF($A112="","",ROUND(R112*02_情境權重_Scenario!$C$27+S112*02_情境權重_Scenario!$C$28+T112*02_情境權重_Scenario!$C$29,1))</f>
        <v/>
      </c>
      <c r="V112" s="60"/>
      <c r="W112" s="261" t="str">
        <f aca="false">IF($A112="","",IF(OR(M112="未通過",V112="極高"),"暫緩 Hold",IF(AND(Q112&gt;=3.5,U112&gt;=3),"立即推進 Go",IF(Q112&gt;=3.5,"先補條件 Prepare",IF(U112&gt;=3,"快速小案 Quick-win","儲備觀察 Backlog")))))</f>
        <v/>
      </c>
      <c r="X112" s="52"/>
      <c r="Y112" s="52"/>
      <c r="Z112" s="53"/>
      <c r="AA112" s="59"/>
      <c r="AB112" s="59"/>
      <c r="AC112" s="52"/>
      <c r="AD112" s="52"/>
      <c r="AE112" s="60"/>
      <c r="AF112" s="54" t="str">
        <f aca="false">IF($A112="","",16_能力商機矩陣_CapOppMap!$CQ112)</f>
        <v/>
      </c>
    </row>
    <row r="113" customFormat="false" ht="25.5" hidden="false" customHeight="true" outlineLevel="0" collapsed="false">
      <c r="A113" s="59"/>
      <c r="B113" s="59"/>
      <c r="C113" s="59"/>
      <c r="D113" s="59"/>
      <c r="E113" s="95"/>
      <c r="F113" s="95"/>
      <c r="G113" s="95"/>
      <c r="H113" s="60"/>
      <c r="I113" s="59"/>
      <c r="J113" s="52"/>
      <c r="K113" s="52"/>
      <c r="L113" s="52"/>
      <c r="M113" s="60"/>
      <c r="N113" s="59"/>
      <c r="O113" s="59"/>
      <c r="P113" s="59"/>
      <c r="Q113" s="55" t="str">
        <f aca="false">IF($A113="","",ROUND(N113*02_情境權重_Scenario!$C$21+O113*02_情境權重_Scenario!$C$22+P113*02_情境權重_Scenario!$C$23,1))</f>
        <v/>
      </c>
      <c r="R113" s="59"/>
      <c r="S113" s="59"/>
      <c r="T113" s="59"/>
      <c r="U113" s="55" t="str">
        <f aca="false">IF($A113="","",ROUND(R113*02_情境權重_Scenario!$C$27+S113*02_情境權重_Scenario!$C$28+T113*02_情境權重_Scenario!$C$29,1))</f>
        <v/>
      </c>
      <c r="V113" s="60"/>
      <c r="W113" s="261" t="str">
        <f aca="false">IF($A113="","",IF(OR(M113="未通過",V113="極高"),"暫緩 Hold",IF(AND(Q113&gt;=3.5,U113&gt;=3),"立即推進 Go",IF(Q113&gt;=3.5,"先補條件 Prepare",IF(U113&gt;=3,"快速小案 Quick-win","儲備觀察 Backlog")))))</f>
        <v/>
      </c>
      <c r="X113" s="52"/>
      <c r="Y113" s="52"/>
      <c r="Z113" s="53"/>
      <c r="AA113" s="59"/>
      <c r="AB113" s="59"/>
      <c r="AC113" s="52"/>
      <c r="AD113" s="52"/>
      <c r="AE113" s="60"/>
      <c r="AF113" s="54" t="str">
        <f aca="false">IF($A113="","",16_能力商機矩陣_CapOppMap!$CQ113)</f>
        <v/>
      </c>
    </row>
    <row r="114" customFormat="false" ht="25.5" hidden="false" customHeight="true" outlineLevel="0" collapsed="false">
      <c r="A114" s="59"/>
      <c r="B114" s="59"/>
      <c r="C114" s="59"/>
      <c r="D114" s="59"/>
      <c r="E114" s="95"/>
      <c r="F114" s="95"/>
      <c r="G114" s="95"/>
      <c r="H114" s="60"/>
      <c r="I114" s="59"/>
      <c r="J114" s="52"/>
      <c r="K114" s="52"/>
      <c r="L114" s="52"/>
      <c r="M114" s="60"/>
      <c r="N114" s="59"/>
      <c r="O114" s="59"/>
      <c r="P114" s="59"/>
      <c r="Q114" s="55" t="str">
        <f aca="false">IF($A114="","",ROUND(N114*02_情境權重_Scenario!$C$21+O114*02_情境權重_Scenario!$C$22+P114*02_情境權重_Scenario!$C$23,1))</f>
        <v/>
      </c>
      <c r="R114" s="59"/>
      <c r="S114" s="59"/>
      <c r="T114" s="59"/>
      <c r="U114" s="55" t="str">
        <f aca="false">IF($A114="","",ROUND(R114*02_情境權重_Scenario!$C$27+S114*02_情境權重_Scenario!$C$28+T114*02_情境權重_Scenario!$C$29,1))</f>
        <v/>
      </c>
      <c r="V114" s="60"/>
      <c r="W114" s="261" t="str">
        <f aca="false">IF($A114="","",IF(OR(M114="未通過",V114="極高"),"暫緩 Hold",IF(AND(Q114&gt;=3.5,U114&gt;=3),"立即推進 Go",IF(Q114&gt;=3.5,"先補條件 Prepare",IF(U114&gt;=3,"快速小案 Quick-win","儲備觀察 Backlog")))))</f>
        <v/>
      </c>
      <c r="X114" s="52"/>
      <c r="Y114" s="52"/>
      <c r="Z114" s="53"/>
      <c r="AA114" s="59"/>
      <c r="AB114" s="59"/>
      <c r="AC114" s="52"/>
      <c r="AD114" s="52"/>
      <c r="AE114" s="60"/>
      <c r="AF114" s="54" t="str">
        <f aca="false">IF($A114="","",16_能力商機矩陣_CapOppMap!$CQ114)</f>
        <v/>
      </c>
    </row>
    <row r="115" customFormat="false" ht="25.5" hidden="false" customHeight="true" outlineLevel="0" collapsed="false">
      <c r="A115" s="59"/>
      <c r="B115" s="59"/>
      <c r="C115" s="59"/>
      <c r="D115" s="59"/>
      <c r="E115" s="95"/>
      <c r="F115" s="95"/>
      <c r="G115" s="95"/>
      <c r="H115" s="60"/>
      <c r="I115" s="59"/>
      <c r="J115" s="52"/>
      <c r="K115" s="52"/>
      <c r="L115" s="52"/>
      <c r="M115" s="60"/>
      <c r="N115" s="59"/>
      <c r="O115" s="59"/>
      <c r="P115" s="59"/>
      <c r="Q115" s="55" t="str">
        <f aca="false">IF($A115="","",ROUND(N115*02_情境權重_Scenario!$C$21+O115*02_情境權重_Scenario!$C$22+P115*02_情境權重_Scenario!$C$23,1))</f>
        <v/>
      </c>
      <c r="R115" s="59"/>
      <c r="S115" s="59"/>
      <c r="T115" s="59"/>
      <c r="U115" s="55" t="str">
        <f aca="false">IF($A115="","",ROUND(R115*02_情境權重_Scenario!$C$27+S115*02_情境權重_Scenario!$C$28+T115*02_情境權重_Scenario!$C$29,1))</f>
        <v/>
      </c>
      <c r="V115" s="60"/>
      <c r="W115" s="261" t="str">
        <f aca="false">IF($A115="","",IF(OR(M115="未通過",V115="極高"),"暫緩 Hold",IF(AND(Q115&gt;=3.5,U115&gt;=3),"立即推進 Go",IF(Q115&gt;=3.5,"先補條件 Prepare",IF(U115&gt;=3,"快速小案 Quick-win","儲備觀察 Backlog")))))</f>
        <v/>
      </c>
      <c r="X115" s="52"/>
      <c r="Y115" s="52"/>
      <c r="Z115" s="53"/>
      <c r="AA115" s="59"/>
      <c r="AB115" s="59"/>
      <c r="AC115" s="52"/>
      <c r="AD115" s="52"/>
      <c r="AE115" s="60"/>
      <c r="AF115" s="54" t="str">
        <f aca="false">IF($A115="","",16_能力商機矩陣_CapOppMap!$CQ115)</f>
        <v/>
      </c>
    </row>
    <row r="116" customFormat="false" ht="25.5" hidden="false" customHeight="true" outlineLevel="0" collapsed="false">
      <c r="A116" s="59"/>
      <c r="B116" s="59"/>
      <c r="C116" s="59"/>
      <c r="D116" s="59"/>
      <c r="E116" s="95"/>
      <c r="F116" s="95"/>
      <c r="G116" s="95"/>
      <c r="H116" s="60"/>
      <c r="I116" s="59"/>
      <c r="J116" s="52"/>
      <c r="K116" s="52"/>
      <c r="L116" s="52"/>
      <c r="M116" s="60"/>
      <c r="N116" s="59"/>
      <c r="O116" s="59"/>
      <c r="P116" s="59"/>
      <c r="Q116" s="55" t="str">
        <f aca="false">IF($A116="","",ROUND(N116*02_情境權重_Scenario!$C$21+O116*02_情境權重_Scenario!$C$22+P116*02_情境權重_Scenario!$C$23,1))</f>
        <v/>
      </c>
      <c r="R116" s="59"/>
      <c r="S116" s="59"/>
      <c r="T116" s="59"/>
      <c r="U116" s="55" t="str">
        <f aca="false">IF($A116="","",ROUND(R116*02_情境權重_Scenario!$C$27+S116*02_情境權重_Scenario!$C$28+T116*02_情境權重_Scenario!$C$29,1))</f>
        <v/>
      </c>
      <c r="V116" s="60"/>
      <c r="W116" s="261" t="str">
        <f aca="false">IF($A116="","",IF(OR(M116="未通過",V116="極高"),"暫緩 Hold",IF(AND(Q116&gt;=3.5,U116&gt;=3),"立即推進 Go",IF(Q116&gt;=3.5,"先補條件 Prepare",IF(U116&gt;=3,"快速小案 Quick-win","儲備觀察 Backlog")))))</f>
        <v/>
      </c>
      <c r="X116" s="52"/>
      <c r="Y116" s="52"/>
      <c r="Z116" s="53"/>
      <c r="AA116" s="59"/>
      <c r="AB116" s="59"/>
      <c r="AC116" s="52"/>
      <c r="AD116" s="52"/>
      <c r="AE116" s="60"/>
      <c r="AF116" s="54" t="str">
        <f aca="false">IF($A116="","",16_能力商機矩陣_CapOppMap!$CQ116)</f>
        <v/>
      </c>
    </row>
    <row r="117" customFormat="false" ht="25.5" hidden="false" customHeight="true" outlineLevel="0" collapsed="false">
      <c r="A117" s="59"/>
      <c r="B117" s="59"/>
      <c r="C117" s="59"/>
      <c r="D117" s="59"/>
      <c r="E117" s="95"/>
      <c r="F117" s="95"/>
      <c r="G117" s="95"/>
      <c r="H117" s="60"/>
      <c r="I117" s="59"/>
      <c r="J117" s="52"/>
      <c r="K117" s="52"/>
      <c r="L117" s="52"/>
      <c r="M117" s="60"/>
      <c r="N117" s="59"/>
      <c r="O117" s="59"/>
      <c r="P117" s="59"/>
      <c r="Q117" s="55" t="str">
        <f aca="false">IF($A117="","",ROUND(N117*02_情境權重_Scenario!$C$21+O117*02_情境權重_Scenario!$C$22+P117*02_情境權重_Scenario!$C$23,1))</f>
        <v/>
      </c>
      <c r="R117" s="59"/>
      <c r="S117" s="59"/>
      <c r="T117" s="59"/>
      <c r="U117" s="55" t="str">
        <f aca="false">IF($A117="","",ROUND(R117*02_情境權重_Scenario!$C$27+S117*02_情境權重_Scenario!$C$28+T117*02_情境權重_Scenario!$C$29,1))</f>
        <v/>
      </c>
      <c r="V117" s="60"/>
      <c r="W117" s="261" t="str">
        <f aca="false">IF($A117="","",IF(OR(M117="未通過",V117="極高"),"暫緩 Hold",IF(AND(Q117&gt;=3.5,U117&gt;=3),"立即推進 Go",IF(Q117&gt;=3.5,"先補條件 Prepare",IF(U117&gt;=3,"快速小案 Quick-win","儲備觀察 Backlog")))))</f>
        <v/>
      </c>
      <c r="X117" s="52"/>
      <c r="Y117" s="52"/>
      <c r="Z117" s="53"/>
      <c r="AA117" s="59"/>
      <c r="AB117" s="59"/>
      <c r="AC117" s="52"/>
      <c r="AD117" s="52"/>
      <c r="AE117" s="60"/>
      <c r="AF117" s="54" t="str">
        <f aca="false">IF($A117="","",16_能力商機矩陣_CapOppMap!$CQ117)</f>
        <v/>
      </c>
    </row>
    <row r="118" customFormat="false" ht="25.5" hidden="false" customHeight="true" outlineLevel="0" collapsed="false">
      <c r="A118" s="59"/>
      <c r="B118" s="59"/>
      <c r="C118" s="59"/>
      <c r="D118" s="59"/>
      <c r="E118" s="95"/>
      <c r="F118" s="95"/>
      <c r="G118" s="95"/>
      <c r="H118" s="60"/>
      <c r="I118" s="59"/>
      <c r="J118" s="52"/>
      <c r="K118" s="52"/>
      <c r="L118" s="52"/>
      <c r="M118" s="60"/>
      <c r="N118" s="59"/>
      <c r="O118" s="59"/>
      <c r="P118" s="59"/>
      <c r="Q118" s="55" t="str">
        <f aca="false">IF($A118="","",ROUND(N118*02_情境權重_Scenario!$C$21+O118*02_情境權重_Scenario!$C$22+P118*02_情境權重_Scenario!$C$23,1))</f>
        <v/>
      </c>
      <c r="R118" s="59"/>
      <c r="S118" s="59"/>
      <c r="T118" s="59"/>
      <c r="U118" s="55" t="str">
        <f aca="false">IF($A118="","",ROUND(R118*02_情境權重_Scenario!$C$27+S118*02_情境權重_Scenario!$C$28+T118*02_情境權重_Scenario!$C$29,1))</f>
        <v/>
      </c>
      <c r="V118" s="60"/>
      <c r="W118" s="261" t="str">
        <f aca="false">IF($A118="","",IF(OR(M118="未通過",V118="極高"),"暫緩 Hold",IF(AND(Q118&gt;=3.5,U118&gt;=3),"立即推進 Go",IF(Q118&gt;=3.5,"先補條件 Prepare",IF(U118&gt;=3,"快速小案 Quick-win","儲備觀察 Backlog")))))</f>
        <v/>
      </c>
      <c r="X118" s="52"/>
      <c r="Y118" s="52"/>
      <c r="Z118" s="53"/>
      <c r="AA118" s="59"/>
      <c r="AB118" s="59"/>
      <c r="AC118" s="52"/>
      <c r="AD118" s="52"/>
      <c r="AE118" s="60"/>
      <c r="AF118" s="54" t="str">
        <f aca="false">IF($A118="","",16_能力商機矩陣_CapOppMap!$CQ118)</f>
        <v/>
      </c>
    </row>
    <row r="119" customFormat="false" ht="25.5" hidden="false" customHeight="true" outlineLevel="0" collapsed="false">
      <c r="A119" s="59"/>
      <c r="B119" s="59"/>
      <c r="C119" s="59"/>
      <c r="D119" s="59"/>
      <c r="E119" s="95"/>
      <c r="F119" s="95"/>
      <c r="G119" s="95"/>
      <c r="H119" s="60"/>
      <c r="I119" s="59"/>
      <c r="J119" s="52"/>
      <c r="K119" s="52"/>
      <c r="L119" s="52"/>
      <c r="M119" s="60"/>
      <c r="N119" s="59"/>
      <c r="O119" s="59"/>
      <c r="P119" s="59"/>
      <c r="Q119" s="55" t="str">
        <f aca="false">IF($A119="","",ROUND(N119*02_情境權重_Scenario!$C$21+O119*02_情境權重_Scenario!$C$22+P119*02_情境權重_Scenario!$C$23,1))</f>
        <v/>
      </c>
      <c r="R119" s="59"/>
      <c r="S119" s="59"/>
      <c r="T119" s="59"/>
      <c r="U119" s="55" t="str">
        <f aca="false">IF($A119="","",ROUND(R119*02_情境權重_Scenario!$C$27+S119*02_情境權重_Scenario!$C$28+T119*02_情境權重_Scenario!$C$29,1))</f>
        <v/>
      </c>
      <c r="V119" s="60"/>
      <c r="W119" s="261" t="str">
        <f aca="false">IF($A119="","",IF(OR(M119="未通過",V119="極高"),"暫緩 Hold",IF(AND(Q119&gt;=3.5,U119&gt;=3),"立即推進 Go",IF(Q119&gt;=3.5,"先補條件 Prepare",IF(U119&gt;=3,"快速小案 Quick-win","儲備觀察 Backlog")))))</f>
        <v/>
      </c>
      <c r="X119" s="52"/>
      <c r="Y119" s="52"/>
      <c r="Z119" s="53"/>
      <c r="AA119" s="59"/>
      <c r="AB119" s="59"/>
      <c r="AC119" s="52"/>
      <c r="AD119" s="52"/>
      <c r="AE119" s="60"/>
      <c r="AF119" s="54" t="str">
        <f aca="false">IF($A119="","",16_能力商機矩陣_CapOppMap!$CQ119)</f>
        <v/>
      </c>
    </row>
    <row r="120" customFormat="false" ht="25.5" hidden="false" customHeight="true" outlineLevel="0" collapsed="false">
      <c r="A120" s="59"/>
      <c r="B120" s="59"/>
      <c r="C120" s="59"/>
      <c r="D120" s="59"/>
      <c r="E120" s="95"/>
      <c r="F120" s="95"/>
      <c r="G120" s="95"/>
      <c r="H120" s="60"/>
      <c r="I120" s="59"/>
      <c r="J120" s="52"/>
      <c r="K120" s="52"/>
      <c r="L120" s="52"/>
      <c r="M120" s="60"/>
      <c r="N120" s="59"/>
      <c r="O120" s="59"/>
      <c r="P120" s="59"/>
      <c r="Q120" s="55" t="str">
        <f aca="false">IF($A120="","",ROUND(N120*02_情境權重_Scenario!$C$21+O120*02_情境權重_Scenario!$C$22+P120*02_情境權重_Scenario!$C$23,1))</f>
        <v/>
      </c>
      <c r="R120" s="59"/>
      <c r="S120" s="59"/>
      <c r="T120" s="59"/>
      <c r="U120" s="55" t="str">
        <f aca="false">IF($A120="","",ROUND(R120*02_情境權重_Scenario!$C$27+S120*02_情境權重_Scenario!$C$28+T120*02_情境權重_Scenario!$C$29,1))</f>
        <v/>
      </c>
      <c r="V120" s="60"/>
      <c r="W120" s="261" t="str">
        <f aca="false">IF($A120="","",IF(OR(M120="未通過",V120="極高"),"暫緩 Hold",IF(AND(Q120&gt;=3.5,U120&gt;=3),"立即推進 Go",IF(Q120&gt;=3.5,"先補條件 Prepare",IF(U120&gt;=3,"快速小案 Quick-win","儲備觀察 Backlog")))))</f>
        <v/>
      </c>
      <c r="X120" s="52"/>
      <c r="Y120" s="52"/>
      <c r="Z120" s="53"/>
      <c r="AA120" s="59"/>
      <c r="AB120" s="59"/>
      <c r="AC120" s="52"/>
      <c r="AD120" s="52"/>
      <c r="AE120" s="60"/>
      <c r="AF120" s="54" t="str">
        <f aca="false">IF($A120="","",16_能力商機矩陣_CapOppMap!$CQ120)</f>
        <v/>
      </c>
    </row>
    <row r="121" customFormat="false" ht="25.5" hidden="false" customHeight="true" outlineLevel="0" collapsed="false">
      <c r="A121" s="59"/>
      <c r="B121" s="59"/>
      <c r="C121" s="59"/>
      <c r="D121" s="59"/>
      <c r="E121" s="95"/>
      <c r="F121" s="95"/>
      <c r="G121" s="95"/>
      <c r="H121" s="60"/>
      <c r="I121" s="59"/>
      <c r="J121" s="52"/>
      <c r="K121" s="52"/>
      <c r="L121" s="52"/>
      <c r="M121" s="60"/>
      <c r="N121" s="59"/>
      <c r="O121" s="59"/>
      <c r="P121" s="59"/>
      <c r="Q121" s="55" t="str">
        <f aca="false">IF($A121="","",ROUND(N121*02_情境權重_Scenario!$C$21+O121*02_情境權重_Scenario!$C$22+P121*02_情境權重_Scenario!$C$23,1))</f>
        <v/>
      </c>
      <c r="R121" s="59"/>
      <c r="S121" s="59"/>
      <c r="T121" s="59"/>
      <c r="U121" s="55" t="str">
        <f aca="false">IF($A121="","",ROUND(R121*02_情境權重_Scenario!$C$27+S121*02_情境權重_Scenario!$C$28+T121*02_情境權重_Scenario!$C$29,1))</f>
        <v/>
      </c>
      <c r="V121" s="60"/>
      <c r="W121" s="261" t="str">
        <f aca="false">IF($A121="","",IF(OR(M121="未通過",V121="極高"),"暫緩 Hold",IF(AND(Q121&gt;=3.5,U121&gt;=3),"立即推進 Go",IF(Q121&gt;=3.5,"先補條件 Prepare",IF(U121&gt;=3,"快速小案 Quick-win","儲備觀察 Backlog")))))</f>
        <v/>
      </c>
      <c r="X121" s="52"/>
      <c r="Y121" s="52"/>
      <c r="Z121" s="53"/>
      <c r="AA121" s="59"/>
      <c r="AB121" s="59"/>
      <c r="AC121" s="52"/>
      <c r="AD121" s="52"/>
      <c r="AE121" s="60"/>
      <c r="AF121" s="54" t="str">
        <f aca="false">IF($A121="","",16_能力商機矩陣_CapOppMap!$CQ121)</f>
        <v/>
      </c>
    </row>
    <row r="122" customFormat="false" ht="25.5" hidden="false" customHeight="true" outlineLevel="0" collapsed="false">
      <c r="A122" s="59"/>
      <c r="B122" s="59"/>
      <c r="C122" s="59"/>
      <c r="D122" s="59"/>
      <c r="E122" s="95"/>
      <c r="F122" s="95"/>
      <c r="G122" s="95"/>
      <c r="H122" s="60"/>
      <c r="I122" s="59"/>
      <c r="J122" s="52"/>
      <c r="K122" s="52"/>
      <c r="L122" s="52"/>
      <c r="M122" s="60"/>
      <c r="N122" s="59"/>
      <c r="O122" s="59"/>
      <c r="P122" s="59"/>
      <c r="Q122" s="55" t="str">
        <f aca="false">IF($A122="","",ROUND(N122*02_情境權重_Scenario!$C$21+O122*02_情境權重_Scenario!$C$22+P122*02_情境權重_Scenario!$C$23,1))</f>
        <v/>
      </c>
      <c r="R122" s="59"/>
      <c r="S122" s="59"/>
      <c r="T122" s="59"/>
      <c r="U122" s="55" t="str">
        <f aca="false">IF($A122="","",ROUND(R122*02_情境權重_Scenario!$C$27+S122*02_情境權重_Scenario!$C$28+T122*02_情境權重_Scenario!$C$29,1))</f>
        <v/>
      </c>
      <c r="V122" s="60"/>
      <c r="W122" s="261" t="str">
        <f aca="false">IF($A122="","",IF(OR(M122="未通過",V122="極高"),"暫緩 Hold",IF(AND(Q122&gt;=3.5,U122&gt;=3),"立即推進 Go",IF(Q122&gt;=3.5,"先補條件 Prepare",IF(U122&gt;=3,"快速小案 Quick-win","儲備觀察 Backlog")))))</f>
        <v/>
      </c>
      <c r="X122" s="52"/>
      <c r="Y122" s="52"/>
      <c r="Z122" s="53"/>
      <c r="AA122" s="59"/>
      <c r="AB122" s="59"/>
      <c r="AC122" s="52"/>
      <c r="AD122" s="52"/>
      <c r="AE122" s="60"/>
      <c r="AF122" s="54" t="str">
        <f aca="false">IF($A122="","",16_能力商機矩陣_CapOppMap!$CQ122)</f>
        <v/>
      </c>
    </row>
    <row r="123" customFormat="false" ht="25.5" hidden="false" customHeight="true" outlineLevel="0" collapsed="false">
      <c r="A123" s="59"/>
      <c r="B123" s="59"/>
      <c r="C123" s="59"/>
      <c r="D123" s="59"/>
      <c r="E123" s="95"/>
      <c r="F123" s="95"/>
      <c r="G123" s="95"/>
      <c r="H123" s="60"/>
      <c r="I123" s="59"/>
      <c r="J123" s="52"/>
      <c r="K123" s="52"/>
      <c r="L123" s="52"/>
      <c r="M123" s="60"/>
      <c r="N123" s="59"/>
      <c r="O123" s="59"/>
      <c r="P123" s="59"/>
      <c r="Q123" s="55" t="str">
        <f aca="false">IF($A123="","",ROUND(N123*02_情境權重_Scenario!$C$21+O123*02_情境權重_Scenario!$C$22+P123*02_情境權重_Scenario!$C$23,1))</f>
        <v/>
      </c>
      <c r="R123" s="59"/>
      <c r="S123" s="59"/>
      <c r="T123" s="59"/>
      <c r="U123" s="55" t="str">
        <f aca="false">IF($A123="","",ROUND(R123*02_情境權重_Scenario!$C$27+S123*02_情境權重_Scenario!$C$28+T123*02_情境權重_Scenario!$C$29,1))</f>
        <v/>
      </c>
      <c r="V123" s="60"/>
      <c r="W123" s="261" t="str">
        <f aca="false">IF($A123="","",IF(OR(M123="未通過",V123="極高"),"暫緩 Hold",IF(AND(Q123&gt;=3.5,U123&gt;=3),"立即推進 Go",IF(Q123&gt;=3.5,"先補條件 Prepare",IF(U123&gt;=3,"快速小案 Quick-win","儲備觀察 Backlog")))))</f>
        <v/>
      </c>
      <c r="X123" s="52"/>
      <c r="Y123" s="52"/>
      <c r="Z123" s="53"/>
      <c r="AA123" s="59"/>
      <c r="AB123" s="59"/>
      <c r="AC123" s="52"/>
      <c r="AD123" s="52"/>
      <c r="AE123" s="60"/>
      <c r="AF123" s="54" t="str">
        <f aca="false">IF($A123="","",16_能力商機矩陣_CapOppMap!$CQ123)</f>
        <v/>
      </c>
    </row>
    <row r="124" customFormat="false" ht="25.5" hidden="false" customHeight="true" outlineLevel="0" collapsed="false">
      <c r="A124" s="59"/>
      <c r="B124" s="59"/>
      <c r="C124" s="59"/>
      <c r="D124" s="59"/>
      <c r="E124" s="95"/>
      <c r="F124" s="95"/>
      <c r="G124" s="95"/>
      <c r="H124" s="60"/>
      <c r="I124" s="59"/>
      <c r="J124" s="52"/>
      <c r="K124" s="52"/>
      <c r="L124" s="52"/>
      <c r="M124" s="60"/>
      <c r="N124" s="59"/>
      <c r="O124" s="59"/>
      <c r="P124" s="59"/>
      <c r="Q124" s="55" t="str">
        <f aca="false">IF($A124="","",ROUND(N124*02_情境權重_Scenario!$C$21+O124*02_情境權重_Scenario!$C$22+P124*02_情境權重_Scenario!$C$23,1))</f>
        <v/>
      </c>
      <c r="R124" s="59"/>
      <c r="S124" s="59"/>
      <c r="T124" s="59"/>
      <c r="U124" s="55" t="str">
        <f aca="false">IF($A124="","",ROUND(R124*02_情境權重_Scenario!$C$27+S124*02_情境權重_Scenario!$C$28+T124*02_情境權重_Scenario!$C$29,1))</f>
        <v/>
      </c>
      <c r="V124" s="60"/>
      <c r="W124" s="261" t="str">
        <f aca="false">IF($A124="","",IF(OR(M124="未通過",V124="極高"),"暫緩 Hold",IF(AND(Q124&gt;=3.5,U124&gt;=3),"立即推進 Go",IF(Q124&gt;=3.5,"先補條件 Prepare",IF(U124&gt;=3,"快速小案 Quick-win","儲備觀察 Backlog")))))</f>
        <v/>
      </c>
      <c r="X124" s="52"/>
      <c r="Y124" s="52"/>
      <c r="Z124" s="53"/>
      <c r="AA124" s="59"/>
      <c r="AB124" s="59"/>
      <c r="AC124" s="52"/>
      <c r="AD124" s="52"/>
      <c r="AE124" s="60"/>
      <c r="AF124" s="54" t="str">
        <f aca="false">IF($A124="","",16_能力商機矩陣_CapOppMap!$CQ124)</f>
        <v/>
      </c>
    </row>
    <row r="125" customFormat="false" ht="25.5" hidden="false" customHeight="true" outlineLevel="0" collapsed="false">
      <c r="A125" s="59"/>
      <c r="B125" s="59"/>
      <c r="C125" s="59"/>
      <c r="D125" s="59"/>
      <c r="E125" s="95"/>
      <c r="F125" s="95"/>
      <c r="G125" s="95"/>
      <c r="H125" s="60"/>
      <c r="I125" s="59"/>
      <c r="J125" s="52"/>
      <c r="K125" s="52"/>
      <c r="L125" s="52"/>
      <c r="M125" s="60"/>
      <c r="N125" s="59"/>
      <c r="O125" s="59"/>
      <c r="P125" s="59"/>
      <c r="Q125" s="55" t="str">
        <f aca="false">IF($A125="","",ROUND(N125*02_情境權重_Scenario!$C$21+O125*02_情境權重_Scenario!$C$22+P125*02_情境權重_Scenario!$C$23,1))</f>
        <v/>
      </c>
      <c r="R125" s="59"/>
      <c r="S125" s="59"/>
      <c r="T125" s="59"/>
      <c r="U125" s="55" t="str">
        <f aca="false">IF($A125="","",ROUND(R125*02_情境權重_Scenario!$C$27+S125*02_情境權重_Scenario!$C$28+T125*02_情境權重_Scenario!$C$29,1))</f>
        <v/>
      </c>
      <c r="V125" s="60"/>
      <c r="W125" s="261" t="str">
        <f aca="false">IF($A125="","",IF(OR(M125="未通過",V125="極高"),"暫緩 Hold",IF(AND(Q125&gt;=3.5,U125&gt;=3),"立即推進 Go",IF(Q125&gt;=3.5,"先補條件 Prepare",IF(U125&gt;=3,"快速小案 Quick-win","儲備觀察 Backlog")))))</f>
        <v/>
      </c>
      <c r="X125" s="52"/>
      <c r="Y125" s="52"/>
      <c r="Z125" s="53"/>
      <c r="AA125" s="59"/>
      <c r="AB125" s="59"/>
      <c r="AC125" s="52"/>
      <c r="AD125" s="52"/>
      <c r="AE125" s="60"/>
      <c r="AF125" s="54" t="str">
        <f aca="false">IF($A125="","",16_能力商機矩陣_CapOppMap!$CQ125)</f>
        <v/>
      </c>
    </row>
    <row r="126" customFormat="false" ht="25.5" hidden="false" customHeight="true" outlineLevel="0" collapsed="false">
      <c r="A126" s="59"/>
      <c r="B126" s="59"/>
      <c r="C126" s="59"/>
      <c r="D126" s="59"/>
      <c r="E126" s="95"/>
      <c r="F126" s="95"/>
      <c r="G126" s="95"/>
      <c r="H126" s="60"/>
      <c r="I126" s="59"/>
      <c r="J126" s="52"/>
      <c r="K126" s="52"/>
      <c r="L126" s="52"/>
      <c r="M126" s="60"/>
      <c r="N126" s="59"/>
      <c r="O126" s="59"/>
      <c r="P126" s="59"/>
      <c r="Q126" s="55" t="str">
        <f aca="false">IF($A126="","",ROUND(N126*02_情境權重_Scenario!$C$21+O126*02_情境權重_Scenario!$C$22+P126*02_情境權重_Scenario!$C$23,1))</f>
        <v/>
      </c>
      <c r="R126" s="59"/>
      <c r="S126" s="59"/>
      <c r="T126" s="59"/>
      <c r="U126" s="55" t="str">
        <f aca="false">IF($A126="","",ROUND(R126*02_情境權重_Scenario!$C$27+S126*02_情境權重_Scenario!$C$28+T126*02_情境權重_Scenario!$C$29,1))</f>
        <v/>
      </c>
      <c r="V126" s="60"/>
      <c r="W126" s="261" t="str">
        <f aca="false">IF($A126="","",IF(OR(M126="未通過",V126="極高"),"暫緩 Hold",IF(AND(Q126&gt;=3.5,U126&gt;=3),"立即推進 Go",IF(Q126&gt;=3.5,"先補條件 Prepare",IF(U126&gt;=3,"快速小案 Quick-win","儲備觀察 Backlog")))))</f>
        <v/>
      </c>
      <c r="X126" s="52"/>
      <c r="Y126" s="52"/>
      <c r="Z126" s="53"/>
      <c r="AA126" s="59"/>
      <c r="AB126" s="59"/>
      <c r="AC126" s="52"/>
      <c r="AD126" s="52"/>
      <c r="AE126" s="60"/>
      <c r="AF126" s="54" t="str">
        <f aca="false">IF($A126="","",16_能力商機矩陣_CapOppMap!$CQ126)</f>
        <v/>
      </c>
    </row>
    <row r="127" customFormat="false" ht="25.5" hidden="false" customHeight="true" outlineLevel="0" collapsed="false">
      <c r="A127" s="59"/>
      <c r="B127" s="59"/>
      <c r="C127" s="59"/>
      <c r="D127" s="59"/>
      <c r="E127" s="95"/>
      <c r="F127" s="95"/>
      <c r="G127" s="95"/>
      <c r="H127" s="60"/>
      <c r="I127" s="59"/>
      <c r="J127" s="52"/>
      <c r="K127" s="52"/>
      <c r="L127" s="52"/>
      <c r="M127" s="60"/>
      <c r="N127" s="59"/>
      <c r="O127" s="59"/>
      <c r="P127" s="59"/>
      <c r="Q127" s="55" t="str">
        <f aca="false">IF($A127="","",ROUND(N127*02_情境權重_Scenario!$C$21+O127*02_情境權重_Scenario!$C$22+P127*02_情境權重_Scenario!$C$23,1))</f>
        <v/>
      </c>
      <c r="R127" s="59"/>
      <c r="S127" s="59"/>
      <c r="T127" s="59"/>
      <c r="U127" s="55" t="str">
        <f aca="false">IF($A127="","",ROUND(R127*02_情境權重_Scenario!$C$27+S127*02_情境權重_Scenario!$C$28+T127*02_情境權重_Scenario!$C$29,1))</f>
        <v/>
      </c>
      <c r="V127" s="60"/>
      <c r="W127" s="261" t="str">
        <f aca="false">IF($A127="","",IF(OR(M127="未通過",V127="極高"),"暫緩 Hold",IF(AND(Q127&gt;=3.5,U127&gt;=3),"立即推進 Go",IF(Q127&gt;=3.5,"先補條件 Prepare",IF(U127&gt;=3,"快速小案 Quick-win","儲備觀察 Backlog")))))</f>
        <v/>
      </c>
      <c r="X127" s="52"/>
      <c r="Y127" s="52"/>
      <c r="Z127" s="53"/>
      <c r="AA127" s="59"/>
      <c r="AB127" s="59"/>
      <c r="AC127" s="52"/>
      <c r="AD127" s="52"/>
      <c r="AE127" s="60"/>
      <c r="AF127" s="54" t="str">
        <f aca="false">IF($A127="","",16_能力商機矩陣_CapOppMap!$CQ127)</f>
        <v/>
      </c>
    </row>
    <row r="128" customFormat="false" ht="25.5" hidden="false" customHeight="true" outlineLevel="0" collapsed="false">
      <c r="A128" s="59"/>
      <c r="B128" s="59"/>
      <c r="C128" s="59"/>
      <c r="D128" s="59"/>
      <c r="E128" s="95"/>
      <c r="F128" s="95"/>
      <c r="G128" s="95"/>
      <c r="H128" s="60"/>
      <c r="I128" s="59"/>
      <c r="J128" s="52"/>
      <c r="K128" s="52"/>
      <c r="L128" s="52"/>
      <c r="M128" s="60"/>
      <c r="N128" s="59"/>
      <c r="O128" s="59"/>
      <c r="P128" s="59"/>
      <c r="Q128" s="55" t="str">
        <f aca="false">IF($A128="","",ROUND(N128*02_情境權重_Scenario!$C$21+O128*02_情境權重_Scenario!$C$22+P128*02_情境權重_Scenario!$C$23,1))</f>
        <v/>
      </c>
      <c r="R128" s="59"/>
      <c r="S128" s="59"/>
      <c r="T128" s="59"/>
      <c r="U128" s="55" t="str">
        <f aca="false">IF($A128="","",ROUND(R128*02_情境權重_Scenario!$C$27+S128*02_情境權重_Scenario!$C$28+T128*02_情境權重_Scenario!$C$29,1))</f>
        <v/>
      </c>
      <c r="V128" s="60"/>
      <c r="W128" s="261" t="str">
        <f aca="false">IF($A128="","",IF(OR(M128="未通過",V128="極高"),"暫緩 Hold",IF(AND(Q128&gt;=3.5,U128&gt;=3),"立即推進 Go",IF(Q128&gt;=3.5,"先補條件 Prepare",IF(U128&gt;=3,"快速小案 Quick-win","儲備觀察 Backlog")))))</f>
        <v/>
      </c>
      <c r="X128" s="52"/>
      <c r="Y128" s="52"/>
      <c r="Z128" s="53"/>
      <c r="AA128" s="59"/>
      <c r="AB128" s="59"/>
      <c r="AC128" s="52"/>
      <c r="AD128" s="52"/>
      <c r="AE128" s="60"/>
      <c r="AF128" s="54" t="str">
        <f aca="false">IF($A128="","",16_能力商機矩陣_CapOppMap!$CQ128)</f>
        <v/>
      </c>
    </row>
    <row r="129" customFormat="false" ht="25.5" hidden="false" customHeight="true" outlineLevel="0" collapsed="false">
      <c r="A129" s="59"/>
      <c r="B129" s="59"/>
      <c r="C129" s="59"/>
      <c r="D129" s="59"/>
      <c r="E129" s="95"/>
      <c r="F129" s="95"/>
      <c r="G129" s="95"/>
      <c r="H129" s="60"/>
      <c r="I129" s="59"/>
      <c r="J129" s="52"/>
      <c r="K129" s="52"/>
      <c r="L129" s="52"/>
      <c r="M129" s="60"/>
      <c r="N129" s="59"/>
      <c r="O129" s="59"/>
      <c r="P129" s="59"/>
      <c r="Q129" s="55" t="str">
        <f aca="false">IF($A129="","",ROUND(N129*02_情境權重_Scenario!$C$21+O129*02_情境權重_Scenario!$C$22+P129*02_情境權重_Scenario!$C$23,1))</f>
        <v/>
      </c>
      <c r="R129" s="59"/>
      <c r="S129" s="59"/>
      <c r="T129" s="59"/>
      <c r="U129" s="55" t="str">
        <f aca="false">IF($A129="","",ROUND(R129*02_情境權重_Scenario!$C$27+S129*02_情境權重_Scenario!$C$28+T129*02_情境權重_Scenario!$C$29,1))</f>
        <v/>
      </c>
      <c r="V129" s="60"/>
      <c r="W129" s="261" t="str">
        <f aca="false">IF($A129="","",IF(OR(M129="未通過",V129="極高"),"暫緩 Hold",IF(AND(Q129&gt;=3.5,U129&gt;=3),"立即推進 Go",IF(Q129&gt;=3.5,"先補條件 Prepare",IF(U129&gt;=3,"快速小案 Quick-win","儲備觀察 Backlog")))))</f>
        <v/>
      </c>
      <c r="X129" s="52"/>
      <c r="Y129" s="52"/>
      <c r="Z129" s="53"/>
      <c r="AA129" s="59"/>
      <c r="AB129" s="59"/>
      <c r="AC129" s="52"/>
      <c r="AD129" s="52"/>
      <c r="AE129" s="60"/>
      <c r="AF129" s="54" t="str">
        <f aca="false">IF($A129="","",16_能力商機矩陣_CapOppMap!$CQ129)</f>
        <v/>
      </c>
    </row>
    <row r="130" customFormat="false" ht="25.5" hidden="false" customHeight="true" outlineLevel="0" collapsed="false">
      <c r="A130" s="59"/>
      <c r="B130" s="59"/>
      <c r="C130" s="59"/>
      <c r="D130" s="59"/>
      <c r="E130" s="95"/>
      <c r="F130" s="95"/>
      <c r="G130" s="95"/>
      <c r="H130" s="60"/>
      <c r="I130" s="59"/>
      <c r="J130" s="52"/>
      <c r="K130" s="52"/>
      <c r="L130" s="52"/>
      <c r="M130" s="60"/>
      <c r="N130" s="59"/>
      <c r="O130" s="59"/>
      <c r="P130" s="59"/>
      <c r="Q130" s="55" t="str">
        <f aca="false">IF($A130="","",ROUND(N130*02_情境權重_Scenario!$C$21+O130*02_情境權重_Scenario!$C$22+P130*02_情境權重_Scenario!$C$23,1))</f>
        <v/>
      </c>
      <c r="R130" s="59"/>
      <c r="S130" s="59"/>
      <c r="T130" s="59"/>
      <c r="U130" s="55" t="str">
        <f aca="false">IF($A130="","",ROUND(R130*02_情境權重_Scenario!$C$27+S130*02_情境權重_Scenario!$C$28+T130*02_情境權重_Scenario!$C$29,1))</f>
        <v/>
      </c>
      <c r="V130" s="60"/>
      <c r="W130" s="261" t="str">
        <f aca="false">IF($A130="","",IF(OR(M130="未通過",V130="極高"),"暫緩 Hold",IF(AND(Q130&gt;=3.5,U130&gt;=3),"立即推進 Go",IF(Q130&gt;=3.5,"先補條件 Prepare",IF(U130&gt;=3,"快速小案 Quick-win","儲備觀察 Backlog")))))</f>
        <v/>
      </c>
      <c r="X130" s="52"/>
      <c r="Y130" s="52"/>
      <c r="Z130" s="53"/>
      <c r="AA130" s="59"/>
      <c r="AB130" s="59"/>
      <c r="AC130" s="52"/>
      <c r="AD130" s="52"/>
      <c r="AE130" s="60"/>
      <c r="AF130" s="54" t="str">
        <f aca="false">IF($A130="","",16_能力商機矩陣_CapOppMap!$CQ130)</f>
        <v/>
      </c>
    </row>
    <row r="131" customFormat="false" ht="25.5" hidden="false" customHeight="true" outlineLevel="0" collapsed="false">
      <c r="A131" s="59"/>
      <c r="B131" s="59"/>
      <c r="C131" s="59"/>
      <c r="D131" s="59"/>
      <c r="E131" s="95"/>
      <c r="F131" s="95"/>
      <c r="G131" s="95"/>
      <c r="H131" s="60"/>
      <c r="I131" s="59"/>
      <c r="J131" s="52"/>
      <c r="K131" s="52"/>
      <c r="L131" s="52"/>
      <c r="M131" s="60"/>
      <c r="N131" s="59"/>
      <c r="O131" s="59"/>
      <c r="P131" s="59"/>
      <c r="Q131" s="55" t="str">
        <f aca="false">IF($A131="","",ROUND(N131*02_情境權重_Scenario!$C$21+O131*02_情境權重_Scenario!$C$22+P131*02_情境權重_Scenario!$C$23,1))</f>
        <v/>
      </c>
      <c r="R131" s="59"/>
      <c r="S131" s="59"/>
      <c r="T131" s="59"/>
      <c r="U131" s="55" t="str">
        <f aca="false">IF($A131="","",ROUND(R131*02_情境權重_Scenario!$C$27+S131*02_情境權重_Scenario!$C$28+T131*02_情境權重_Scenario!$C$29,1))</f>
        <v/>
      </c>
      <c r="V131" s="60"/>
      <c r="W131" s="261" t="str">
        <f aca="false">IF($A131="","",IF(OR(M131="未通過",V131="極高"),"暫緩 Hold",IF(AND(Q131&gt;=3.5,U131&gt;=3),"立即推進 Go",IF(Q131&gt;=3.5,"先補條件 Prepare",IF(U131&gt;=3,"快速小案 Quick-win","儲備觀察 Backlog")))))</f>
        <v/>
      </c>
      <c r="X131" s="52"/>
      <c r="Y131" s="52"/>
      <c r="Z131" s="53"/>
      <c r="AA131" s="59"/>
      <c r="AB131" s="59"/>
      <c r="AC131" s="52"/>
      <c r="AD131" s="52"/>
      <c r="AE131" s="60"/>
      <c r="AF131" s="54" t="str">
        <f aca="false">IF($A131="","",16_能力商機矩陣_CapOppMap!$CQ131)</f>
        <v/>
      </c>
    </row>
    <row r="132" customFormat="false" ht="25.5" hidden="false" customHeight="true" outlineLevel="0" collapsed="false">
      <c r="A132" s="59"/>
      <c r="B132" s="59"/>
      <c r="C132" s="59"/>
      <c r="D132" s="59"/>
      <c r="E132" s="95"/>
      <c r="F132" s="95"/>
      <c r="G132" s="95"/>
      <c r="H132" s="60"/>
      <c r="I132" s="59"/>
      <c r="J132" s="52"/>
      <c r="K132" s="52"/>
      <c r="L132" s="52"/>
      <c r="M132" s="60"/>
      <c r="N132" s="59"/>
      <c r="O132" s="59"/>
      <c r="P132" s="59"/>
      <c r="Q132" s="55" t="str">
        <f aca="false">IF($A132="","",ROUND(N132*02_情境權重_Scenario!$C$21+O132*02_情境權重_Scenario!$C$22+P132*02_情境權重_Scenario!$C$23,1))</f>
        <v/>
      </c>
      <c r="R132" s="59"/>
      <c r="S132" s="59"/>
      <c r="T132" s="59"/>
      <c r="U132" s="55" t="str">
        <f aca="false">IF($A132="","",ROUND(R132*02_情境權重_Scenario!$C$27+S132*02_情境權重_Scenario!$C$28+T132*02_情境權重_Scenario!$C$29,1))</f>
        <v/>
      </c>
      <c r="V132" s="60"/>
      <c r="W132" s="261" t="str">
        <f aca="false">IF($A132="","",IF(OR(M132="未通過",V132="極高"),"暫緩 Hold",IF(AND(Q132&gt;=3.5,U132&gt;=3),"立即推進 Go",IF(Q132&gt;=3.5,"先補條件 Prepare",IF(U132&gt;=3,"快速小案 Quick-win","儲備觀察 Backlog")))))</f>
        <v/>
      </c>
      <c r="X132" s="52"/>
      <c r="Y132" s="52"/>
      <c r="Z132" s="53"/>
      <c r="AA132" s="59"/>
      <c r="AB132" s="59"/>
      <c r="AC132" s="52"/>
      <c r="AD132" s="52"/>
      <c r="AE132" s="60"/>
      <c r="AF132" s="54" t="str">
        <f aca="false">IF($A132="","",16_能力商機矩陣_CapOppMap!$CQ132)</f>
        <v/>
      </c>
    </row>
    <row r="133" customFormat="false" ht="25.5" hidden="false" customHeight="true" outlineLevel="0" collapsed="false">
      <c r="A133" s="59"/>
      <c r="B133" s="59"/>
      <c r="C133" s="59"/>
      <c r="D133" s="59"/>
      <c r="E133" s="95"/>
      <c r="F133" s="95"/>
      <c r="G133" s="95"/>
      <c r="H133" s="60"/>
      <c r="I133" s="59"/>
      <c r="J133" s="52"/>
      <c r="K133" s="52"/>
      <c r="L133" s="52"/>
      <c r="M133" s="60"/>
      <c r="N133" s="59"/>
      <c r="O133" s="59"/>
      <c r="P133" s="59"/>
      <c r="Q133" s="55" t="str">
        <f aca="false">IF($A133="","",ROUND(N133*02_情境權重_Scenario!$C$21+O133*02_情境權重_Scenario!$C$22+P133*02_情境權重_Scenario!$C$23,1))</f>
        <v/>
      </c>
      <c r="R133" s="59"/>
      <c r="S133" s="59"/>
      <c r="T133" s="59"/>
      <c r="U133" s="55" t="str">
        <f aca="false">IF($A133="","",ROUND(R133*02_情境權重_Scenario!$C$27+S133*02_情境權重_Scenario!$C$28+T133*02_情境權重_Scenario!$C$29,1))</f>
        <v/>
      </c>
      <c r="V133" s="60"/>
      <c r="W133" s="261" t="str">
        <f aca="false">IF($A133="","",IF(OR(M133="未通過",V133="極高"),"暫緩 Hold",IF(AND(Q133&gt;=3.5,U133&gt;=3),"立即推進 Go",IF(Q133&gt;=3.5,"先補條件 Prepare",IF(U133&gt;=3,"快速小案 Quick-win","儲備觀察 Backlog")))))</f>
        <v/>
      </c>
      <c r="X133" s="52"/>
      <c r="Y133" s="52"/>
      <c r="Z133" s="53"/>
      <c r="AA133" s="59"/>
      <c r="AB133" s="59"/>
      <c r="AC133" s="52"/>
      <c r="AD133" s="52"/>
      <c r="AE133" s="60"/>
      <c r="AF133" s="54" t="str">
        <f aca="false">IF($A133="","",16_能力商機矩陣_CapOppMap!$CQ133)</f>
        <v/>
      </c>
    </row>
    <row r="134" customFormat="false" ht="25.5" hidden="false" customHeight="true" outlineLevel="0" collapsed="false">
      <c r="A134" s="59"/>
      <c r="B134" s="59"/>
      <c r="C134" s="59"/>
      <c r="D134" s="59"/>
      <c r="E134" s="95"/>
      <c r="F134" s="95"/>
      <c r="G134" s="95"/>
      <c r="H134" s="60"/>
      <c r="I134" s="59"/>
      <c r="J134" s="52"/>
      <c r="K134" s="52"/>
      <c r="L134" s="52"/>
      <c r="M134" s="60"/>
      <c r="N134" s="59"/>
      <c r="O134" s="59"/>
      <c r="P134" s="59"/>
      <c r="Q134" s="55" t="str">
        <f aca="false">IF($A134="","",ROUND(N134*02_情境權重_Scenario!$C$21+O134*02_情境權重_Scenario!$C$22+P134*02_情境權重_Scenario!$C$23,1))</f>
        <v/>
      </c>
      <c r="R134" s="59"/>
      <c r="S134" s="59"/>
      <c r="T134" s="59"/>
      <c r="U134" s="55" t="str">
        <f aca="false">IF($A134="","",ROUND(R134*02_情境權重_Scenario!$C$27+S134*02_情境權重_Scenario!$C$28+T134*02_情境權重_Scenario!$C$29,1))</f>
        <v/>
      </c>
      <c r="V134" s="60"/>
      <c r="W134" s="261" t="str">
        <f aca="false">IF($A134="","",IF(OR(M134="未通過",V134="極高"),"暫緩 Hold",IF(AND(Q134&gt;=3.5,U134&gt;=3),"立即推進 Go",IF(Q134&gt;=3.5,"先補條件 Prepare",IF(U134&gt;=3,"快速小案 Quick-win","儲備觀察 Backlog")))))</f>
        <v/>
      </c>
      <c r="X134" s="52"/>
      <c r="Y134" s="52"/>
      <c r="Z134" s="53"/>
      <c r="AA134" s="59"/>
      <c r="AB134" s="59"/>
      <c r="AC134" s="52"/>
      <c r="AD134" s="52"/>
      <c r="AE134" s="60"/>
      <c r="AF134" s="54" t="str">
        <f aca="false">IF($A134="","",16_能力商機矩陣_CapOppMap!$CQ134)</f>
        <v/>
      </c>
    </row>
    <row r="135" customFormat="false" ht="25.5" hidden="false" customHeight="true" outlineLevel="0" collapsed="false">
      <c r="A135" s="59"/>
      <c r="B135" s="59"/>
      <c r="C135" s="59"/>
      <c r="D135" s="59"/>
      <c r="E135" s="95"/>
      <c r="F135" s="95"/>
      <c r="G135" s="95"/>
      <c r="H135" s="60"/>
      <c r="I135" s="59"/>
      <c r="J135" s="52"/>
      <c r="K135" s="52"/>
      <c r="L135" s="52"/>
      <c r="M135" s="60"/>
      <c r="N135" s="59"/>
      <c r="O135" s="59"/>
      <c r="P135" s="59"/>
      <c r="Q135" s="55" t="str">
        <f aca="false">IF($A135="","",ROUND(N135*02_情境權重_Scenario!$C$21+O135*02_情境權重_Scenario!$C$22+P135*02_情境權重_Scenario!$C$23,1))</f>
        <v/>
      </c>
      <c r="R135" s="59"/>
      <c r="S135" s="59"/>
      <c r="T135" s="59"/>
      <c r="U135" s="55" t="str">
        <f aca="false">IF($A135="","",ROUND(R135*02_情境權重_Scenario!$C$27+S135*02_情境權重_Scenario!$C$28+T135*02_情境權重_Scenario!$C$29,1))</f>
        <v/>
      </c>
      <c r="V135" s="60"/>
      <c r="W135" s="261" t="str">
        <f aca="false">IF($A135="","",IF(OR(M135="未通過",V135="極高"),"暫緩 Hold",IF(AND(Q135&gt;=3.5,U135&gt;=3),"立即推進 Go",IF(Q135&gt;=3.5,"先補條件 Prepare",IF(U135&gt;=3,"快速小案 Quick-win","儲備觀察 Backlog")))))</f>
        <v/>
      </c>
      <c r="X135" s="52"/>
      <c r="Y135" s="52"/>
      <c r="Z135" s="53"/>
      <c r="AA135" s="59"/>
      <c r="AB135" s="59"/>
      <c r="AC135" s="52"/>
      <c r="AD135" s="52"/>
      <c r="AE135" s="60"/>
      <c r="AF135" s="54" t="str">
        <f aca="false">IF($A135="","",16_能力商機矩陣_CapOppMap!$CQ135)</f>
        <v/>
      </c>
    </row>
    <row r="136" customFormat="false" ht="25.5" hidden="false" customHeight="true" outlineLevel="0" collapsed="false">
      <c r="A136" s="59"/>
      <c r="B136" s="59"/>
      <c r="C136" s="59"/>
      <c r="D136" s="59"/>
      <c r="E136" s="95"/>
      <c r="F136" s="95"/>
      <c r="G136" s="95"/>
      <c r="H136" s="60"/>
      <c r="I136" s="59"/>
      <c r="J136" s="52"/>
      <c r="K136" s="52"/>
      <c r="L136" s="52"/>
      <c r="M136" s="60"/>
      <c r="N136" s="59"/>
      <c r="O136" s="59"/>
      <c r="P136" s="59"/>
      <c r="Q136" s="55" t="str">
        <f aca="false">IF($A136="","",ROUND(N136*02_情境權重_Scenario!$C$21+O136*02_情境權重_Scenario!$C$22+P136*02_情境權重_Scenario!$C$23,1))</f>
        <v/>
      </c>
      <c r="R136" s="59"/>
      <c r="S136" s="59"/>
      <c r="T136" s="59"/>
      <c r="U136" s="55" t="str">
        <f aca="false">IF($A136="","",ROUND(R136*02_情境權重_Scenario!$C$27+S136*02_情境權重_Scenario!$C$28+T136*02_情境權重_Scenario!$C$29,1))</f>
        <v/>
      </c>
      <c r="V136" s="60"/>
      <c r="W136" s="261" t="str">
        <f aca="false">IF($A136="","",IF(OR(M136="未通過",V136="極高"),"暫緩 Hold",IF(AND(Q136&gt;=3.5,U136&gt;=3),"立即推進 Go",IF(Q136&gt;=3.5,"先補條件 Prepare",IF(U136&gt;=3,"快速小案 Quick-win","儲備觀察 Backlog")))))</f>
        <v/>
      </c>
      <c r="X136" s="52"/>
      <c r="Y136" s="52"/>
      <c r="Z136" s="53"/>
      <c r="AA136" s="59"/>
      <c r="AB136" s="59"/>
      <c r="AC136" s="52"/>
      <c r="AD136" s="52"/>
      <c r="AE136" s="60"/>
      <c r="AF136" s="54" t="str">
        <f aca="false">IF($A136="","",16_能力商機矩陣_CapOppMap!$CQ136)</f>
        <v/>
      </c>
    </row>
    <row r="137" customFormat="false" ht="25.5" hidden="false" customHeight="true" outlineLevel="0" collapsed="false">
      <c r="A137" s="59"/>
      <c r="B137" s="59"/>
      <c r="C137" s="59"/>
      <c r="D137" s="59"/>
      <c r="E137" s="95"/>
      <c r="F137" s="95"/>
      <c r="G137" s="95"/>
      <c r="H137" s="60"/>
      <c r="I137" s="59"/>
      <c r="J137" s="52"/>
      <c r="K137" s="52"/>
      <c r="L137" s="52"/>
      <c r="M137" s="60"/>
      <c r="N137" s="59"/>
      <c r="O137" s="59"/>
      <c r="P137" s="59"/>
      <c r="Q137" s="55" t="str">
        <f aca="false">IF($A137="","",ROUND(N137*02_情境權重_Scenario!$C$21+O137*02_情境權重_Scenario!$C$22+P137*02_情境權重_Scenario!$C$23,1))</f>
        <v/>
      </c>
      <c r="R137" s="59"/>
      <c r="S137" s="59"/>
      <c r="T137" s="59"/>
      <c r="U137" s="55" t="str">
        <f aca="false">IF($A137="","",ROUND(R137*02_情境權重_Scenario!$C$27+S137*02_情境權重_Scenario!$C$28+T137*02_情境權重_Scenario!$C$29,1))</f>
        <v/>
      </c>
      <c r="V137" s="60"/>
      <c r="W137" s="261" t="str">
        <f aca="false">IF($A137="","",IF(OR(M137="未通過",V137="極高"),"暫緩 Hold",IF(AND(Q137&gt;=3.5,U137&gt;=3),"立即推進 Go",IF(Q137&gt;=3.5,"先補條件 Prepare",IF(U137&gt;=3,"快速小案 Quick-win","儲備觀察 Backlog")))))</f>
        <v/>
      </c>
      <c r="X137" s="52"/>
      <c r="Y137" s="52"/>
      <c r="Z137" s="53"/>
      <c r="AA137" s="59"/>
      <c r="AB137" s="59"/>
      <c r="AC137" s="52"/>
      <c r="AD137" s="52"/>
      <c r="AE137" s="60"/>
      <c r="AF137" s="54" t="str">
        <f aca="false">IF($A137="","",16_能力商機矩陣_CapOppMap!$CQ137)</f>
        <v/>
      </c>
    </row>
    <row r="138" customFormat="false" ht="25.5" hidden="false" customHeight="true" outlineLevel="0" collapsed="false">
      <c r="A138" s="59"/>
      <c r="B138" s="59"/>
      <c r="C138" s="59"/>
      <c r="D138" s="59"/>
      <c r="E138" s="95"/>
      <c r="F138" s="95"/>
      <c r="G138" s="95"/>
      <c r="H138" s="60"/>
      <c r="I138" s="59"/>
      <c r="J138" s="52"/>
      <c r="K138" s="52"/>
      <c r="L138" s="52"/>
      <c r="M138" s="60"/>
      <c r="N138" s="59"/>
      <c r="O138" s="59"/>
      <c r="P138" s="59"/>
      <c r="Q138" s="55" t="str">
        <f aca="false">IF($A138="","",ROUND(N138*02_情境權重_Scenario!$C$21+O138*02_情境權重_Scenario!$C$22+P138*02_情境權重_Scenario!$C$23,1))</f>
        <v/>
      </c>
      <c r="R138" s="59"/>
      <c r="S138" s="59"/>
      <c r="T138" s="59"/>
      <c r="U138" s="55" t="str">
        <f aca="false">IF($A138="","",ROUND(R138*02_情境權重_Scenario!$C$27+S138*02_情境權重_Scenario!$C$28+T138*02_情境權重_Scenario!$C$29,1))</f>
        <v/>
      </c>
      <c r="V138" s="60"/>
      <c r="W138" s="261" t="str">
        <f aca="false">IF($A138="","",IF(OR(M138="未通過",V138="極高"),"暫緩 Hold",IF(AND(Q138&gt;=3.5,U138&gt;=3),"立即推進 Go",IF(Q138&gt;=3.5,"先補條件 Prepare",IF(U138&gt;=3,"快速小案 Quick-win","儲備觀察 Backlog")))))</f>
        <v/>
      </c>
      <c r="X138" s="52"/>
      <c r="Y138" s="52"/>
      <c r="Z138" s="53"/>
      <c r="AA138" s="59"/>
      <c r="AB138" s="59"/>
      <c r="AC138" s="52"/>
      <c r="AD138" s="52"/>
      <c r="AE138" s="60"/>
      <c r="AF138" s="54" t="str">
        <f aca="false">IF($A138="","",16_能力商機矩陣_CapOppMap!$CQ138)</f>
        <v/>
      </c>
    </row>
    <row r="139" customFormat="false" ht="25.5" hidden="false" customHeight="true" outlineLevel="0" collapsed="false">
      <c r="A139" s="59"/>
      <c r="B139" s="59"/>
      <c r="C139" s="59"/>
      <c r="D139" s="59"/>
      <c r="E139" s="95"/>
      <c r="F139" s="95"/>
      <c r="G139" s="95"/>
      <c r="H139" s="60"/>
      <c r="I139" s="59"/>
      <c r="J139" s="52"/>
      <c r="K139" s="52"/>
      <c r="L139" s="52"/>
      <c r="M139" s="60"/>
      <c r="N139" s="59"/>
      <c r="O139" s="59"/>
      <c r="P139" s="59"/>
      <c r="Q139" s="55" t="str">
        <f aca="false">IF($A139="","",ROUND(N139*02_情境權重_Scenario!$C$21+O139*02_情境權重_Scenario!$C$22+P139*02_情境權重_Scenario!$C$23,1))</f>
        <v/>
      </c>
      <c r="R139" s="59"/>
      <c r="S139" s="59"/>
      <c r="T139" s="59"/>
      <c r="U139" s="55" t="str">
        <f aca="false">IF($A139="","",ROUND(R139*02_情境權重_Scenario!$C$27+S139*02_情境權重_Scenario!$C$28+T139*02_情境權重_Scenario!$C$29,1))</f>
        <v/>
      </c>
      <c r="V139" s="60"/>
      <c r="W139" s="261" t="str">
        <f aca="false">IF($A139="","",IF(OR(M139="未通過",V139="極高"),"暫緩 Hold",IF(AND(Q139&gt;=3.5,U139&gt;=3),"立即推進 Go",IF(Q139&gt;=3.5,"先補條件 Prepare",IF(U139&gt;=3,"快速小案 Quick-win","儲備觀察 Backlog")))))</f>
        <v/>
      </c>
      <c r="X139" s="52"/>
      <c r="Y139" s="52"/>
      <c r="Z139" s="53"/>
      <c r="AA139" s="59"/>
      <c r="AB139" s="59"/>
      <c r="AC139" s="52"/>
      <c r="AD139" s="52"/>
      <c r="AE139" s="60"/>
      <c r="AF139" s="54" t="str">
        <f aca="false">IF($A139="","",16_能力商機矩陣_CapOppMap!$CQ139)</f>
        <v/>
      </c>
    </row>
    <row r="140" customFormat="false" ht="25.5" hidden="false" customHeight="true" outlineLevel="0" collapsed="false">
      <c r="A140" s="59"/>
      <c r="B140" s="59"/>
      <c r="C140" s="59"/>
      <c r="D140" s="59"/>
      <c r="E140" s="95"/>
      <c r="F140" s="95"/>
      <c r="G140" s="95"/>
      <c r="H140" s="60"/>
      <c r="I140" s="59"/>
      <c r="J140" s="52"/>
      <c r="K140" s="52"/>
      <c r="L140" s="52"/>
      <c r="M140" s="60"/>
      <c r="N140" s="59"/>
      <c r="O140" s="59"/>
      <c r="P140" s="59"/>
      <c r="Q140" s="55" t="str">
        <f aca="false">IF($A140="","",ROUND(N140*02_情境權重_Scenario!$C$21+O140*02_情境權重_Scenario!$C$22+P140*02_情境權重_Scenario!$C$23,1))</f>
        <v/>
      </c>
      <c r="R140" s="59"/>
      <c r="S140" s="59"/>
      <c r="T140" s="59"/>
      <c r="U140" s="55" t="str">
        <f aca="false">IF($A140="","",ROUND(R140*02_情境權重_Scenario!$C$27+S140*02_情境權重_Scenario!$C$28+T140*02_情境權重_Scenario!$C$29,1))</f>
        <v/>
      </c>
      <c r="V140" s="60"/>
      <c r="W140" s="261" t="str">
        <f aca="false">IF($A140="","",IF(OR(M140="未通過",V140="極高"),"暫緩 Hold",IF(AND(Q140&gt;=3.5,U140&gt;=3),"立即推進 Go",IF(Q140&gt;=3.5,"先補條件 Prepare",IF(U140&gt;=3,"快速小案 Quick-win","儲備觀察 Backlog")))))</f>
        <v/>
      </c>
      <c r="X140" s="52"/>
      <c r="Y140" s="52"/>
      <c r="Z140" s="53"/>
      <c r="AA140" s="59"/>
      <c r="AB140" s="59"/>
      <c r="AC140" s="52"/>
      <c r="AD140" s="52"/>
      <c r="AE140" s="60"/>
      <c r="AF140" s="54" t="str">
        <f aca="false">IF($A140="","",16_能力商機矩陣_CapOppMap!$CQ140)</f>
        <v/>
      </c>
    </row>
    <row r="141" customFormat="false" ht="25.5" hidden="false" customHeight="true" outlineLevel="0" collapsed="false">
      <c r="A141" s="59"/>
      <c r="B141" s="59"/>
      <c r="C141" s="59"/>
      <c r="D141" s="59"/>
      <c r="E141" s="95"/>
      <c r="F141" s="95"/>
      <c r="G141" s="95"/>
      <c r="H141" s="60"/>
      <c r="I141" s="59"/>
      <c r="J141" s="52"/>
      <c r="K141" s="52"/>
      <c r="L141" s="52"/>
      <c r="M141" s="60"/>
      <c r="N141" s="59"/>
      <c r="O141" s="59"/>
      <c r="P141" s="59"/>
      <c r="Q141" s="55" t="str">
        <f aca="false">IF($A141="","",ROUND(N141*02_情境權重_Scenario!$C$21+O141*02_情境權重_Scenario!$C$22+P141*02_情境權重_Scenario!$C$23,1))</f>
        <v/>
      </c>
      <c r="R141" s="59"/>
      <c r="S141" s="59"/>
      <c r="T141" s="59"/>
      <c r="U141" s="55" t="str">
        <f aca="false">IF($A141="","",ROUND(R141*02_情境權重_Scenario!$C$27+S141*02_情境權重_Scenario!$C$28+T141*02_情境權重_Scenario!$C$29,1))</f>
        <v/>
      </c>
      <c r="V141" s="60"/>
      <c r="W141" s="261" t="str">
        <f aca="false">IF($A141="","",IF(OR(M141="未通過",V141="極高"),"暫緩 Hold",IF(AND(Q141&gt;=3.5,U141&gt;=3),"立即推進 Go",IF(Q141&gt;=3.5,"先補條件 Prepare",IF(U141&gt;=3,"快速小案 Quick-win","儲備觀察 Backlog")))))</f>
        <v/>
      </c>
      <c r="X141" s="52"/>
      <c r="Y141" s="52"/>
      <c r="Z141" s="53"/>
      <c r="AA141" s="59"/>
      <c r="AB141" s="59"/>
      <c r="AC141" s="52"/>
      <c r="AD141" s="52"/>
      <c r="AE141" s="60"/>
      <c r="AF141" s="54" t="str">
        <f aca="false">IF($A141="","",16_能力商機矩陣_CapOppMap!$CQ141)</f>
        <v/>
      </c>
    </row>
    <row r="142" customFormat="false" ht="25.5" hidden="false" customHeight="true" outlineLevel="0" collapsed="false">
      <c r="A142" s="59"/>
      <c r="B142" s="59"/>
      <c r="C142" s="59"/>
      <c r="D142" s="59"/>
      <c r="E142" s="95"/>
      <c r="F142" s="95"/>
      <c r="G142" s="95"/>
      <c r="H142" s="60"/>
      <c r="I142" s="59"/>
      <c r="J142" s="52"/>
      <c r="K142" s="52"/>
      <c r="L142" s="52"/>
      <c r="M142" s="60"/>
      <c r="N142" s="59"/>
      <c r="O142" s="59"/>
      <c r="P142" s="59"/>
      <c r="Q142" s="55" t="str">
        <f aca="false">IF($A142="","",ROUND(N142*02_情境權重_Scenario!$C$21+O142*02_情境權重_Scenario!$C$22+P142*02_情境權重_Scenario!$C$23,1))</f>
        <v/>
      </c>
      <c r="R142" s="59"/>
      <c r="S142" s="59"/>
      <c r="T142" s="59"/>
      <c r="U142" s="55" t="str">
        <f aca="false">IF($A142="","",ROUND(R142*02_情境權重_Scenario!$C$27+S142*02_情境權重_Scenario!$C$28+T142*02_情境權重_Scenario!$C$29,1))</f>
        <v/>
      </c>
      <c r="V142" s="60"/>
      <c r="W142" s="261" t="str">
        <f aca="false">IF($A142="","",IF(OR(M142="未通過",V142="極高"),"暫緩 Hold",IF(AND(Q142&gt;=3.5,U142&gt;=3),"立即推進 Go",IF(Q142&gt;=3.5,"先補條件 Prepare",IF(U142&gt;=3,"快速小案 Quick-win","儲備觀察 Backlog")))))</f>
        <v/>
      </c>
      <c r="X142" s="52"/>
      <c r="Y142" s="52"/>
      <c r="Z142" s="53"/>
      <c r="AA142" s="59"/>
      <c r="AB142" s="59"/>
      <c r="AC142" s="52"/>
      <c r="AD142" s="52"/>
      <c r="AE142" s="60"/>
      <c r="AF142" s="54" t="str">
        <f aca="false">IF($A142="","",16_能力商機矩陣_CapOppMap!$CQ142)</f>
        <v/>
      </c>
    </row>
    <row r="143" customFormat="false" ht="25.5" hidden="false" customHeight="true" outlineLevel="0" collapsed="false">
      <c r="A143" s="59"/>
      <c r="B143" s="59"/>
      <c r="C143" s="59"/>
      <c r="D143" s="59"/>
      <c r="E143" s="95"/>
      <c r="F143" s="95"/>
      <c r="G143" s="95"/>
      <c r="H143" s="60"/>
      <c r="I143" s="59"/>
      <c r="J143" s="52"/>
      <c r="K143" s="52"/>
      <c r="L143" s="52"/>
      <c r="M143" s="60"/>
      <c r="N143" s="59"/>
      <c r="O143" s="59"/>
      <c r="P143" s="59"/>
      <c r="Q143" s="55" t="str">
        <f aca="false">IF($A143="","",ROUND(N143*02_情境權重_Scenario!$C$21+O143*02_情境權重_Scenario!$C$22+P143*02_情境權重_Scenario!$C$23,1))</f>
        <v/>
      </c>
      <c r="R143" s="59"/>
      <c r="S143" s="59"/>
      <c r="T143" s="59"/>
      <c r="U143" s="55" t="str">
        <f aca="false">IF($A143="","",ROUND(R143*02_情境權重_Scenario!$C$27+S143*02_情境權重_Scenario!$C$28+T143*02_情境權重_Scenario!$C$29,1))</f>
        <v/>
      </c>
      <c r="V143" s="60"/>
      <c r="W143" s="261" t="str">
        <f aca="false">IF($A143="","",IF(OR(M143="未通過",V143="極高"),"暫緩 Hold",IF(AND(Q143&gt;=3.5,U143&gt;=3),"立即推進 Go",IF(Q143&gt;=3.5,"先補條件 Prepare",IF(U143&gt;=3,"快速小案 Quick-win","儲備觀察 Backlog")))))</f>
        <v/>
      </c>
      <c r="X143" s="52"/>
      <c r="Y143" s="52"/>
      <c r="Z143" s="53"/>
      <c r="AA143" s="59"/>
      <c r="AB143" s="59"/>
      <c r="AC143" s="52"/>
      <c r="AD143" s="52"/>
      <c r="AE143" s="60"/>
      <c r="AF143" s="54" t="str">
        <f aca="false">IF($A143="","",16_能力商機矩陣_CapOppMap!$CQ143)</f>
        <v/>
      </c>
    </row>
    <row r="144" customFormat="false" ht="25.5" hidden="false" customHeight="true" outlineLevel="0" collapsed="false">
      <c r="A144" s="59"/>
      <c r="B144" s="59"/>
      <c r="C144" s="59"/>
      <c r="D144" s="59"/>
      <c r="E144" s="95"/>
      <c r="F144" s="95"/>
      <c r="G144" s="95"/>
      <c r="H144" s="60"/>
      <c r="I144" s="59"/>
      <c r="J144" s="52"/>
      <c r="K144" s="52"/>
      <c r="L144" s="52"/>
      <c r="M144" s="60"/>
      <c r="N144" s="59"/>
      <c r="O144" s="59"/>
      <c r="P144" s="59"/>
      <c r="Q144" s="55" t="str">
        <f aca="false">IF($A144="","",ROUND(N144*02_情境權重_Scenario!$C$21+O144*02_情境權重_Scenario!$C$22+P144*02_情境權重_Scenario!$C$23,1))</f>
        <v/>
      </c>
      <c r="R144" s="59"/>
      <c r="S144" s="59"/>
      <c r="T144" s="59"/>
      <c r="U144" s="55" t="str">
        <f aca="false">IF($A144="","",ROUND(R144*02_情境權重_Scenario!$C$27+S144*02_情境權重_Scenario!$C$28+T144*02_情境權重_Scenario!$C$29,1))</f>
        <v/>
      </c>
      <c r="V144" s="60"/>
      <c r="W144" s="261" t="str">
        <f aca="false">IF($A144="","",IF(OR(M144="未通過",V144="極高"),"暫緩 Hold",IF(AND(Q144&gt;=3.5,U144&gt;=3),"立即推進 Go",IF(Q144&gt;=3.5,"先補條件 Prepare",IF(U144&gt;=3,"快速小案 Quick-win","儲備觀察 Backlog")))))</f>
        <v/>
      </c>
      <c r="X144" s="52"/>
      <c r="Y144" s="52"/>
      <c r="Z144" s="53"/>
      <c r="AA144" s="59"/>
      <c r="AB144" s="59"/>
      <c r="AC144" s="52"/>
      <c r="AD144" s="52"/>
      <c r="AE144" s="60"/>
      <c r="AF144" s="54" t="str">
        <f aca="false">IF($A144="","",16_能力商機矩陣_CapOppMap!$CQ144)</f>
        <v/>
      </c>
    </row>
    <row r="145" customFormat="false" ht="25.5" hidden="false" customHeight="true" outlineLevel="0" collapsed="false">
      <c r="A145" s="59"/>
      <c r="B145" s="59"/>
      <c r="C145" s="59"/>
      <c r="D145" s="59"/>
      <c r="E145" s="95"/>
      <c r="F145" s="95"/>
      <c r="G145" s="95"/>
      <c r="H145" s="60"/>
      <c r="I145" s="59"/>
      <c r="J145" s="52"/>
      <c r="K145" s="52"/>
      <c r="L145" s="52"/>
      <c r="M145" s="60"/>
      <c r="N145" s="59"/>
      <c r="O145" s="59"/>
      <c r="P145" s="59"/>
      <c r="Q145" s="55" t="str">
        <f aca="false">IF($A145="","",ROUND(N145*02_情境權重_Scenario!$C$21+O145*02_情境權重_Scenario!$C$22+P145*02_情境權重_Scenario!$C$23,1))</f>
        <v/>
      </c>
      <c r="R145" s="59"/>
      <c r="S145" s="59"/>
      <c r="T145" s="59"/>
      <c r="U145" s="55" t="str">
        <f aca="false">IF($A145="","",ROUND(R145*02_情境權重_Scenario!$C$27+S145*02_情境權重_Scenario!$C$28+T145*02_情境權重_Scenario!$C$29,1))</f>
        <v/>
      </c>
      <c r="V145" s="60"/>
      <c r="W145" s="261" t="str">
        <f aca="false">IF($A145="","",IF(OR(M145="未通過",V145="極高"),"暫緩 Hold",IF(AND(Q145&gt;=3.5,U145&gt;=3),"立即推進 Go",IF(Q145&gt;=3.5,"先補條件 Prepare",IF(U145&gt;=3,"快速小案 Quick-win","儲備觀察 Backlog")))))</f>
        <v/>
      </c>
      <c r="X145" s="52"/>
      <c r="Y145" s="52"/>
      <c r="Z145" s="53"/>
      <c r="AA145" s="59"/>
      <c r="AB145" s="59"/>
      <c r="AC145" s="52"/>
      <c r="AD145" s="52"/>
      <c r="AE145" s="60"/>
      <c r="AF145" s="54" t="str">
        <f aca="false">IF($A145="","",16_能力商機矩陣_CapOppMap!$CQ145)</f>
        <v/>
      </c>
    </row>
    <row r="146" customFormat="false" ht="25.5" hidden="false" customHeight="true" outlineLevel="0" collapsed="false">
      <c r="A146" s="59"/>
      <c r="B146" s="59"/>
      <c r="C146" s="59"/>
      <c r="D146" s="59"/>
      <c r="E146" s="95"/>
      <c r="F146" s="95"/>
      <c r="G146" s="95"/>
      <c r="H146" s="60"/>
      <c r="I146" s="59"/>
      <c r="J146" s="52"/>
      <c r="K146" s="52"/>
      <c r="L146" s="52"/>
      <c r="M146" s="60"/>
      <c r="N146" s="59"/>
      <c r="O146" s="59"/>
      <c r="P146" s="59"/>
      <c r="Q146" s="55" t="str">
        <f aca="false">IF($A146="","",ROUND(N146*02_情境權重_Scenario!$C$21+O146*02_情境權重_Scenario!$C$22+P146*02_情境權重_Scenario!$C$23,1))</f>
        <v/>
      </c>
      <c r="R146" s="59"/>
      <c r="S146" s="59"/>
      <c r="T146" s="59"/>
      <c r="U146" s="55" t="str">
        <f aca="false">IF($A146="","",ROUND(R146*02_情境權重_Scenario!$C$27+S146*02_情境權重_Scenario!$C$28+T146*02_情境權重_Scenario!$C$29,1))</f>
        <v/>
      </c>
      <c r="V146" s="60"/>
      <c r="W146" s="261" t="str">
        <f aca="false">IF($A146="","",IF(OR(M146="未通過",V146="極高"),"暫緩 Hold",IF(AND(Q146&gt;=3.5,U146&gt;=3),"立即推進 Go",IF(Q146&gt;=3.5,"先補條件 Prepare",IF(U146&gt;=3,"快速小案 Quick-win","儲備觀察 Backlog")))))</f>
        <v/>
      </c>
      <c r="X146" s="52"/>
      <c r="Y146" s="52"/>
      <c r="Z146" s="53"/>
      <c r="AA146" s="59"/>
      <c r="AB146" s="59"/>
      <c r="AC146" s="52"/>
      <c r="AD146" s="52"/>
      <c r="AE146" s="60"/>
      <c r="AF146" s="54" t="str">
        <f aca="false">IF($A146="","",16_能力商機矩陣_CapOppMap!$CQ146)</f>
        <v/>
      </c>
    </row>
    <row r="147" customFormat="false" ht="25.5" hidden="false" customHeight="true" outlineLevel="0" collapsed="false">
      <c r="A147" s="59"/>
      <c r="B147" s="59"/>
      <c r="C147" s="59"/>
      <c r="D147" s="59"/>
      <c r="E147" s="95"/>
      <c r="F147" s="95"/>
      <c r="G147" s="95"/>
      <c r="H147" s="60"/>
      <c r="I147" s="59"/>
      <c r="J147" s="52"/>
      <c r="K147" s="52"/>
      <c r="L147" s="52"/>
      <c r="M147" s="60"/>
      <c r="N147" s="59"/>
      <c r="O147" s="59"/>
      <c r="P147" s="59"/>
      <c r="Q147" s="55" t="str">
        <f aca="false">IF($A147="","",ROUND(N147*02_情境權重_Scenario!$C$21+O147*02_情境權重_Scenario!$C$22+P147*02_情境權重_Scenario!$C$23,1))</f>
        <v/>
      </c>
      <c r="R147" s="59"/>
      <c r="S147" s="59"/>
      <c r="T147" s="59"/>
      <c r="U147" s="55" t="str">
        <f aca="false">IF($A147="","",ROUND(R147*02_情境權重_Scenario!$C$27+S147*02_情境權重_Scenario!$C$28+T147*02_情境權重_Scenario!$C$29,1))</f>
        <v/>
      </c>
      <c r="V147" s="60"/>
      <c r="W147" s="261" t="str">
        <f aca="false">IF($A147="","",IF(OR(M147="未通過",V147="極高"),"暫緩 Hold",IF(AND(Q147&gt;=3.5,U147&gt;=3),"立即推進 Go",IF(Q147&gt;=3.5,"先補條件 Prepare",IF(U147&gt;=3,"快速小案 Quick-win","儲備觀察 Backlog")))))</f>
        <v/>
      </c>
      <c r="X147" s="52"/>
      <c r="Y147" s="52"/>
      <c r="Z147" s="53"/>
      <c r="AA147" s="59"/>
      <c r="AB147" s="59"/>
      <c r="AC147" s="52"/>
      <c r="AD147" s="52"/>
      <c r="AE147" s="60"/>
      <c r="AF147" s="54" t="str">
        <f aca="false">IF($A147="","",16_能力商機矩陣_CapOppMap!$CQ147)</f>
        <v/>
      </c>
    </row>
    <row r="148" customFormat="false" ht="25.5" hidden="false" customHeight="true" outlineLevel="0" collapsed="false">
      <c r="A148" s="59"/>
      <c r="B148" s="59"/>
      <c r="C148" s="59"/>
      <c r="D148" s="59"/>
      <c r="E148" s="95"/>
      <c r="F148" s="95"/>
      <c r="G148" s="95"/>
      <c r="H148" s="60"/>
      <c r="I148" s="59"/>
      <c r="J148" s="52"/>
      <c r="K148" s="52"/>
      <c r="L148" s="52"/>
      <c r="M148" s="60"/>
      <c r="N148" s="59"/>
      <c r="O148" s="59"/>
      <c r="P148" s="59"/>
      <c r="Q148" s="55" t="str">
        <f aca="false">IF($A148="","",ROUND(N148*02_情境權重_Scenario!$C$21+O148*02_情境權重_Scenario!$C$22+P148*02_情境權重_Scenario!$C$23,1))</f>
        <v/>
      </c>
      <c r="R148" s="59"/>
      <c r="S148" s="59"/>
      <c r="T148" s="59"/>
      <c r="U148" s="55" t="str">
        <f aca="false">IF($A148="","",ROUND(R148*02_情境權重_Scenario!$C$27+S148*02_情境權重_Scenario!$C$28+T148*02_情境權重_Scenario!$C$29,1))</f>
        <v/>
      </c>
      <c r="V148" s="60"/>
      <c r="W148" s="261" t="str">
        <f aca="false">IF($A148="","",IF(OR(M148="未通過",V148="極高"),"暫緩 Hold",IF(AND(Q148&gt;=3.5,U148&gt;=3),"立即推進 Go",IF(Q148&gt;=3.5,"先補條件 Prepare",IF(U148&gt;=3,"快速小案 Quick-win","儲備觀察 Backlog")))))</f>
        <v/>
      </c>
      <c r="X148" s="52"/>
      <c r="Y148" s="52"/>
      <c r="Z148" s="53"/>
      <c r="AA148" s="59"/>
      <c r="AB148" s="59"/>
      <c r="AC148" s="52"/>
      <c r="AD148" s="52"/>
      <c r="AE148" s="60"/>
      <c r="AF148" s="54" t="str">
        <f aca="false">IF($A148="","",16_能力商機矩陣_CapOppMap!$CQ148)</f>
        <v/>
      </c>
    </row>
    <row r="149" customFormat="false" ht="25.5" hidden="false" customHeight="true" outlineLevel="0" collapsed="false">
      <c r="A149" s="59"/>
      <c r="B149" s="59"/>
      <c r="C149" s="59"/>
      <c r="D149" s="59"/>
      <c r="E149" s="95"/>
      <c r="F149" s="95"/>
      <c r="G149" s="95"/>
      <c r="H149" s="60"/>
      <c r="I149" s="59"/>
      <c r="J149" s="52"/>
      <c r="K149" s="52"/>
      <c r="L149" s="52"/>
      <c r="M149" s="60"/>
      <c r="N149" s="59"/>
      <c r="O149" s="59"/>
      <c r="P149" s="59"/>
      <c r="Q149" s="55" t="str">
        <f aca="false">IF($A149="","",ROUND(N149*02_情境權重_Scenario!$C$21+O149*02_情境權重_Scenario!$C$22+P149*02_情境權重_Scenario!$C$23,1))</f>
        <v/>
      </c>
      <c r="R149" s="59"/>
      <c r="S149" s="59"/>
      <c r="T149" s="59"/>
      <c r="U149" s="55" t="str">
        <f aca="false">IF($A149="","",ROUND(R149*02_情境權重_Scenario!$C$27+S149*02_情境權重_Scenario!$C$28+T149*02_情境權重_Scenario!$C$29,1))</f>
        <v/>
      </c>
      <c r="V149" s="60"/>
      <c r="W149" s="261" t="str">
        <f aca="false">IF($A149="","",IF(OR(M149="未通過",V149="極高"),"暫緩 Hold",IF(AND(Q149&gt;=3.5,U149&gt;=3),"立即推進 Go",IF(Q149&gt;=3.5,"先補條件 Prepare",IF(U149&gt;=3,"快速小案 Quick-win","儲備觀察 Backlog")))))</f>
        <v/>
      </c>
      <c r="X149" s="52"/>
      <c r="Y149" s="52"/>
      <c r="Z149" s="53"/>
      <c r="AA149" s="59"/>
      <c r="AB149" s="59"/>
      <c r="AC149" s="52"/>
      <c r="AD149" s="52"/>
      <c r="AE149" s="60"/>
      <c r="AF149" s="54" t="str">
        <f aca="false">IF($A149="","",16_能力商機矩陣_CapOppMap!$CQ149)</f>
        <v/>
      </c>
    </row>
    <row r="150" customFormat="false" ht="25.5" hidden="false" customHeight="true" outlineLevel="0" collapsed="false">
      <c r="A150" s="59"/>
      <c r="B150" s="59"/>
      <c r="C150" s="59"/>
      <c r="D150" s="59"/>
      <c r="E150" s="95"/>
      <c r="F150" s="95"/>
      <c r="G150" s="95"/>
      <c r="H150" s="60"/>
      <c r="I150" s="59"/>
      <c r="J150" s="52"/>
      <c r="K150" s="52"/>
      <c r="L150" s="52"/>
      <c r="M150" s="60"/>
      <c r="N150" s="59"/>
      <c r="O150" s="59"/>
      <c r="P150" s="59"/>
      <c r="Q150" s="55" t="str">
        <f aca="false">IF($A150="","",ROUND(N150*02_情境權重_Scenario!$C$21+O150*02_情境權重_Scenario!$C$22+P150*02_情境權重_Scenario!$C$23,1))</f>
        <v/>
      </c>
      <c r="R150" s="59"/>
      <c r="S150" s="59"/>
      <c r="T150" s="59"/>
      <c r="U150" s="55" t="str">
        <f aca="false">IF($A150="","",ROUND(R150*02_情境權重_Scenario!$C$27+S150*02_情境權重_Scenario!$C$28+T150*02_情境權重_Scenario!$C$29,1))</f>
        <v/>
      </c>
      <c r="V150" s="60"/>
      <c r="W150" s="261" t="str">
        <f aca="false">IF($A150="","",IF(OR(M150="未通過",V150="極高"),"暫緩 Hold",IF(AND(Q150&gt;=3.5,U150&gt;=3),"立即推進 Go",IF(Q150&gt;=3.5,"先補條件 Prepare",IF(U150&gt;=3,"快速小案 Quick-win","儲備觀察 Backlog")))))</f>
        <v/>
      </c>
      <c r="X150" s="52"/>
      <c r="Y150" s="52"/>
      <c r="Z150" s="53"/>
      <c r="AA150" s="59"/>
      <c r="AB150" s="59"/>
      <c r="AC150" s="52"/>
      <c r="AD150" s="52"/>
      <c r="AE150" s="60"/>
      <c r="AF150" s="54" t="str">
        <f aca="false">IF($A150="","",16_能力商機矩陣_CapOppMap!$CQ150)</f>
        <v/>
      </c>
    </row>
    <row r="151" customFormat="false" ht="25.5" hidden="false" customHeight="true" outlineLevel="0" collapsed="false">
      <c r="A151" s="59"/>
      <c r="B151" s="59"/>
      <c r="C151" s="59"/>
      <c r="D151" s="59"/>
      <c r="E151" s="95"/>
      <c r="F151" s="95"/>
      <c r="G151" s="95"/>
      <c r="H151" s="60"/>
      <c r="I151" s="59"/>
      <c r="J151" s="52"/>
      <c r="K151" s="52"/>
      <c r="L151" s="52"/>
      <c r="M151" s="60"/>
      <c r="N151" s="59"/>
      <c r="O151" s="59"/>
      <c r="P151" s="59"/>
      <c r="Q151" s="55" t="str">
        <f aca="false">IF($A151="","",ROUND(N151*02_情境權重_Scenario!$C$21+O151*02_情境權重_Scenario!$C$22+P151*02_情境權重_Scenario!$C$23,1))</f>
        <v/>
      </c>
      <c r="R151" s="59"/>
      <c r="S151" s="59"/>
      <c r="T151" s="59"/>
      <c r="U151" s="55" t="str">
        <f aca="false">IF($A151="","",ROUND(R151*02_情境權重_Scenario!$C$27+S151*02_情境權重_Scenario!$C$28+T151*02_情境權重_Scenario!$C$29,1))</f>
        <v/>
      </c>
      <c r="V151" s="60"/>
      <c r="W151" s="261" t="str">
        <f aca="false">IF($A151="","",IF(OR(M151="未通過",V151="極高"),"暫緩 Hold",IF(AND(Q151&gt;=3.5,U151&gt;=3),"立即推進 Go",IF(Q151&gt;=3.5,"先補條件 Prepare",IF(U151&gt;=3,"快速小案 Quick-win","儲備觀察 Backlog")))))</f>
        <v/>
      </c>
      <c r="X151" s="52"/>
      <c r="Y151" s="52"/>
      <c r="Z151" s="53"/>
      <c r="AA151" s="59"/>
      <c r="AB151" s="59"/>
      <c r="AC151" s="52"/>
      <c r="AD151" s="52"/>
      <c r="AE151" s="60"/>
      <c r="AF151" s="54" t="str">
        <f aca="false">IF($A151="","",16_能力商機矩陣_CapOppMap!$CQ151)</f>
        <v/>
      </c>
    </row>
    <row r="152" customFormat="false" ht="25.5" hidden="false" customHeight="true" outlineLevel="0" collapsed="false">
      <c r="A152" s="59"/>
      <c r="B152" s="59"/>
      <c r="C152" s="59"/>
      <c r="D152" s="59"/>
      <c r="E152" s="95"/>
      <c r="F152" s="95"/>
      <c r="G152" s="95"/>
      <c r="H152" s="60"/>
      <c r="I152" s="59"/>
      <c r="J152" s="52"/>
      <c r="K152" s="52"/>
      <c r="L152" s="52"/>
      <c r="M152" s="60"/>
      <c r="N152" s="59"/>
      <c r="O152" s="59"/>
      <c r="P152" s="59"/>
      <c r="Q152" s="55" t="str">
        <f aca="false">IF($A152="","",ROUND(N152*02_情境權重_Scenario!$C$21+O152*02_情境權重_Scenario!$C$22+P152*02_情境權重_Scenario!$C$23,1))</f>
        <v/>
      </c>
      <c r="R152" s="59"/>
      <c r="S152" s="59"/>
      <c r="T152" s="59"/>
      <c r="U152" s="55" t="str">
        <f aca="false">IF($A152="","",ROUND(R152*02_情境權重_Scenario!$C$27+S152*02_情境權重_Scenario!$C$28+T152*02_情境權重_Scenario!$C$29,1))</f>
        <v/>
      </c>
      <c r="V152" s="60"/>
      <c r="W152" s="261" t="str">
        <f aca="false">IF($A152="","",IF(OR(M152="未通過",V152="極高"),"暫緩 Hold",IF(AND(Q152&gt;=3.5,U152&gt;=3),"立即推進 Go",IF(Q152&gt;=3.5,"先補條件 Prepare",IF(U152&gt;=3,"快速小案 Quick-win","儲備觀察 Backlog")))))</f>
        <v/>
      </c>
      <c r="X152" s="52"/>
      <c r="Y152" s="52"/>
      <c r="Z152" s="53"/>
      <c r="AA152" s="59"/>
      <c r="AB152" s="59"/>
      <c r="AC152" s="52"/>
      <c r="AD152" s="52"/>
      <c r="AE152" s="60"/>
      <c r="AF152" s="54" t="str">
        <f aca="false">IF($A152="","",16_能力商機矩陣_CapOppMap!$CQ152)</f>
        <v/>
      </c>
    </row>
    <row r="153" customFormat="false" ht="25.5" hidden="false" customHeight="true" outlineLevel="0" collapsed="false">
      <c r="A153" s="59"/>
      <c r="B153" s="59"/>
      <c r="C153" s="59"/>
      <c r="D153" s="59"/>
      <c r="E153" s="95"/>
      <c r="F153" s="95"/>
      <c r="G153" s="95"/>
      <c r="H153" s="60"/>
      <c r="I153" s="59"/>
      <c r="J153" s="52"/>
      <c r="K153" s="52"/>
      <c r="L153" s="52"/>
      <c r="M153" s="60"/>
      <c r="N153" s="59"/>
      <c r="O153" s="59"/>
      <c r="P153" s="59"/>
      <c r="Q153" s="55" t="str">
        <f aca="false">IF($A153="","",ROUND(N153*02_情境權重_Scenario!$C$21+O153*02_情境權重_Scenario!$C$22+P153*02_情境權重_Scenario!$C$23,1))</f>
        <v/>
      </c>
      <c r="R153" s="59"/>
      <c r="S153" s="59"/>
      <c r="T153" s="59"/>
      <c r="U153" s="55" t="str">
        <f aca="false">IF($A153="","",ROUND(R153*02_情境權重_Scenario!$C$27+S153*02_情境權重_Scenario!$C$28+T153*02_情境權重_Scenario!$C$29,1))</f>
        <v/>
      </c>
      <c r="V153" s="60"/>
      <c r="W153" s="261" t="str">
        <f aca="false">IF($A153="","",IF(OR(M153="未通過",V153="極高"),"暫緩 Hold",IF(AND(Q153&gt;=3.5,U153&gt;=3),"立即推進 Go",IF(Q153&gt;=3.5,"先補條件 Prepare",IF(U153&gt;=3,"快速小案 Quick-win","儲備觀察 Backlog")))))</f>
        <v/>
      </c>
      <c r="X153" s="52"/>
      <c r="Y153" s="52"/>
      <c r="Z153" s="53"/>
      <c r="AA153" s="59"/>
      <c r="AB153" s="59"/>
      <c r="AC153" s="52"/>
      <c r="AD153" s="52"/>
      <c r="AE153" s="60"/>
      <c r="AF153" s="54" t="str">
        <f aca="false">IF($A153="","",16_能力商機矩陣_CapOppMap!$CQ153)</f>
        <v/>
      </c>
    </row>
    <row r="154" customFormat="false" ht="25.5" hidden="false" customHeight="true" outlineLevel="0" collapsed="false">
      <c r="A154" s="59"/>
      <c r="B154" s="59"/>
      <c r="C154" s="59"/>
      <c r="D154" s="59"/>
      <c r="E154" s="95"/>
      <c r="F154" s="95"/>
      <c r="G154" s="95"/>
      <c r="H154" s="60"/>
      <c r="I154" s="59"/>
      <c r="J154" s="52"/>
      <c r="K154" s="52"/>
      <c r="L154" s="52"/>
      <c r="M154" s="60"/>
      <c r="N154" s="59"/>
      <c r="O154" s="59"/>
      <c r="P154" s="59"/>
      <c r="Q154" s="55" t="str">
        <f aca="false">IF($A154="","",ROUND(N154*02_情境權重_Scenario!$C$21+O154*02_情境權重_Scenario!$C$22+P154*02_情境權重_Scenario!$C$23,1))</f>
        <v/>
      </c>
      <c r="R154" s="59"/>
      <c r="S154" s="59"/>
      <c r="T154" s="59"/>
      <c r="U154" s="55" t="str">
        <f aca="false">IF($A154="","",ROUND(R154*02_情境權重_Scenario!$C$27+S154*02_情境權重_Scenario!$C$28+T154*02_情境權重_Scenario!$C$29,1))</f>
        <v/>
      </c>
      <c r="V154" s="60"/>
      <c r="W154" s="261" t="str">
        <f aca="false">IF($A154="","",IF(OR(M154="未通過",V154="極高"),"暫緩 Hold",IF(AND(Q154&gt;=3.5,U154&gt;=3),"立即推進 Go",IF(Q154&gt;=3.5,"先補條件 Prepare",IF(U154&gt;=3,"快速小案 Quick-win","儲備觀察 Backlog")))))</f>
        <v/>
      </c>
      <c r="X154" s="52"/>
      <c r="Y154" s="52"/>
      <c r="Z154" s="53"/>
      <c r="AA154" s="59"/>
      <c r="AB154" s="59"/>
      <c r="AC154" s="52"/>
      <c r="AD154" s="52"/>
      <c r="AE154" s="60"/>
      <c r="AF154" s="54" t="str">
        <f aca="false">IF($A154="","",16_能力商機矩陣_CapOppMap!$CQ154)</f>
        <v/>
      </c>
    </row>
  </sheetData>
  <sheetProtection sheet="true" formatColumns="false" formatRows="false" autoFilter="false"/>
  <autoFilter ref="A4:AJ154"/>
  <mergeCells count="2">
    <mergeCell ref="A1:AA1"/>
    <mergeCell ref="A2:AA2"/>
  </mergeCells>
  <conditionalFormatting sqref="H5:H154">
    <cfRule type="expression" priority="2" aboveAverage="0" equalAverage="0" bottom="0" percent="0" rank="0" text="" dxfId="36">
      <formula>ISNUMBER(SEARCH("群晶",H5))</formula>
    </cfRule>
    <cfRule type="expression" priority="3" aboveAverage="0" equalAverage="0" bottom="0" percent="0" rank="0" text="" dxfId="35">
      <formula>ISNUMBER(SEARCH("已確認",H5))</formula>
    </cfRule>
    <cfRule type="expression" priority="4" aboveAverage="0" equalAverage="0" bottom="0" percent="0" rank="0" text="" dxfId="33">
      <formula>ISNUMBER(SEARCH("洽談",H5))</formula>
    </cfRule>
    <cfRule type="expression" priority="5" aboveAverage="0" equalAverage="0" bottom="0" percent="0" rank="0" text="" dxfId="32">
      <formula>ISNUMBER(SEARCH("缺口",H5))</formula>
    </cfRule>
  </conditionalFormatting>
  <conditionalFormatting sqref="W5:W154">
    <cfRule type="expression" priority="6" aboveAverage="0" equalAverage="0" bottom="0" percent="0" rank="0" text="" dxfId="35">
      <formula>ISNUMBER(SEARCH("Go",W5))</formula>
    </cfRule>
    <cfRule type="expression" priority="7" aboveAverage="0" equalAverage="0" bottom="0" percent="0" rank="0" text="" dxfId="33">
      <formula>ISNUMBER(SEARCH("Prepare",W5))</formula>
    </cfRule>
    <cfRule type="expression" priority="8" aboveAverage="0" equalAverage="0" bottom="0" percent="0" rank="0" text="" dxfId="46">
      <formula>ISNUMBER(SEARCH("Quick",W5))</formula>
    </cfRule>
    <cfRule type="expression" priority="9" aboveAverage="0" equalAverage="0" bottom="0" percent="0" rank="0" text="" dxfId="34">
      <formula>ISNUMBER(SEARCH("Backlog",W5))</formula>
    </cfRule>
    <cfRule type="expression" priority="10" aboveAverage="0" equalAverage="0" bottom="0" percent="0" rank="0" text="" dxfId="32">
      <formula>ISNUMBER(SEARCH("Hold",W5))</formula>
    </cfRule>
  </conditionalFormatting>
  <conditionalFormatting sqref="V5:V154">
    <cfRule type="expression" priority="11" aboveAverage="0" equalAverage="0" bottom="0" percent="0" rank="0" text="" dxfId="32">
      <formula>ISNUMBER(SEARCH("極高",V5))</formula>
    </cfRule>
    <cfRule type="expression" priority="12" aboveAverage="0" equalAverage="0" bottom="0" percent="0" rank="0" text="" dxfId="33">
      <formula>ISNUMBER(SEARCH("高",V5))</formula>
    </cfRule>
  </conditionalFormatting>
  <conditionalFormatting sqref="AE5:AE154">
    <cfRule type="expression" priority="13" aboveAverage="0" equalAverage="0" bottom="0" percent="0" rank="0" text="" dxfId="32">
      <formula>AND(ISNUMBER(SEARCH("Go",$W5)),ISNUMBER(SEARCH("推測",AE5)))</formula>
    </cfRule>
    <cfRule type="expression" priority="14" aboveAverage="0" equalAverage="0" bottom="0" percent="0" rank="0" text="" dxfId="69">
      <formula>ISNUMBER(SEARCH("推測",AE5))</formula>
    </cfRule>
    <cfRule type="expression" priority="15" aboveAverage="0" equalAverage="0" bottom="0" percent="0" rank="0" text="" dxfId="33">
      <formula>ISNUMBER(SEARCH("訪談確認",AE5))</formula>
    </cfRule>
    <cfRule type="expression" priority="16" aboveAverage="0" equalAverage="0" bottom="0" percent="0" rank="0" text="" dxfId="46">
      <formula>ISNUMBER(SEARCH("文件佐證",AE5))</formula>
    </cfRule>
    <cfRule type="expression" priority="17" aboveAverage="0" equalAverage="0" bottom="0" percent="0" rank="0" text="" dxfId="35">
      <formula>ISNUMBER(SEARCH("正式核准",AE5))</formula>
    </cfRule>
  </conditionalFormatting>
  <conditionalFormatting sqref="AB5:AB154">
    <cfRule type="expression" priority="18" aboveAverage="0" equalAverage="0" bottom="0" percent="0" rank="0" text="" dxfId="69">
      <formula>ISNUMBER(SEARCH("概念",AB5))</formula>
    </cfRule>
    <cfRule type="expression" priority="19" aboveAverage="0" equalAverage="0" bottom="0" percent="0" rank="0" text="" dxfId="33">
      <formula>ISNUMBER(SEARCH("已驗證",AB5))</formula>
    </cfRule>
    <cfRule type="expression" priority="20" aboveAverage="0" equalAverage="0" bottom="0" percent="0" rank="0" text="" dxfId="46">
      <formula>ISNUMBER(SEARCH("可部署",AB5))</formula>
    </cfRule>
    <cfRule type="expression" priority="21" aboveAverage="0" equalAverage="0" bottom="0" percent="0" rank="0" text="" dxfId="35">
      <formula>ISNUMBER(SEARCH("規模化",AB5))</formula>
    </cfRule>
  </conditionalFormatting>
  <conditionalFormatting sqref="Q5:Q154">
    <cfRule type="colorScale" priority="22">
      <colorScale>
        <cfvo type="num" val="1"/>
        <cfvo type="num" val="3"/>
        <cfvo type="num" val="5"/>
        <color rgb="FFF8CBAD"/>
        <color rgb="FFFFE699"/>
        <color rgb="FFC6E0B4"/>
      </colorScale>
    </cfRule>
  </conditionalFormatting>
  <conditionalFormatting sqref="U5:U154">
    <cfRule type="colorScale" priority="23">
      <colorScale>
        <cfvo type="num" val="1"/>
        <cfvo type="num" val="3"/>
        <cfvo type="num" val="5"/>
        <color rgb="FFF8CBAD"/>
        <color rgb="FFFFE699"/>
        <color rgb="FFC6E0B4"/>
      </colorScale>
    </cfRule>
  </conditionalFormatting>
  <dataValidations count="15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B5:B154" type="list">
      <formula1>L_Domain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C5:C154" type="list">
      <formula1>L_Stage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D5:D154" type="list">
      <formula1>L_Biz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H5:H154" type="list">
      <formula1>L_Puzzle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I5:I154" type="list">
      <formula1>L_Lead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J5:J154" type="list">
      <formula1>L_Partner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M5:M154" type="list">
      <formula1>L_Gate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N5:P154" type="list">
      <formula1>L_S05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R5:T154" type="list">
      <formula1>L_S05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V5:V154" type="list">
      <formula1>L_Risk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Z5:Z154" type="list">
      <formula1>L_Evi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AB5:AB154" type="list">
      <formula1>L_Maturity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AE5:AE154" type="list">
      <formula1>L_EvidMat</formula1>
      <formula2>0</formula2>
    </dataValidation>
    <dataValidation allowBlank="true" errorStyle="stop" operator="between" prompt="下拉是已知的建議清單，方便快速選取；若清單裡沒有你要的，直接打字輸入即可，不會被擋下。" promptTitle="建議選項（可自行輸入）" showDropDown="false" showErrorMessage="false" showInputMessage="true" sqref="AC5:AC154" type="list">
      <formula1>L_KPI</formula1>
      <formula2>0</formula2>
    </dataValidation>
    <dataValidation allowBlank="true" errorStyle="stop" operator="between" prompt="下拉是已知的建議清單，方便快速選取；若清單裡沒有你要的，直接打字輸入即可，不會被擋下。" promptTitle="建議選項（可自行輸入）" showDropDown="false" showErrorMessage="false" showInputMessage="true" sqref="AD5:AD154" type="list">
      <formula1>L_SysDep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7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26"/>
    <col collapsed="false" customWidth="true" hidden="false" outlineLevel="0" max="8" min="8" style="0" width="9"/>
    <col collapsed="false" customWidth="true" hidden="false" outlineLevel="0" max="15" min="9" style="0" width="5"/>
    <col collapsed="false" customWidth="true" hidden="false" outlineLevel="0" max="16" min="16" style="0" width="7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19" min="19" style="0" width="30"/>
    <col collapsed="false" customWidth="true" hidden="false" outlineLevel="0" max="20" min="20" style="0" width="24"/>
    <col collapsed="false" customWidth="true" hidden="false" outlineLevel="0" max="30" min="21" style="0" width="4.6"/>
    <col collapsed="false" customWidth="true" hidden="true" outlineLevel="0" max="31" min="31" style="0" width="10"/>
  </cols>
  <sheetData>
    <row r="1" customFormat="false" ht="30" hidden="false" customHeight="true" outlineLevel="0" collapsed="false">
      <c r="A1" s="1" t="s">
        <v>1956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5.5" hidden="false" customHeight="true" outlineLevel="0" collapsed="false">
      <c r="A2" s="4" t="s">
        <v>1957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customFormat="false" ht="15" hidden="false" customHeight="false" outlineLevel="0" collapsed="false">
      <c r="A3" s="5" t="s">
        <v>946</v>
      </c>
    </row>
    <row r="4" customFormat="false" ht="30" hidden="false" customHeight="true" outlineLevel="0" collapsed="false">
      <c r="A4" s="36" t="s">
        <v>1958</v>
      </c>
      <c r="B4" s="36" t="s">
        <v>1959</v>
      </c>
      <c r="C4" s="220" t="s">
        <v>1960</v>
      </c>
      <c r="D4" s="36" t="s">
        <v>1961</v>
      </c>
      <c r="E4" s="36" t="s">
        <v>1962</v>
      </c>
      <c r="F4" s="36" t="s">
        <v>1963</v>
      </c>
      <c r="G4" s="36" t="s">
        <v>1964</v>
      </c>
      <c r="H4" s="36" t="s">
        <v>1965</v>
      </c>
      <c r="I4" s="36" t="s">
        <v>1966</v>
      </c>
      <c r="J4" s="36" t="s">
        <v>1967</v>
      </c>
      <c r="K4" s="36" t="s">
        <v>1968</v>
      </c>
      <c r="L4" s="36" t="s">
        <v>1969</v>
      </c>
      <c r="M4" s="36" t="s">
        <v>1970</v>
      </c>
      <c r="N4" s="36" t="s">
        <v>1971</v>
      </c>
      <c r="O4" s="36" t="s">
        <v>1972</v>
      </c>
      <c r="P4" s="36" t="s">
        <v>1973</v>
      </c>
      <c r="Q4" s="36" t="s">
        <v>1974</v>
      </c>
      <c r="R4" s="36" t="s">
        <v>1975</v>
      </c>
      <c r="S4" s="36" t="s">
        <v>1268</v>
      </c>
      <c r="T4" s="36" t="s">
        <v>1976</v>
      </c>
      <c r="U4" s="220" t="s">
        <v>1977</v>
      </c>
      <c r="V4" s="220" t="s">
        <v>1978</v>
      </c>
      <c r="W4" s="220" t="s">
        <v>1979</v>
      </c>
      <c r="X4" s="220" t="s">
        <v>1980</v>
      </c>
      <c r="Y4" s="220" t="s">
        <v>1981</v>
      </c>
      <c r="Z4" s="220" t="s">
        <v>1982</v>
      </c>
      <c r="AA4" s="220" t="s">
        <v>1983</v>
      </c>
      <c r="AB4" s="220" t="s">
        <v>1984</v>
      </c>
      <c r="AC4" s="220" t="s">
        <v>1985</v>
      </c>
      <c r="AD4" s="220" t="s">
        <v>1986</v>
      </c>
      <c r="AE4" s="220" t="s">
        <v>1987</v>
      </c>
    </row>
    <row r="5" customFormat="false" ht="30" hidden="false" customHeight="true" outlineLevel="0" collapsed="false">
      <c r="A5" s="93" t="s">
        <v>1988</v>
      </c>
      <c r="B5" s="107" t="s">
        <v>1989</v>
      </c>
      <c r="C5" s="95" t="s">
        <v>1990</v>
      </c>
      <c r="D5" s="260" t="s">
        <v>1991</v>
      </c>
      <c r="E5" s="260" t="s">
        <v>1992</v>
      </c>
      <c r="F5" s="95" t="str">
        <f aca="false">IF($AE5="","",LEFT($AE5,LEN($AE5)-2))</f>
        <v>D01; D04; D09</v>
      </c>
      <c r="G5" s="95" t="s">
        <v>1993</v>
      </c>
      <c r="H5" s="260" t="s">
        <v>1994</v>
      </c>
      <c r="I5" s="59" t="n">
        <v>3</v>
      </c>
      <c r="J5" s="59" t="n">
        <v>3</v>
      </c>
      <c r="K5" s="59" t="n">
        <v>4</v>
      </c>
      <c r="L5" s="59" t="n">
        <v>3</v>
      </c>
      <c r="M5" s="59" t="n">
        <v>2</v>
      </c>
      <c r="N5" s="59" t="n">
        <v>4</v>
      </c>
      <c r="O5" s="59" t="n">
        <v>3</v>
      </c>
      <c r="P5" s="262" t="n">
        <f aca="false">ROUND(AVERAGE(I5:O5),1)</f>
        <v>3.1</v>
      </c>
      <c r="Q5" s="59" t="s">
        <v>1995</v>
      </c>
      <c r="R5" s="59" t="s">
        <v>1996</v>
      </c>
      <c r="S5" s="52" t="s">
        <v>1997</v>
      </c>
      <c r="T5" s="54" t="str">
        <f aca="false">IF($B5="","",$A5&amp;" "&amp;$B5)</f>
        <v>P-001 群晶科技</v>
      </c>
      <c r="U5" s="263" t="s">
        <v>1305</v>
      </c>
      <c r="V5" s="263"/>
      <c r="W5" s="263"/>
      <c r="X5" s="263" t="s">
        <v>1305</v>
      </c>
      <c r="Y5" s="263"/>
      <c r="Z5" s="263"/>
      <c r="AA5" s="263"/>
      <c r="AB5" s="263"/>
      <c r="AC5" s="263" t="s">
        <v>1305</v>
      </c>
      <c r="AD5" s="263"/>
      <c r="AE5" s="264" t="str">
        <f aca="false">IF($U5="✓","D01; ","")&amp;IF($V5="✓","D02; ","")&amp;IF($W5="✓","D03; ","")&amp;IF($X5="✓","D04; ","")&amp;IF($Y5="✓","D05; ","")&amp;IF($Z5="✓","D06; ","")&amp;IF($AA5="✓","D07; ","")&amp;IF($AB5="✓","D08; ","")&amp;IF($AC5="✓","D09; ","")&amp;IF($AD5="✓","D10; ","")</f>
        <v>D01; D04; D09; </v>
      </c>
    </row>
    <row r="6" customFormat="false" ht="30" hidden="false" customHeight="true" outlineLevel="0" collapsed="false">
      <c r="A6" s="93" t="s">
        <v>1998</v>
      </c>
      <c r="B6" s="107" t="s">
        <v>1999</v>
      </c>
      <c r="C6" s="95" t="s">
        <v>2000</v>
      </c>
      <c r="D6" s="260" t="s">
        <v>2001</v>
      </c>
      <c r="E6" s="260" t="s">
        <v>2002</v>
      </c>
      <c r="F6" s="95" t="str">
        <f aca="false">IF($AE6="","",LEFT($AE6,LEN($AE6)-2))</f>
        <v>D01; D10</v>
      </c>
      <c r="G6" s="95" t="s">
        <v>2003</v>
      </c>
      <c r="H6" s="260" t="s">
        <v>2004</v>
      </c>
      <c r="I6" s="59" t="n">
        <v>3</v>
      </c>
      <c r="J6" s="59" t="n">
        <v>2</v>
      </c>
      <c r="K6" s="59" t="n">
        <v>2</v>
      </c>
      <c r="L6" s="59" t="n">
        <v>2</v>
      </c>
      <c r="M6" s="59" t="n">
        <v>3</v>
      </c>
      <c r="N6" s="59" t="n">
        <v>2</v>
      </c>
      <c r="O6" s="59" t="n">
        <v>5</v>
      </c>
      <c r="P6" s="262" t="n">
        <f aca="false">ROUND(AVERAGE(I6:O6),1)</f>
        <v>2.7</v>
      </c>
      <c r="Q6" s="59" t="s">
        <v>2005</v>
      </c>
      <c r="R6" s="59" t="s">
        <v>2006</v>
      </c>
      <c r="S6" s="52" t="s">
        <v>2007</v>
      </c>
      <c r="T6" s="54" t="str">
        <f aca="false">IF($B6="","",$A6&amp;" "&amp;$B6)</f>
        <v>P-002 越南政府贊助單位</v>
      </c>
      <c r="U6" s="263" t="s">
        <v>1305</v>
      </c>
      <c r="V6" s="263"/>
      <c r="W6" s="263"/>
      <c r="X6" s="263"/>
      <c r="Y6" s="263"/>
      <c r="Z6" s="263"/>
      <c r="AA6" s="263"/>
      <c r="AB6" s="263"/>
      <c r="AC6" s="263"/>
      <c r="AD6" s="263" t="s">
        <v>1305</v>
      </c>
      <c r="AE6" s="264" t="str">
        <f aca="false">IF($U6="✓","D01; ","")&amp;IF($V6="✓","D02; ","")&amp;IF($W6="✓","D03; ","")&amp;IF($X6="✓","D04; ","")&amp;IF($Y6="✓","D05; ","")&amp;IF($Z6="✓","D06; ","")&amp;IF($AA6="✓","D07; ","")&amp;IF($AB6="✓","D08; ","")&amp;IF($AC6="✓","D09; ","")&amp;IF($AD6="✓","D10; ","")</f>
        <v>D01; D10; </v>
      </c>
    </row>
    <row r="7" customFormat="false" ht="30" hidden="false" customHeight="true" outlineLevel="0" collapsed="false">
      <c r="A7" s="93" t="s">
        <v>2008</v>
      </c>
      <c r="B7" s="107" t="s">
        <v>2009</v>
      </c>
      <c r="C7" s="95" t="s">
        <v>2010</v>
      </c>
      <c r="D7" s="260" t="s">
        <v>2011</v>
      </c>
      <c r="E7" s="260" t="s">
        <v>2002</v>
      </c>
      <c r="F7" s="95" t="str">
        <f aca="false">IF($AE7="","",LEFT($AE7,LEN($AE7)-2))</f>
        <v>D02; D07; D08; D10</v>
      </c>
      <c r="G7" s="95" t="s">
        <v>2012</v>
      </c>
      <c r="H7" s="260" t="s">
        <v>1994</v>
      </c>
      <c r="I7" s="59" t="n">
        <v>1</v>
      </c>
      <c r="J7" s="59" t="n">
        <v>3</v>
      </c>
      <c r="K7" s="59" t="n">
        <v>2</v>
      </c>
      <c r="L7" s="59" t="n">
        <v>5</v>
      </c>
      <c r="M7" s="59" t="n">
        <v>2</v>
      </c>
      <c r="N7" s="59" t="n">
        <v>3</v>
      </c>
      <c r="O7" s="59" t="n">
        <v>5</v>
      </c>
      <c r="P7" s="262" t="n">
        <f aca="false">ROUND(AVERAGE(I7:O7),1)</f>
        <v>3</v>
      </c>
      <c r="Q7" s="59" t="s">
        <v>2005</v>
      </c>
      <c r="R7" s="59" t="s">
        <v>1996</v>
      </c>
      <c r="S7" s="52" t="s">
        <v>2013</v>
      </c>
      <c r="T7" s="54" t="str">
        <f aca="false">IF($B7="","",$A7&amp;" "&amp;$B7)</f>
        <v>P-003 越南在地醫院營運者</v>
      </c>
      <c r="U7" s="263"/>
      <c r="V7" s="263" t="s">
        <v>1305</v>
      </c>
      <c r="W7" s="263"/>
      <c r="X7" s="263"/>
      <c r="Y7" s="263"/>
      <c r="Z7" s="263"/>
      <c r="AA7" s="263" t="s">
        <v>1305</v>
      </c>
      <c r="AB7" s="263" t="s">
        <v>1305</v>
      </c>
      <c r="AC7" s="263"/>
      <c r="AD7" s="263" t="s">
        <v>1305</v>
      </c>
      <c r="AE7" s="264" t="str">
        <f aca="false">IF($U7="✓","D01; ","")&amp;IF($V7="✓","D02; ","")&amp;IF($W7="✓","D03; ","")&amp;IF($X7="✓","D04; ","")&amp;IF($Y7="✓","D05; ","")&amp;IF($Z7="✓","D06; ","")&amp;IF($AA7="✓","D07; ","")&amp;IF($AB7="✓","D08; ","")&amp;IF($AC7="✓","D09; ","")&amp;IF($AD7="✓","D10; ","")</f>
        <v>D02; D07; D08; D10; </v>
      </c>
    </row>
    <row r="8" customFormat="false" ht="30" hidden="false" customHeight="true" outlineLevel="0" collapsed="false">
      <c r="A8" s="93" t="s">
        <v>2014</v>
      </c>
      <c r="B8" s="107" t="s">
        <v>2015</v>
      </c>
      <c r="C8" s="95" t="s">
        <v>2016</v>
      </c>
      <c r="D8" s="260" t="s">
        <v>2017</v>
      </c>
      <c r="E8" s="260" t="s">
        <v>1992</v>
      </c>
      <c r="F8" s="95" t="str">
        <f aca="false">IF($AE8="","",LEFT($AE8,LEN($AE8)-2))</f>
        <v>D02; D07; D08</v>
      </c>
      <c r="G8" s="95" t="s">
        <v>2018</v>
      </c>
      <c r="H8" s="260" t="s">
        <v>2019</v>
      </c>
      <c r="I8" s="59" t="n">
        <v>2</v>
      </c>
      <c r="J8" s="59" t="n">
        <v>5</v>
      </c>
      <c r="K8" s="59" t="n">
        <v>2</v>
      </c>
      <c r="L8" s="59" t="n">
        <v>3</v>
      </c>
      <c r="M8" s="59" t="n">
        <v>1</v>
      </c>
      <c r="N8" s="59" t="n">
        <v>4</v>
      </c>
      <c r="O8" s="59" t="n">
        <v>4</v>
      </c>
      <c r="P8" s="262" t="n">
        <f aca="false">ROUND(AVERAGE(I8:O8),1)</f>
        <v>3</v>
      </c>
      <c r="Q8" s="59" t="s">
        <v>2005</v>
      </c>
      <c r="R8" s="59" t="s">
        <v>1996</v>
      </c>
      <c r="S8" s="52" t="s">
        <v>2020</v>
      </c>
      <c r="T8" s="54" t="str">
        <f aca="false">IF($B8="","",$A8&amp;" "&amp;$B8)</f>
        <v>P-004 台灣參考醫院</v>
      </c>
      <c r="U8" s="263"/>
      <c r="V8" s="263" t="s">
        <v>1305</v>
      </c>
      <c r="W8" s="263"/>
      <c r="X8" s="263"/>
      <c r="Y8" s="263"/>
      <c r="Z8" s="263"/>
      <c r="AA8" s="263" t="s">
        <v>1305</v>
      </c>
      <c r="AB8" s="263" t="s">
        <v>1305</v>
      </c>
      <c r="AC8" s="263"/>
      <c r="AD8" s="263"/>
      <c r="AE8" s="264" t="str">
        <f aca="false">IF($U8="✓","D01; ","")&amp;IF($V8="✓","D02; ","")&amp;IF($W8="✓","D03; ","")&amp;IF($X8="✓","D04; ","")&amp;IF($Y8="✓","D05; ","")&amp;IF($Z8="✓","D06; ","")&amp;IF($AA8="✓","D07; ","")&amp;IF($AB8="✓","D08; ","")&amp;IF($AC8="✓","D09; ","")&amp;IF($AD8="✓","D10; ","")</f>
        <v>D02; D07; D08; </v>
      </c>
    </row>
    <row r="9" customFormat="false" ht="30" hidden="false" customHeight="true" outlineLevel="0" collapsed="false">
      <c r="A9" s="93" t="s">
        <v>2021</v>
      </c>
      <c r="B9" s="107" t="s">
        <v>2022</v>
      </c>
      <c r="C9" s="95" t="s">
        <v>2023</v>
      </c>
      <c r="D9" s="260" t="s">
        <v>2024</v>
      </c>
      <c r="E9" s="260" t="s">
        <v>2025</v>
      </c>
      <c r="F9" s="95" t="str">
        <f aca="false">IF($AE9="","",LEFT($AE9,LEN($AE9)-2))</f>
        <v>D02; D03</v>
      </c>
      <c r="G9" s="95" t="s">
        <v>2026</v>
      </c>
      <c r="H9" s="260" t="s">
        <v>1994</v>
      </c>
      <c r="I9" s="59" t="n">
        <v>1</v>
      </c>
      <c r="J9" s="59" t="n">
        <v>5</v>
      </c>
      <c r="K9" s="59" t="n">
        <v>4</v>
      </c>
      <c r="L9" s="59" t="n">
        <v>2</v>
      </c>
      <c r="M9" s="59" t="n">
        <v>1</v>
      </c>
      <c r="N9" s="59" t="n">
        <v>3</v>
      </c>
      <c r="O9" s="59" t="n">
        <v>3</v>
      </c>
      <c r="P9" s="262" t="n">
        <f aca="false">ROUND(AVERAGE(I9:O9),1)</f>
        <v>2.7</v>
      </c>
      <c r="Q9" s="59" t="s">
        <v>2005</v>
      </c>
      <c r="R9" s="59" t="s">
        <v>1996</v>
      </c>
      <c r="S9" s="52" t="s">
        <v>2027</v>
      </c>
      <c r="T9" s="54" t="str">
        <f aca="false">IF($B9="","",$A9&amp;" "&amp;$B9)</f>
        <v>P-005 醫療建築與總體規劃團隊</v>
      </c>
      <c r="U9" s="263"/>
      <c r="V9" s="263" t="s">
        <v>1305</v>
      </c>
      <c r="W9" s="263" t="s">
        <v>1305</v>
      </c>
      <c r="X9" s="263"/>
      <c r="Y9" s="263"/>
      <c r="Z9" s="263"/>
      <c r="AA9" s="263"/>
      <c r="AB9" s="263"/>
      <c r="AC9" s="263"/>
      <c r="AD9" s="263"/>
      <c r="AE9" s="264" t="str">
        <f aca="false">IF($U9="✓","D01; ","")&amp;IF($V9="✓","D02; ","")&amp;IF($W9="✓","D03; ","")&amp;IF($X9="✓","D04; ","")&amp;IF($Y9="✓","D05; ","")&amp;IF($Z9="✓","D06; ","")&amp;IF($AA9="✓","D07; ","")&amp;IF($AB9="✓","D08; ","")&amp;IF($AC9="✓","D09; ","")&amp;IF($AD9="✓","D10; ","")</f>
        <v>D02; D03; </v>
      </c>
    </row>
    <row r="10" customFormat="false" ht="30" hidden="false" customHeight="true" outlineLevel="0" collapsed="false">
      <c r="A10" s="93" t="s">
        <v>2028</v>
      </c>
      <c r="B10" s="107" t="s">
        <v>2029</v>
      </c>
      <c r="C10" s="95" t="s">
        <v>2030</v>
      </c>
      <c r="D10" s="260" t="s">
        <v>2031</v>
      </c>
      <c r="E10" s="260" t="s">
        <v>2002</v>
      </c>
      <c r="F10" s="95" t="str">
        <f aca="false">IF($AE10="","",LEFT($AE10,LEN($AE10)-2))</f>
        <v>D03; D04</v>
      </c>
      <c r="G10" s="95" t="s">
        <v>2032</v>
      </c>
      <c r="H10" s="260" t="s">
        <v>2004</v>
      </c>
      <c r="I10" s="59" t="n">
        <v>1</v>
      </c>
      <c r="J10" s="59" t="n">
        <v>2</v>
      </c>
      <c r="K10" s="59" t="n">
        <v>5</v>
      </c>
      <c r="L10" s="59" t="n">
        <v>2</v>
      </c>
      <c r="M10" s="59" t="n">
        <v>2</v>
      </c>
      <c r="N10" s="59" t="n">
        <v>2</v>
      </c>
      <c r="O10" s="59" t="n">
        <v>5</v>
      </c>
      <c r="P10" s="262" t="n">
        <f aca="false">ROUND(AVERAGE(I10:O10),1)</f>
        <v>2.7</v>
      </c>
      <c r="Q10" s="59" t="s">
        <v>1995</v>
      </c>
      <c r="R10" s="59" t="s">
        <v>1996</v>
      </c>
      <c r="S10" s="52" t="s">
        <v>2033</v>
      </c>
      <c r="T10" s="54" t="str">
        <f aca="false">IF($B10="","",$A10&amp;" "&amp;$B10)</f>
        <v>P-006 越南EPC／機電夥伴</v>
      </c>
      <c r="U10" s="263"/>
      <c r="V10" s="263"/>
      <c r="W10" s="263" t="s">
        <v>1305</v>
      </c>
      <c r="X10" s="263" t="s">
        <v>1305</v>
      </c>
      <c r="Y10" s="263"/>
      <c r="Z10" s="263"/>
      <c r="AA10" s="263"/>
      <c r="AB10" s="263"/>
      <c r="AC10" s="263"/>
      <c r="AD10" s="263"/>
      <c r="AE10" s="264" t="str">
        <f aca="false">IF($U10="✓","D01; ","")&amp;IF($V10="✓","D02; ","")&amp;IF($W10="✓","D03; ","")&amp;IF($X10="✓","D04; ","")&amp;IF($Y10="✓","D05; ","")&amp;IF($Z10="✓","D06; ","")&amp;IF($AA10="✓","D07; ","")&amp;IF($AB10="✓","D08; ","")&amp;IF($AC10="✓","D09; ","")&amp;IF($AD10="✓","D10; ","")</f>
        <v>D03; D04; </v>
      </c>
    </row>
    <row r="11" customFormat="false" ht="30" hidden="false" customHeight="true" outlineLevel="0" collapsed="false">
      <c r="A11" s="93" t="s">
        <v>2034</v>
      </c>
      <c r="B11" s="107" t="s">
        <v>1110</v>
      </c>
      <c r="C11" s="95" t="s">
        <v>2035</v>
      </c>
      <c r="D11" s="260" t="s">
        <v>2036</v>
      </c>
      <c r="E11" s="260" t="s">
        <v>2025</v>
      </c>
      <c r="F11" s="95" t="str">
        <f aca="false">IF($AE11="","",LEFT($AE11,LEN($AE11)-2))</f>
        <v>D05; D06</v>
      </c>
      <c r="G11" s="95" t="s">
        <v>2037</v>
      </c>
      <c r="H11" s="260" t="s">
        <v>1994</v>
      </c>
      <c r="I11" s="59" t="n">
        <v>1</v>
      </c>
      <c r="J11" s="59" t="n">
        <v>4</v>
      </c>
      <c r="K11" s="59" t="n">
        <v>4</v>
      </c>
      <c r="L11" s="59" t="n">
        <v>4</v>
      </c>
      <c r="M11" s="59" t="n">
        <v>2</v>
      </c>
      <c r="N11" s="59" t="n">
        <v>5</v>
      </c>
      <c r="O11" s="59" t="n">
        <v>4</v>
      </c>
      <c r="P11" s="262" t="n">
        <f aca="false">ROUND(AVERAGE(I11:O11),1)</f>
        <v>3.4</v>
      </c>
      <c r="Q11" s="59" t="s">
        <v>1995</v>
      </c>
      <c r="R11" s="59" t="s">
        <v>1996</v>
      </c>
      <c r="S11" s="52" t="s">
        <v>2038</v>
      </c>
      <c r="T11" s="54" t="str">
        <f aca="false">IF($B11="","",$A11&amp;" "&amp;$B11)</f>
        <v>P-007 醫療資訊整合商</v>
      </c>
      <c r="U11" s="263"/>
      <c r="V11" s="263"/>
      <c r="W11" s="263"/>
      <c r="X11" s="263"/>
      <c r="Y11" s="263" t="s">
        <v>1305</v>
      </c>
      <c r="Z11" s="263" t="s">
        <v>1305</v>
      </c>
      <c r="AA11" s="263"/>
      <c r="AB11" s="263"/>
      <c r="AC11" s="263"/>
      <c r="AD11" s="263"/>
      <c r="AE11" s="264" t="str">
        <f aca="false">IF($U11="✓","D01; ","")&amp;IF($V11="✓","D02; ","")&amp;IF($W11="✓","D03; ","")&amp;IF($X11="✓","D04; ","")&amp;IF($Y11="✓","D05; ","")&amp;IF($Z11="✓","D06; ","")&amp;IF($AA11="✓","D07; ","")&amp;IF($AB11="✓","D08; ","")&amp;IF($AC11="✓","D09; ","")&amp;IF($AD11="✓","D10; ","")</f>
        <v>D05; D06; </v>
      </c>
    </row>
    <row r="12" customFormat="false" ht="30" hidden="false" customHeight="true" outlineLevel="0" collapsed="false">
      <c r="A12" s="93" t="s">
        <v>2039</v>
      </c>
      <c r="B12" s="107" t="s">
        <v>2040</v>
      </c>
      <c r="C12" s="95" t="s">
        <v>2041</v>
      </c>
      <c r="D12" s="260" t="s">
        <v>2042</v>
      </c>
      <c r="E12" s="260" t="s">
        <v>2043</v>
      </c>
      <c r="F12" s="95" t="str">
        <f aca="false">IF($AE12="","",LEFT($AE12,LEN($AE12)-2))</f>
        <v>D04; D06</v>
      </c>
      <c r="G12" s="95" t="s">
        <v>2044</v>
      </c>
      <c r="H12" s="260" t="s">
        <v>1994</v>
      </c>
      <c r="I12" s="59" t="n">
        <v>4</v>
      </c>
      <c r="J12" s="59" t="n">
        <v>3</v>
      </c>
      <c r="K12" s="59" t="n">
        <v>4</v>
      </c>
      <c r="L12" s="59" t="n">
        <v>5</v>
      </c>
      <c r="M12" s="59" t="n">
        <v>3</v>
      </c>
      <c r="N12" s="59" t="n">
        <v>5</v>
      </c>
      <c r="O12" s="59" t="n">
        <v>2</v>
      </c>
      <c r="P12" s="262" t="n">
        <f aca="false">ROUND(AVERAGE(I12:O12),1)</f>
        <v>3.7</v>
      </c>
      <c r="Q12" s="59" t="s">
        <v>2045</v>
      </c>
      <c r="R12" s="59" t="s">
        <v>2046</v>
      </c>
      <c r="S12" s="52" t="s">
        <v>2047</v>
      </c>
      <c r="T12" s="54" t="str">
        <f aca="false">IF($B12="","",$A12&amp;" "&amp;$B12)</f>
        <v>P-008 美國雲端服務商</v>
      </c>
      <c r="U12" s="263"/>
      <c r="V12" s="263"/>
      <c r="W12" s="263"/>
      <c r="X12" s="263" t="s">
        <v>1305</v>
      </c>
      <c r="Y12" s="263"/>
      <c r="Z12" s="263" t="s">
        <v>1305</v>
      </c>
      <c r="AA12" s="263"/>
      <c r="AB12" s="263"/>
      <c r="AC12" s="263"/>
      <c r="AD12" s="263"/>
      <c r="AE12" s="264" t="str">
        <f aca="false">IF($U12="✓","D01; ","")&amp;IF($V12="✓","D02; ","")&amp;IF($W12="✓","D03; ","")&amp;IF($X12="✓","D04; ","")&amp;IF($Y12="✓","D05; ","")&amp;IF($Z12="✓","D06; ","")&amp;IF($AA12="✓","D07; ","")&amp;IF($AB12="✓","D08; ","")&amp;IF($AC12="✓","D09; ","")&amp;IF($AD12="✓","D10; ","")</f>
        <v>D04; D06; </v>
      </c>
    </row>
    <row r="13" customFormat="false" ht="30" hidden="false" customHeight="true" outlineLevel="0" collapsed="false">
      <c r="A13" s="93" t="s">
        <v>2048</v>
      </c>
      <c r="B13" s="107" t="s">
        <v>2049</v>
      </c>
      <c r="C13" s="95" t="s">
        <v>2050</v>
      </c>
      <c r="D13" s="260" t="s">
        <v>2051</v>
      </c>
      <c r="E13" s="260" t="s">
        <v>2025</v>
      </c>
      <c r="F13" s="95" t="str">
        <f aca="false">IF($AE13="","",LEFT($AE13,LEN($AE13)-2))</f>
        <v>D05; D09</v>
      </c>
      <c r="G13" s="95" t="s">
        <v>2052</v>
      </c>
      <c r="H13" s="260" t="s">
        <v>1994</v>
      </c>
      <c r="I13" s="59" t="n">
        <v>1</v>
      </c>
      <c r="J13" s="59" t="n">
        <v>4</v>
      </c>
      <c r="K13" s="59" t="n">
        <v>5</v>
      </c>
      <c r="L13" s="59" t="n">
        <v>4</v>
      </c>
      <c r="M13" s="59" t="n">
        <v>2</v>
      </c>
      <c r="N13" s="59" t="n">
        <v>4</v>
      </c>
      <c r="O13" s="59" t="n">
        <v>4</v>
      </c>
      <c r="P13" s="262" t="n">
        <f aca="false">ROUND(AVERAGE(I13:O13),1)</f>
        <v>3.4</v>
      </c>
      <c r="Q13" s="59" t="s">
        <v>1995</v>
      </c>
      <c r="R13" s="59" t="s">
        <v>1996</v>
      </c>
      <c r="S13" s="52" t="s">
        <v>2053</v>
      </c>
      <c r="T13" s="54" t="str">
        <f aca="false">IF($B13="","",$A13&amp;" "&amp;$B13)</f>
        <v>P-009 醫材整合商</v>
      </c>
      <c r="U13" s="263"/>
      <c r="V13" s="263"/>
      <c r="W13" s="263"/>
      <c r="X13" s="263"/>
      <c r="Y13" s="263" t="s">
        <v>1305</v>
      </c>
      <c r="Z13" s="263"/>
      <c r="AA13" s="263"/>
      <c r="AB13" s="263"/>
      <c r="AC13" s="263" t="s">
        <v>1305</v>
      </c>
      <c r="AD13" s="263"/>
      <c r="AE13" s="264" t="str">
        <f aca="false">IF($U13="✓","D01; ","")&amp;IF($V13="✓","D02; ","")&amp;IF($W13="✓","D03; ","")&amp;IF($X13="✓","D04; ","")&amp;IF($Y13="✓","D05; ","")&amp;IF($Z13="✓","D06; ","")&amp;IF($AA13="✓","D07; ","")&amp;IF($AB13="✓","D08; ","")&amp;IF($AC13="✓","D09; ","")&amp;IF($AD13="✓","D10; ","")</f>
        <v>D05; D09; </v>
      </c>
    </row>
    <row r="14" customFormat="false" ht="30" hidden="false" customHeight="true" outlineLevel="0" collapsed="false">
      <c r="A14" s="93" t="s">
        <v>2054</v>
      </c>
      <c r="B14" s="107" t="s">
        <v>2055</v>
      </c>
      <c r="C14" s="95" t="s">
        <v>2056</v>
      </c>
      <c r="D14" s="260" t="s">
        <v>2057</v>
      </c>
      <c r="E14" s="260" t="s">
        <v>2025</v>
      </c>
      <c r="F14" s="95" t="str">
        <f aca="false">IF($AE14="","",LEFT($AE14,LEN($AE14)-2))</f>
        <v>D01; D04; D06</v>
      </c>
      <c r="G14" s="95" t="s">
        <v>2058</v>
      </c>
      <c r="H14" s="260" t="s">
        <v>1994</v>
      </c>
      <c r="I14" s="59" t="n">
        <v>1</v>
      </c>
      <c r="J14" s="59" t="n">
        <v>5</v>
      </c>
      <c r="K14" s="59" t="n">
        <v>2</v>
      </c>
      <c r="L14" s="59" t="n">
        <v>3</v>
      </c>
      <c r="M14" s="59" t="n">
        <v>1</v>
      </c>
      <c r="N14" s="59" t="n">
        <v>5</v>
      </c>
      <c r="O14" s="59" t="n">
        <v>3</v>
      </c>
      <c r="P14" s="262" t="n">
        <f aca="false">ROUND(AVERAGE(I14:O14),1)</f>
        <v>2.9</v>
      </c>
      <c r="Q14" s="59" t="s">
        <v>2005</v>
      </c>
      <c r="R14" s="59" t="s">
        <v>1996</v>
      </c>
      <c r="S14" s="52" t="s">
        <v>2059</v>
      </c>
      <c r="T14" s="54" t="str">
        <f aca="false">IF($B14="","",$A14&amp;" "&amp;$B14)</f>
        <v>P-010 資安與隱私獨立驗證</v>
      </c>
      <c r="U14" s="263" t="s">
        <v>1305</v>
      </c>
      <c r="V14" s="263"/>
      <c r="W14" s="263"/>
      <c r="X14" s="263" t="s">
        <v>1305</v>
      </c>
      <c r="Y14" s="263"/>
      <c r="Z14" s="263" t="s">
        <v>1305</v>
      </c>
      <c r="AA14" s="263"/>
      <c r="AB14" s="263"/>
      <c r="AC14" s="263"/>
      <c r="AD14" s="263"/>
      <c r="AE14" s="264" t="str">
        <f aca="false">IF($U14="✓","D01; ","")&amp;IF($V14="✓","D02; ","")&amp;IF($W14="✓","D03; ","")&amp;IF($X14="✓","D04; ","")&amp;IF($Y14="✓","D05; ","")&amp;IF($Z14="✓","D06; ","")&amp;IF($AA14="✓","D07; ","")&amp;IF($AB14="✓","D08; ","")&amp;IF($AC14="✓","D09; ","")&amp;IF($AD14="✓","D10; ","")</f>
        <v>D01; D04; D06; </v>
      </c>
    </row>
    <row r="15" customFormat="false" ht="30" hidden="false" customHeight="true" outlineLevel="0" collapsed="false">
      <c r="A15" s="93" t="s">
        <v>2060</v>
      </c>
      <c r="B15" s="107" t="s">
        <v>2061</v>
      </c>
      <c r="C15" s="95" t="s">
        <v>2062</v>
      </c>
      <c r="D15" s="260" t="s">
        <v>2063</v>
      </c>
      <c r="E15" s="260" t="s">
        <v>2025</v>
      </c>
      <c r="F15" s="95" t="str">
        <f aca="false">IF($AE15="","",LEFT($AE15,LEN($AE15)-2))</f>
        <v>D01; D10</v>
      </c>
      <c r="G15" s="95" t="s">
        <v>2064</v>
      </c>
      <c r="H15" s="260" t="s">
        <v>1994</v>
      </c>
      <c r="I15" s="59" t="n">
        <v>1</v>
      </c>
      <c r="J15" s="59" t="n">
        <v>5</v>
      </c>
      <c r="K15" s="59" t="n">
        <v>2</v>
      </c>
      <c r="L15" s="59" t="n">
        <v>2</v>
      </c>
      <c r="M15" s="59" t="n">
        <v>5</v>
      </c>
      <c r="N15" s="59" t="n">
        <v>2</v>
      </c>
      <c r="O15" s="59" t="n">
        <v>3</v>
      </c>
      <c r="P15" s="262" t="n">
        <f aca="false">ROUND(AVERAGE(I15:O15),1)</f>
        <v>2.9</v>
      </c>
      <c r="Q15" s="59" t="s">
        <v>2005</v>
      </c>
      <c r="R15" s="59" t="s">
        <v>1996</v>
      </c>
      <c r="S15" s="52" t="s">
        <v>2065</v>
      </c>
      <c r="T15" s="54" t="str">
        <f aca="false">IF($B15="","",$A15&amp;" "&amp;$B15)</f>
        <v>P-011 財務與PPP顧問</v>
      </c>
      <c r="U15" s="263" t="s">
        <v>1305</v>
      </c>
      <c r="V15" s="263"/>
      <c r="W15" s="263"/>
      <c r="X15" s="263"/>
      <c r="Y15" s="263"/>
      <c r="Z15" s="263"/>
      <c r="AA15" s="263"/>
      <c r="AB15" s="263"/>
      <c r="AC15" s="263"/>
      <c r="AD15" s="263" t="s">
        <v>1305</v>
      </c>
      <c r="AE15" s="264" t="str">
        <f aca="false">IF($U15="✓","D01; ","")&amp;IF($V15="✓","D02; ","")&amp;IF($W15="✓","D03; ","")&amp;IF($X15="✓","D04; ","")&amp;IF($Y15="✓","D05; ","")&amp;IF($Z15="✓","D06; ","")&amp;IF($AA15="✓","D07; ","")&amp;IF($AB15="✓","D08; ","")&amp;IF($AC15="✓","D09; ","")&amp;IF($AD15="✓","D10; ","")</f>
        <v>D01; D10; </v>
      </c>
    </row>
    <row r="16" customFormat="false" ht="30" hidden="false" customHeight="true" outlineLevel="0" collapsed="false">
      <c r="A16" s="93" t="s">
        <v>2066</v>
      </c>
      <c r="B16" s="107" t="s">
        <v>2067</v>
      </c>
      <c r="C16" s="95" t="s">
        <v>2068</v>
      </c>
      <c r="D16" s="260" t="s">
        <v>2069</v>
      </c>
      <c r="E16" s="260" t="s">
        <v>2002</v>
      </c>
      <c r="F16" s="95" t="str">
        <f aca="false">IF($AE16="","",LEFT($AE16,LEN($AE16)-2))</f>
        <v>D01; D05; D06; D10</v>
      </c>
      <c r="G16" s="95" t="s">
        <v>2070</v>
      </c>
      <c r="H16" s="260" t="s">
        <v>2004</v>
      </c>
      <c r="I16" s="59" t="n">
        <v>1</v>
      </c>
      <c r="J16" s="59" t="n">
        <v>5</v>
      </c>
      <c r="K16" s="59" t="n">
        <v>2</v>
      </c>
      <c r="L16" s="59" t="n">
        <v>2</v>
      </c>
      <c r="M16" s="59" t="n">
        <v>2</v>
      </c>
      <c r="N16" s="59" t="n">
        <v>2</v>
      </c>
      <c r="O16" s="59" t="n">
        <v>5</v>
      </c>
      <c r="P16" s="262" t="n">
        <f aca="false">ROUND(AVERAGE(I16:O16),1)</f>
        <v>2.7</v>
      </c>
      <c r="Q16" s="59" t="s">
        <v>2005</v>
      </c>
      <c r="R16" s="59" t="s">
        <v>1996</v>
      </c>
      <c r="S16" s="52" t="s">
        <v>2071</v>
      </c>
      <c r="T16" s="54" t="str">
        <f aca="false">IF($B16="","",$A16&amp;" "&amp;$B16)</f>
        <v>P-012 越南法律與法規顧問</v>
      </c>
      <c r="U16" s="263" t="s">
        <v>1305</v>
      </c>
      <c r="V16" s="263"/>
      <c r="W16" s="263"/>
      <c r="X16" s="263"/>
      <c r="Y16" s="263" t="s">
        <v>1305</v>
      </c>
      <c r="Z16" s="263" t="s">
        <v>1305</v>
      </c>
      <c r="AA16" s="263"/>
      <c r="AB16" s="263"/>
      <c r="AC16" s="263"/>
      <c r="AD16" s="263" t="s">
        <v>1305</v>
      </c>
      <c r="AE16" s="264" t="str">
        <f aca="false">IF($U16="✓","D01; ","")&amp;IF($V16="✓","D02; ","")&amp;IF($W16="✓","D03; ","")&amp;IF($X16="✓","D04; ","")&amp;IF($Y16="✓","D05; ","")&amp;IF($Z16="✓","D06; ","")&amp;IF($AA16="✓","D07; ","")&amp;IF($AB16="✓","D08; ","")&amp;IF($AC16="✓","D09; ","")&amp;IF($AD16="✓","D10; ","")</f>
        <v>D01; D05; D06; D10; </v>
      </c>
    </row>
    <row r="17" customFormat="false" ht="30" hidden="false" customHeight="true" outlineLevel="0" collapsed="false">
      <c r="A17" s="93" t="s">
        <v>2072</v>
      </c>
      <c r="B17" s="107" t="s">
        <v>2073</v>
      </c>
      <c r="C17" s="95" t="s">
        <v>2074</v>
      </c>
      <c r="D17" s="260" t="s">
        <v>2075</v>
      </c>
      <c r="E17" s="260" t="s">
        <v>2025</v>
      </c>
      <c r="F17" s="95" t="str">
        <f aca="false">IF($AE17="","",LEFT($AE17,LEN($AE17)-2))</f>
        <v>D02; D07; D08</v>
      </c>
      <c r="G17" s="95" t="s">
        <v>2076</v>
      </c>
      <c r="H17" s="260" t="s">
        <v>1994</v>
      </c>
      <c r="I17" s="59" t="n">
        <v>1</v>
      </c>
      <c r="J17" s="59" t="n">
        <v>5</v>
      </c>
      <c r="K17" s="59" t="n">
        <v>2</v>
      </c>
      <c r="L17" s="59" t="n">
        <v>4</v>
      </c>
      <c r="M17" s="59" t="n">
        <v>1</v>
      </c>
      <c r="N17" s="59" t="n">
        <v>3</v>
      </c>
      <c r="O17" s="59" t="n">
        <v>3</v>
      </c>
      <c r="P17" s="262" t="n">
        <f aca="false">ROUND(AVERAGE(I17:O17),1)</f>
        <v>2.7</v>
      </c>
      <c r="Q17" s="59" t="s">
        <v>2005</v>
      </c>
      <c r="R17" s="59" t="s">
        <v>1996</v>
      </c>
      <c r="S17" s="52" t="s">
        <v>2077</v>
      </c>
      <c r="T17" s="54" t="str">
        <f aca="false">IF($B17="","",$A17&amp;" "&amp;$B17)</f>
        <v>P-013 品質與JCI顧問</v>
      </c>
      <c r="U17" s="263"/>
      <c r="V17" s="263" t="s">
        <v>1305</v>
      </c>
      <c r="W17" s="263"/>
      <c r="X17" s="263"/>
      <c r="Y17" s="263"/>
      <c r="Z17" s="263"/>
      <c r="AA17" s="263" t="s">
        <v>1305</v>
      </c>
      <c r="AB17" s="263" t="s">
        <v>1305</v>
      </c>
      <c r="AC17" s="263"/>
      <c r="AD17" s="263"/>
      <c r="AE17" s="264" t="str">
        <f aca="false">IF($U17="✓","D01; ","")&amp;IF($V17="✓","D02; ","")&amp;IF($W17="✓","D03; ","")&amp;IF($X17="✓","D04; ","")&amp;IF($Y17="✓","D05; ","")&amp;IF($Z17="✓","D06; ","")&amp;IF($AA17="✓","D07; ","")&amp;IF($AB17="✓","D08; ","")&amp;IF($AC17="✓","D09; ","")&amp;IF($AD17="✓","D10; ","")</f>
        <v>D02; D07; D08; </v>
      </c>
    </row>
    <row r="18" customFormat="false" ht="30" hidden="false" customHeight="true" outlineLevel="0" collapsed="false">
      <c r="A18" s="93" t="s">
        <v>2078</v>
      </c>
      <c r="B18" s="107" t="s">
        <v>2079</v>
      </c>
      <c r="C18" s="95" t="s">
        <v>2080</v>
      </c>
      <c r="D18" s="260" t="s">
        <v>2081</v>
      </c>
      <c r="E18" s="260" t="s">
        <v>2002</v>
      </c>
      <c r="F18" s="95" t="str">
        <f aca="false">IF($AE18="","",LEFT($AE18,LEN($AE18)-2))</f>
        <v>D09</v>
      </c>
      <c r="G18" s="95" t="s">
        <v>2082</v>
      </c>
      <c r="H18" s="260" t="s">
        <v>2004</v>
      </c>
      <c r="I18" s="59" t="n">
        <v>1</v>
      </c>
      <c r="J18" s="59" t="n">
        <v>3</v>
      </c>
      <c r="K18" s="59" t="n">
        <v>4</v>
      </c>
      <c r="L18" s="59" t="n">
        <v>4</v>
      </c>
      <c r="M18" s="59" t="n">
        <v>2</v>
      </c>
      <c r="N18" s="59" t="n">
        <v>3</v>
      </c>
      <c r="O18" s="59" t="n">
        <v>5</v>
      </c>
      <c r="P18" s="262" t="n">
        <f aca="false">ROUND(AVERAGE(I18:O18),1)</f>
        <v>3.1</v>
      </c>
      <c r="Q18" s="59" t="s">
        <v>2005</v>
      </c>
      <c r="R18" s="59" t="s">
        <v>1996</v>
      </c>
      <c r="S18" s="52" t="s">
        <v>2083</v>
      </c>
      <c r="T18" s="54" t="str">
        <f aca="false">IF($B18="","",$A18&amp;" "&amp;$B18)</f>
        <v>P-014 物流／SPD與冷鏈夥伴</v>
      </c>
      <c r="U18" s="263"/>
      <c r="V18" s="263"/>
      <c r="W18" s="263"/>
      <c r="X18" s="263"/>
      <c r="Y18" s="263"/>
      <c r="Z18" s="263"/>
      <c r="AA18" s="263"/>
      <c r="AB18" s="263"/>
      <c r="AC18" s="263" t="s">
        <v>1305</v>
      </c>
      <c r="AD18" s="263"/>
      <c r="AE18" s="264" t="str">
        <f aca="false">IF($U18="✓","D01; ","")&amp;IF($V18="✓","D02; ","")&amp;IF($W18="✓","D03; ","")&amp;IF($X18="✓","D04; ","")&amp;IF($Y18="✓","D05; ","")&amp;IF($Z18="✓","D06; ","")&amp;IF($AA18="✓","D07; ","")&amp;IF($AB18="✓","D08; ","")&amp;IF($AC18="✓","D09; ","")&amp;IF($AD18="✓","D10; ","")</f>
        <v>D09; </v>
      </c>
    </row>
    <row r="19" customFormat="false" ht="30" hidden="false" customHeight="true" outlineLevel="0" collapsed="false">
      <c r="A19" s="93" t="s">
        <v>2084</v>
      </c>
      <c r="B19" s="107" t="s">
        <v>2085</v>
      </c>
      <c r="C19" s="95" t="s">
        <v>2086</v>
      </c>
      <c r="D19" s="260" t="s">
        <v>2057</v>
      </c>
      <c r="E19" s="260" t="s">
        <v>2025</v>
      </c>
      <c r="F19" s="95" t="str">
        <f aca="false">IF($AE19="","",LEFT($AE19,LEN($AE19)-2))</f>
        <v>D01; D02; D03; D05; D10</v>
      </c>
      <c r="G19" s="95" t="s">
        <v>2087</v>
      </c>
      <c r="H19" s="260" t="s">
        <v>1994</v>
      </c>
      <c r="I19" s="59" t="n">
        <v>1</v>
      </c>
      <c r="J19" s="59" t="n">
        <v>5</v>
      </c>
      <c r="K19" s="59" t="n">
        <v>2</v>
      </c>
      <c r="L19" s="59" t="n">
        <v>3</v>
      </c>
      <c r="M19" s="59" t="n">
        <v>1</v>
      </c>
      <c r="N19" s="59" t="n">
        <v>3</v>
      </c>
      <c r="O19" s="59" t="n">
        <v>3</v>
      </c>
      <c r="P19" s="262" t="n">
        <f aca="false">ROUND(AVERAGE(I19:O19),1)</f>
        <v>2.6</v>
      </c>
      <c r="Q19" s="59" t="s">
        <v>2005</v>
      </c>
      <c r="R19" s="59" t="s">
        <v>1996</v>
      </c>
      <c r="S19" s="52" t="s">
        <v>2088</v>
      </c>
      <c r="T19" s="54" t="str">
        <f aca="false">IF($B19="","",$A19&amp;" "&amp;$B19)</f>
        <v>P-015 獨立臨床與成本驗證</v>
      </c>
      <c r="U19" s="263" t="s">
        <v>1305</v>
      </c>
      <c r="V19" s="263" t="s">
        <v>1305</v>
      </c>
      <c r="W19" s="263" t="s">
        <v>1305</v>
      </c>
      <c r="X19" s="263"/>
      <c r="Y19" s="263" t="s">
        <v>1305</v>
      </c>
      <c r="Z19" s="263"/>
      <c r="AA19" s="263"/>
      <c r="AB19" s="263"/>
      <c r="AC19" s="263"/>
      <c r="AD19" s="263" t="s">
        <v>1305</v>
      </c>
      <c r="AE19" s="264" t="str">
        <f aca="false">IF($U19="✓","D01; ","")&amp;IF($V19="✓","D02; ","")&amp;IF($W19="✓","D03; ","")&amp;IF($X19="✓","D04; ","")&amp;IF($Y19="✓","D05; ","")&amp;IF($Z19="✓","D06; ","")&amp;IF($AA19="✓","D07; ","")&amp;IF($AB19="✓","D08; ","")&amp;IF($AC19="✓","D09; ","")&amp;IF($AD19="✓","D10; ","")</f>
        <v>D01; D02; D03; D05; D10; </v>
      </c>
    </row>
    <row r="20" customFormat="false" ht="25.5" hidden="false" customHeight="true" outlineLevel="0" collapsed="false">
      <c r="A20" s="55" t="s">
        <v>2089</v>
      </c>
      <c r="B20" s="52" t="s">
        <v>2090</v>
      </c>
      <c r="C20" s="52" t="s">
        <v>2091</v>
      </c>
      <c r="D20" s="60" t="s">
        <v>2092</v>
      </c>
      <c r="E20" s="59" t="s">
        <v>1994</v>
      </c>
      <c r="F20" s="54" t="str">
        <f aca="false">IF($AE20="","",LEFT($AE20,LEN($AE20)-2))</f>
        <v>D01; D07; D10</v>
      </c>
      <c r="G20" s="53" t="s">
        <v>2093</v>
      </c>
      <c r="H20" s="59" t="s">
        <v>1994</v>
      </c>
      <c r="I20" s="59" t="n">
        <v>3</v>
      </c>
      <c r="J20" s="59" t="n">
        <v>5</v>
      </c>
      <c r="K20" s="59" t="n">
        <v>2</v>
      </c>
      <c r="L20" s="59" t="n">
        <v>2</v>
      </c>
      <c r="M20" s="59" t="n">
        <v>2</v>
      </c>
      <c r="N20" s="59" t="n">
        <v>4</v>
      </c>
      <c r="O20" s="59" t="n">
        <v>3</v>
      </c>
      <c r="P20" s="262" t="n">
        <f aca="false">IF($B20="","",IFERROR(ROUND(AVERAGE(I20:O20),1),"（待評分）"))</f>
        <v>3</v>
      </c>
      <c r="Q20" s="59" t="s">
        <v>2005</v>
      </c>
      <c r="R20" s="59" t="s">
        <v>2094</v>
      </c>
      <c r="S20" s="53" t="s">
        <v>2095</v>
      </c>
      <c r="T20" s="54" t="str">
        <f aca="false">IF($B20="","",$A20&amp;" "&amp;$B20)</f>
        <v>P-016 PI 計畫辦公室</v>
      </c>
      <c r="U20" s="263" t="s">
        <v>1305</v>
      </c>
      <c r="V20" s="263"/>
      <c r="W20" s="263"/>
      <c r="X20" s="263"/>
      <c r="Y20" s="263"/>
      <c r="Z20" s="263"/>
      <c r="AA20" s="263" t="s">
        <v>1305</v>
      </c>
      <c r="AB20" s="263"/>
      <c r="AC20" s="263"/>
      <c r="AD20" s="263" t="s">
        <v>1305</v>
      </c>
      <c r="AE20" s="264" t="str">
        <f aca="false">IF($U20="✓","D01; ","")&amp;IF($V20="✓","D02; ","")&amp;IF($W20="✓","D03; ","")&amp;IF($X20="✓","D04; ","")&amp;IF($Y20="✓","D05; ","")&amp;IF($Z20="✓","D06; ","")&amp;IF($AA20="✓","D07; ","")&amp;IF($AB20="✓","D08; ","")&amp;IF($AC20="✓","D09; ","")&amp;IF($AD20="✓","D10; ","")</f>
        <v>D01; D07; D10; </v>
      </c>
    </row>
    <row r="21" customFormat="false" ht="25.5" hidden="false" customHeight="true" outlineLevel="0" collapsed="false">
      <c r="A21" s="55" t="s">
        <v>2096</v>
      </c>
      <c r="B21" s="53" t="s">
        <v>2097</v>
      </c>
      <c r="C21" s="52" t="s">
        <v>2098</v>
      </c>
      <c r="D21" s="60" t="s">
        <v>2092</v>
      </c>
      <c r="E21" s="59" t="s">
        <v>2002</v>
      </c>
      <c r="F21" s="54" t="str">
        <f aca="false">IF($AE21="","",LEFT($AE21,LEN($AE21)-2))</f>
        <v>D01</v>
      </c>
      <c r="G21" s="53" t="s">
        <v>2099</v>
      </c>
      <c r="H21" s="59" t="s">
        <v>2004</v>
      </c>
      <c r="I21" s="59" t="n">
        <v>1</v>
      </c>
      <c r="J21" s="59" t="n">
        <v>4</v>
      </c>
      <c r="K21" s="59" t="n">
        <v>1</v>
      </c>
      <c r="L21" s="59" t="n">
        <v>1</v>
      </c>
      <c r="M21" s="59" t="n">
        <v>1</v>
      </c>
      <c r="N21" s="59" t="n">
        <v>1</v>
      </c>
      <c r="O21" s="59" t="n">
        <v>5</v>
      </c>
      <c r="P21" s="262" t="n">
        <f aca="false">IF($B21="","",IFERROR(ROUND(AVERAGE(I21:O21),1),"（待評分）"))</f>
        <v>2</v>
      </c>
      <c r="Q21" s="59" t="s">
        <v>2005</v>
      </c>
      <c r="R21" s="59" t="s">
        <v>1996</v>
      </c>
      <c r="S21" s="53" t="s">
        <v>2100</v>
      </c>
      <c r="T21" s="54" t="str">
        <f aca="false">IF($B21="","",$A21&amp;" "&amp;$B21)</f>
        <v>P-017 越南公共事務顧問</v>
      </c>
      <c r="U21" s="263" t="s">
        <v>1305</v>
      </c>
      <c r="V21" s="263"/>
      <c r="W21" s="263"/>
      <c r="X21" s="263"/>
      <c r="Y21" s="263"/>
      <c r="Z21" s="263"/>
      <c r="AA21" s="263"/>
      <c r="AB21" s="263"/>
      <c r="AC21" s="263"/>
      <c r="AD21" s="263"/>
      <c r="AE21" s="264" t="str">
        <f aca="false">IF($U21="✓","D01; ","")&amp;IF($V21="✓","D02; ","")&amp;IF($W21="✓","D03; ","")&amp;IF($X21="✓","D04; ","")&amp;IF($Y21="✓","D05; ","")&amp;IF($Z21="✓","D06; ","")&amp;IF($AA21="✓","D07; ","")&amp;IF($AB21="✓","D08; ","")&amp;IF($AC21="✓","D09; ","")&amp;IF($AD21="✓","D10; ","")</f>
        <v>D01; </v>
      </c>
    </row>
    <row r="22" customFormat="false" ht="25.5" hidden="false" customHeight="true" outlineLevel="0" collapsed="false">
      <c r="A22" s="55" t="s">
        <v>2101</v>
      </c>
      <c r="B22" s="53" t="s">
        <v>2102</v>
      </c>
      <c r="C22" s="52" t="s">
        <v>2103</v>
      </c>
      <c r="D22" s="60" t="s">
        <v>2104</v>
      </c>
      <c r="E22" s="59" t="s">
        <v>2002</v>
      </c>
      <c r="F22" s="54" t="str">
        <f aca="false">IF($AE22="","",LEFT($AE22,LEN($AE22)-2))</f>
        <v>D03; D09</v>
      </c>
      <c r="G22" s="53" t="s">
        <v>2105</v>
      </c>
      <c r="H22" s="59" t="s">
        <v>2004</v>
      </c>
      <c r="I22" s="59" t="n">
        <v>1</v>
      </c>
      <c r="J22" s="59" t="n">
        <v>2</v>
      </c>
      <c r="K22" s="59" t="n">
        <v>4</v>
      </c>
      <c r="L22" s="59" t="n">
        <v>4</v>
      </c>
      <c r="M22" s="59" t="n">
        <v>1</v>
      </c>
      <c r="N22" s="59" t="n">
        <v>1</v>
      </c>
      <c r="O22" s="59" t="n">
        <v>5</v>
      </c>
      <c r="P22" s="262" t="n">
        <f aca="false">IF($B22="","",IFERROR(ROUND(AVERAGE(I22:O22),1),"（待評分）"))</f>
        <v>2.6</v>
      </c>
      <c r="Q22" s="59" t="s">
        <v>2005</v>
      </c>
      <c r="R22" s="59" t="s">
        <v>1996</v>
      </c>
      <c r="S22" s="53" t="s">
        <v>2106</v>
      </c>
      <c r="T22" s="54" t="str">
        <f aca="false">IF($B22="","",$A22&amp;" "&amp;$B22)</f>
        <v>P-018 越南環保與廢棄物處理商</v>
      </c>
      <c r="U22" s="263"/>
      <c r="V22" s="263"/>
      <c r="W22" s="263" t="s">
        <v>1305</v>
      </c>
      <c r="X22" s="263"/>
      <c r="Y22" s="263"/>
      <c r="Z22" s="263"/>
      <c r="AA22" s="263"/>
      <c r="AB22" s="263"/>
      <c r="AC22" s="263" t="s">
        <v>1305</v>
      </c>
      <c r="AD22" s="263"/>
      <c r="AE22" s="264" t="str">
        <f aca="false">IF($U22="✓","D01; ","")&amp;IF($V22="✓","D02; ","")&amp;IF($W22="✓","D03; ","")&amp;IF($X22="✓","D04; ","")&amp;IF($Y22="✓","D05; ","")&amp;IF($Z22="✓","D06; ","")&amp;IF($AA22="✓","D07; ","")&amp;IF($AB22="✓","D08; ","")&amp;IF($AC22="✓","D09; ","")&amp;IF($AD22="✓","D10; ","")</f>
        <v>D03; D09; </v>
      </c>
    </row>
    <row r="23" customFormat="false" ht="25.5" hidden="false" customHeight="true" outlineLevel="0" collapsed="false">
      <c r="A23" s="265" t="s">
        <v>2107</v>
      </c>
      <c r="B23" s="266" t="s">
        <v>2108</v>
      </c>
      <c r="C23" s="267" t="s">
        <v>2109</v>
      </c>
      <c r="D23" s="268" t="s">
        <v>2110</v>
      </c>
      <c r="E23" s="269" t="s">
        <v>1994</v>
      </c>
      <c r="F23" s="270" t="str">
        <f aca="false">IF($AE23="","",LEFT($AE23,LEN($AE23)-2))</f>
        <v>D05; D06</v>
      </c>
      <c r="G23" s="266" t="s">
        <v>2111</v>
      </c>
      <c r="H23" s="269" t="s">
        <v>1994</v>
      </c>
      <c r="I23" s="269" t="n">
        <v>0</v>
      </c>
      <c r="J23" s="269" t="n">
        <v>0</v>
      </c>
      <c r="K23" s="269" t="n">
        <v>0</v>
      </c>
      <c r="L23" s="269" t="n">
        <v>0</v>
      </c>
      <c r="M23" s="269" t="n">
        <v>0</v>
      </c>
      <c r="N23" s="269" t="n">
        <v>0</v>
      </c>
      <c r="O23" s="269" t="n">
        <v>0</v>
      </c>
      <c r="P23" s="271" t="n">
        <f aca="false">IF($B23="","",IFERROR(ROUND(AVERAGE(I23:O23),1),"（待評分）"))</f>
        <v>0</v>
      </c>
      <c r="Q23" s="269" t="s">
        <v>1995</v>
      </c>
      <c r="R23" s="181" t="s">
        <v>2112</v>
      </c>
      <c r="S23" s="266" t="s">
        <v>2113</v>
      </c>
      <c r="T23" s="270" t="str">
        <f aca="false">IF($B23="","",$A23&amp;" "&amp;$B23)</f>
        <v>P-019 影像設備與PACS整合商</v>
      </c>
      <c r="U23" s="272"/>
      <c r="V23" s="272"/>
      <c r="W23" s="272"/>
      <c r="X23" s="272"/>
      <c r="Y23" s="272" t="s">
        <v>1305</v>
      </c>
      <c r="Z23" s="272" t="s">
        <v>1305</v>
      </c>
      <c r="AA23" s="272"/>
      <c r="AB23" s="272"/>
      <c r="AC23" s="272"/>
      <c r="AD23" s="272"/>
      <c r="AE23" s="273" t="str">
        <f aca="false">IF($U23="✓","D01; ","")&amp;IF($V23="✓","D02; ","")&amp;IF($W23="✓","D03; ","")&amp;IF($X23="✓","D04; ","")&amp;IF($Y23="✓","D05; ","")&amp;IF($Z23="✓","D06; ","")&amp;IF($AA23="✓","D07; ","")&amp;IF($AB23="✓","D08; ","")&amp;IF($AC23="✓","D09; ","")&amp;IF($AD23="✓","D10; ","")</f>
        <v>D05; D06; </v>
      </c>
    </row>
    <row r="24" customFormat="false" ht="25.5" hidden="false" customHeight="true" outlineLevel="0" collapsed="false">
      <c r="A24" s="265" t="s">
        <v>2114</v>
      </c>
      <c r="B24" s="266" t="s">
        <v>2115</v>
      </c>
      <c r="C24" s="267" t="s">
        <v>2116</v>
      </c>
      <c r="D24" s="268" t="s">
        <v>2110</v>
      </c>
      <c r="E24" s="269" t="s">
        <v>1994</v>
      </c>
      <c r="F24" s="270" t="str">
        <f aca="false">IF($AE24="","",LEFT($AE24,LEN($AE24)-2))</f>
        <v>D05; D06</v>
      </c>
      <c r="G24" s="266" t="s">
        <v>2117</v>
      </c>
      <c r="H24" s="269" t="s">
        <v>1994</v>
      </c>
      <c r="I24" s="269" t="n">
        <v>0</v>
      </c>
      <c r="J24" s="269" t="n">
        <v>0</v>
      </c>
      <c r="K24" s="269" t="n">
        <v>0</v>
      </c>
      <c r="L24" s="269" t="n">
        <v>0</v>
      </c>
      <c r="M24" s="269" t="n">
        <v>0</v>
      </c>
      <c r="N24" s="269" t="n">
        <v>0</v>
      </c>
      <c r="O24" s="269" t="n">
        <v>0</v>
      </c>
      <c r="P24" s="271" t="n">
        <f aca="false">IF($B24="","",IFERROR(ROUND(AVERAGE(I24:O24),1),"（待評分）"))</f>
        <v>0</v>
      </c>
      <c r="Q24" s="269" t="s">
        <v>1995</v>
      </c>
      <c r="R24" s="181" t="s">
        <v>2112</v>
      </c>
      <c r="S24" s="266" t="s">
        <v>2118</v>
      </c>
      <c r="T24" s="270" t="str">
        <f aca="false">IF($B24="","",$A24&amp;" "&amp;$B24)</f>
        <v>P-020 檢驗自動化與LIS供應商</v>
      </c>
      <c r="U24" s="272"/>
      <c r="V24" s="272"/>
      <c r="W24" s="272"/>
      <c r="X24" s="272"/>
      <c r="Y24" s="272" t="s">
        <v>1305</v>
      </c>
      <c r="Z24" s="272" t="s">
        <v>1305</v>
      </c>
      <c r="AA24" s="272"/>
      <c r="AB24" s="272"/>
      <c r="AC24" s="272"/>
      <c r="AD24" s="272"/>
      <c r="AE24" s="273" t="str">
        <f aca="false">IF($U24="✓","D01; ","")&amp;IF($V24="✓","D02; ","")&amp;IF($W24="✓","D03; ","")&amp;IF($X24="✓","D04; ","")&amp;IF($Y24="✓","D05; ","")&amp;IF($Z24="✓","D06; ","")&amp;IF($AA24="✓","D07; ","")&amp;IF($AB24="✓","D08; ","")&amp;IF($AC24="✓","D09; ","")&amp;IF($AD24="✓","D10; ","")</f>
        <v>D05; D06; </v>
      </c>
    </row>
    <row r="25" customFormat="false" ht="25.5" hidden="false" customHeight="true" outlineLevel="0" collapsed="false">
      <c r="A25" s="265" t="s">
        <v>2119</v>
      </c>
      <c r="B25" s="266" t="s">
        <v>2120</v>
      </c>
      <c r="C25" s="267" t="s">
        <v>2121</v>
      </c>
      <c r="D25" s="268" t="s">
        <v>2110</v>
      </c>
      <c r="E25" s="269" t="s">
        <v>1994</v>
      </c>
      <c r="F25" s="270" t="str">
        <f aca="false">IF($AE25="","",LEFT($AE25,LEN($AE25)-2))</f>
        <v>D05</v>
      </c>
      <c r="G25" s="266" t="s">
        <v>2122</v>
      </c>
      <c r="H25" s="269" t="s">
        <v>1994</v>
      </c>
      <c r="I25" s="269" t="n">
        <v>0</v>
      </c>
      <c r="J25" s="269" t="n">
        <v>0</v>
      </c>
      <c r="K25" s="269" t="n">
        <v>0</v>
      </c>
      <c r="L25" s="269" t="n">
        <v>0</v>
      </c>
      <c r="M25" s="269" t="n">
        <v>0</v>
      </c>
      <c r="N25" s="269" t="n">
        <v>0</v>
      </c>
      <c r="O25" s="269" t="n">
        <v>0</v>
      </c>
      <c r="P25" s="271" t="n">
        <f aca="false">IF($B25="","",IFERROR(ROUND(AVERAGE(I25:O25),1),"（待評分）"))</f>
        <v>0</v>
      </c>
      <c r="Q25" s="269" t="s">
        <v>1995</v>
      </c>
      <c r="R25" s="181" t="s">
        <v>2112</v>
      </c>
      <c r="S25" s="266" t="s">
        <v>2123</v>
      </c>
      <c r="T25" s="270" t="str">
        <f aca="false">IF($B25="","",$A25&amp;" "&amp;$B25)</f>
        <v>P-021 手術室與重症設備整合商</v>
      </c>
      <c r="U25" s="272"/>
      <c r="V25" s="272"/>
      <c r="W25" s="272"/>
      <c r="X25" s="272"/>
      <c r="Y25" s="272" t="s">
        <v>1305</v>
      </c>
      <c r="Z25" s="272"/>
      <c r="AA25" s="272"/>
      <c r="AB25" s="272"/>
      <c r="AC25" s="272"/>
      <c r="AD25" s="272"/>
      <c r="AE25" s="273" t="str">
        <f aca="false">IF($U25="✓","D01; ","")&amp;IF($V25="✓","D02; ","")&amp;IF($W25="✓","D03; ","")&amp;IF($X25="✓","D04; ","")&amp;IF($Y25="✓","D05; ","")&amp;IF($Z25="✓","D06; ","")&amp;IF($AA25="✓","D07; ","")&amp;IF($AB25="✓","D08; ","")&amp;IF($AC25="✓","D09; ","")&amp;IF($AD25="✓","D10; ","")</f>
        <v>D05; </v>
      </c>
    </row>
    <row r="26" customFormat="false" ht="25.5" hidden="false" customHeight="true" outlineLevel="0" collapsed="false">
      <c r="A26" s="265" t="s">
        <v>2124</v>
      </c>
      <c r="B26" s="266" t="s">
        <v>2125</v>
      </c>
      <c r="C26" s="267" t="s">
        <v>2126</v>
      </c>
      <c r="D26" s="268" t="s">
        <v>2127</v>
      </c>
      <c r="E26" s="269" t="s">
        <v>2002</v>
      </c>
      <c r="F26" s="270" t="str">
        <f aca="false">IF($AE26="","",LEFT($AE26,LEN($AE26)-2))</f>
        <v>D06</v>
      </c>
      <c r="G26" s="267" t="s">
        <v>2128</v>
      </c>
      <c r="H26" s="269" t="s">
        <v>2004</v>
      </c>
      <c r="I26" s="269" t="n">
        <v>0</v>
      </c>
      <c r="J26" s="269" t="n">
        <v>0</v>
      </c>
      <c r="K26" s="269" t="n">
        <v>0</v>
      </c>
      <c r="L26" s="269" t="n">
        <v>0</v>
      </c>
      <c r="M26" s="269" t="n">
        <v>0</v>
      </c>
      <c r="N26" s="269" t="n">
        <v>0</v>
      </c>
      <c r="O26" s="269" t="n">
        <v>0</v>
      </c>
      <c r="P26" s="271" t="n">
        <f aca="false">IF($B26="","",IFERROR(ROUND(AVERAGE(I26:O26),1),"（待評分）"))</f>
        <v>0</v>
      </c>
      <c r="Q26" s="269" t="s">
        <v>1995</v>
      </c>
      <c r="R26" s="181" t="s">
        <v>2112</v>
      </c>
      <c r="S26" s="266" t="s">
        <v>2129</v>
      </c>
      <c r="T26" s="270" t="str">
        <f aca="false">IF($B26="","",$A26&amp;" "&amp;$B26)</f>
        <v>P-022 越南數位身分介接夥伴</v>
      </c>
      <c r="U26" s="272"/>
      <c r="V26" s="272"/>
      <c r="W26" s="272"/>
      <c r="X26" s="272"/>
      <c r="Y26" s="272"/>
      <c r="Z26" s="272" t="s">
        <v>1305</v>
      </c>
      <c r="AA26" s="272"/>
      <c r="AB26" s="272"/>
      <c r="AC26" s="272"/>
      <c r="AD26" s="272"/>
      <c r="AE26" s="273" t="str">
        <f aca="false">IF($U26="✓","D01; ","")&amp;IF($V26="✓","D02; ","")&amp;IF($W26="✓","D03; ","")&amp;IF($X26="✓","D04; ","")&amp;IF($Y26="✓","D05; ","")&amp;IF($Z26="✓","D06; ","")&amp;IF($AA26="✓","D07; ","")&amp;IF($AB26="✓","D08; ","")&amp;IF($AC26="✓","D09; ","")&amp;IF($AD26="✓","D10; ","")</f>
        <v>D06; </v>
      </c>
    </row>
    <row r="27" customFormat="false" ht="25.5" hidden="false" customHeight="true" outlineLevel="0" collapsed="false">
      <c r="A27" s="265" t="s">
        <v>2130</v>
      </c>
      <c r="B27" s="266" t="s">
        <v>2131</v>
      </c>
      <c r="C27" s="267" t="s">
        <v>2132</v>
      </c>
      <c r="D27" s="268" t="s">
        <v>2133</v>
      </c>
      <c r="E27" s="269" t="s">
        <v>2002</v>
      </c>
      <c r="F27" s="270" t="str">
        <f aca="false">IF($AE27="","",LEFT($AE27,LEN($AE27)-2))</f>
        <v>D06; D10</v>
      </c>
      <c r="G27" s="266" t="s">
        <v>2134</v>
      </c>
      <c r="H27" s="269" t="s">
        <v>2004</v>
      </c>
      <c r="I27" s="269" t="n">
        <v>0</v>
      </c>
      <c r="J27" s="269" t="n">
        <v>0</v>
      </c>
      <c r="K27" s="269" t="n">
        <v>0</v>
      </c>
      <c r="L27" s="269" t="n">
        <v>0</v>
      </c>
      <c r="M27" s="269" t="n">
        <v>0</v>
      </c>
      <c r="N27" s="269" t="n">
        <v>0</v>
      </c>
      <c r="O27" s="269" t="n">
        <v>0</v>
      </c>
      <c r="P27" s="271" t="n">
        <f aca="false">IF($B27="","",IFERROR(ROUND(AVERAGE(I27:O27),1),"（待評分）"))</f>
        <v>0</v>
      </c>
      <c r="Q27" s="269" t="s">
        <v>1995</v>
      </c>
      <c r="R27" s="181" t="s">
        <v>2112</v>
      </c>
      <c r="S27" s="266" t="s">
        <v>2135</v>
      </c>
      <c r="T27" s="270" t="str">
        <f aca="false">IF($B27="","",$A27&amp;" "&amp;$B27)</f>
        <v>P-023 病人App與在地支付夥伴</v>
      </c>
      <c r="U27" s="272"/>
      <c r="V27" s="272"/>
      <c r="W27" s="272"/>
      <c r="X27" s="272"/>
      <c r="Y27" s="272"/>
      <c r="Z27" s="272" t="s">
        <v>1305</v>
      </c>
      <c r="AA27" s="272"/>
      <c r="AB27" s="272"/>
      <c r="AC27" s="272"/>
      <c r="AD27" s="272" t="s">
        <v>1305</v>
      </c>
      <c r="AE27" s="273" t="str">
        <f aca="false">IF($U27="✓","D01; ","")&amp;IF($V27="✓","D02; ","")&amp;IF($W27="✓","D03; ","")&amp;IF($X27="✓","D04; ","")&amp;IF($Y27="✓","D05; ","")&amp;IF($Z27="✓","D06; ","")&amp;IF($AA27="✓","D07; ","")&amp;IF($AB27="✓","D08; ","")&amp;IF($AC27="✓","D09; ","")&amp;IF($AD27="✓","D10; ","")</f>
        <v>D06; D10; </v>
      </c>
    </row>
    <row r="28" customFormat="false" ht="25.5" hidden="false" customHeight="true" outlineLevel="0" collapsed="false">
      <c r="A28" s="265" t="s">
        <v>2136</v>
      </c>
      <c r="B28" s="266" t="s">
        <v>2137</v>
      </c>
      <c r="C28" s="267" t="s">
        <v>2138</v>
      </c>
      <c r="D28" s="268" t="s">
        <v>2139</v>
      </c>
      <c r="E28" s="269" t="s">
        <v>2002</v>
      </c>
      <c r="F28" s="270" t="str">
        <f aca="false">IF($AE28="","",LEFT($AE28,LEN($AE28)-2))</f>
        <v>D08</v>
      </c>
      <c r="G28" s="266" t="s">
        <v>2140</v>
      </c>
      <c r="H28" s="269" t="s">
        <v>2004</v>
      </c>
      <c r="I28" s="269" t="n">
        <v>0</v>
      </c>
      <c r="J28" s="269" t="n">
        <v>0</v>
      </c>
      <c r="K28" s="269" t="n">
        <v>0</v>
      </c>
      <c r="L28" s="269" t="n">
        <v>0</v>
      </c>
      <c r="M28" s="269" t="n">
        <v>0</v>
      </c>
      <c r="N28" s="269" t="n">
        <v>0</v>
      </c>
      <c r="O28" s="269" t="n">
        <v>0</v>
      </c>
      <c r="P28" s="271" t="n">
        <f aca="false">IF($B28="","",IFERROR(ROUND(AVERAGE(I28:O28),1),"（待評分）"))</f>
        <v>0</v>
      </c>
      <c r="Q28" s="269" t="s">
        <v>2005</v>
      </c>
      <c r="R28" s="181" t="s">
        <v>2112</v>
      </c>
      <c r="S28" s="266" t="s">
        <v>2141</v>
      </c>
      <c r="T28" s="270" t="str">
        <f aca="false">IF($B28="","",$A28&amp;" "&amp;$B28)</f>
        <v>P-024 越南醫護大學／人力機構</v>
      </c>
      <c r="U28" s="272"/>
      <c r="V28" s="272"/>
      <c r="W28" s="272"/>
      <c r="X28" s="272"/>
      <c r="Y28" s="272"/>
      <c r="Z28" s="272"/>
      <c r="AA28" s="272"/>
      <c r="AB28" s="272" t="s">
        <v>1305</v>
      </c>
      <c r="AC28" s="272"/>
      <c r="AD28" s="272"/>
      <c r="AE28" s="273" t="str">
        <f aca="false">IF($U28="✓","D01; ","")&amp;IF($V28="✓","D02; ","")&amp;IF($W28="✓","D03; ","")&amp;IF($X28="✓","D04; ","")&amp;IF($Y28="✓","D05; ","")&amp;IF($Z28="✓","D06; ","")&amp;IF($AA28="✓","D07; ","")&amp;IF($AB28="✓","D08; ","")&amp;IF($AC28="✓","D09; ","")&amp;IF($AD28="✓","D10; ","")</f>
        <v>D08; </v>
      </c>
    </row>
    <row r="29" customFormat="false" ht="25.5" hidden="false" customHeight="true" outlineLevel="0" collapsed="false">
      <c r="A29" s="265" t="s">
        <v>2142</v>
      </c>
      <c r="B29" s="266" t="s">
        <v>2143</v>
      </c>
      <c r="C29" s="267" t="s">
        <v>2144</v>
      </c>
      <c r="D29" s="268" t="s">
        <v>2127</v>
      </c>
      <c r="E29" s="269" t="s">
        <v>2002</v>
      </c>
      <c r="F29" s="270" t="str">
        <f aca="false">IF($AE29="","",LEFT($AE29,LEN($AE29)-2))</f>
        <v>D10</v>
      </c>
      <c r="G29" s="266" t="s">
        <v>2145</v>
      </c>
      <c r="H29" s="269" t="s">
        <v>2004</v>
      </c>
      <c r="I29" s="269" t="n">
        <v>0</v>
      </c>
      <c r="J29" s="269" t="n">
        <v>0</v>
      </c>
      <c r="K29" s="269" t="n">
        <v>0</v>
      </c>
      <c r="L29" s="269" t="n">
        <v>0</v>
      </c>
      <c r="M29" s="269" t="n">
        <v>0</v>
      </c>
      <c r="N29" s="269" t="n">
        <v>0</v>
      </c>
      <c r="O29" s="269" t="n">
        <v>0</v>
      </c>
      <c r="P29" s="271" t="n">
        <f aca="false">IF($B29="","",IFERROR(ROUND(AVERAGE(I29:O29),1),"（待評分）"))</f>
        <v>0</v>
      </c>
      <c r="Q29" s="269" t="s">
        <v>1995</v>
      </c>
      <c r="R29" s="181" t="s">
        <v>2112</v>
      </c>
      <c r="S29" s="266" t="s">
        <v>2146</v>
      </c>
      <c r="T29" s="270" t="str">
        <f aca="false">IF($B29="","",$A29&amp;" "&amp;$B29)</f>
        <v>P-025 越南健保申報介接夥伴</v>
      </c>
      <c r="U29" s="272"/>
      <c r="V29" s="272"/>
      <c r="W29" s="272"/>
      <c r="X29" s="272"/>
      <c r="Y29" s="272"/>
      <c r="Z29" s="272"/>
      <c r="AA29" s="272"/>
      <c r="AB29" s="272"/>
      <c r="AC29" s="272"/>
      <c r="AD29" s="272" t="s">
        <v>1305</v>
      </c>
      <c r="AE29" s="273" t="str">
        <f aca="false">IF($U29="✓","D01; ","")&amp;IF($V29="✓","D02; ","")&amp;IF($W29="✓","D03; ","")&amp;IF($X29="✓","D04; ","")&amp;IF($Y29="✓","D05; ","")&amp;IF($Z29="✓","D06; ","")&amp;IF($AA29="✓","D07; ","")&amp;IF($AB29="✓","D08; ","")&amp;IF($AC29="✓","D09; ","")&amp;IF($AD29="✓","D10; ","")</f>
        <v>D10; </v>
      </c>
    </row>
    <row r="30" customFormat="false" ht="25.5" hidden="false" customHeight="true" outlineLevel="0" collapsed="false">
      <c r="A30" s="265" t="s">
        <v>2147</v>
      </c>
      <c r="B30" s="266" t="s">
        <v>2148</v>
      </c>
      <c r="C30" s="267" t="s">
        <v>2149</v>
      </c>
      <c r="D30" s="268" t="s">
        <v>2133</v>
      </c>
      <c r="E30" s="269" t="s">
        <v>1994</v>
      </c>
      <c r="F30" s="270" t="str">
        <f aca="false">IF($AE30="","",LEFT($AE30,LEN($AE30)-2))</f>
        <v>D10</v>
      </c>
      <c r="G30" s="266" t="s">
        <v>2150</v>
      </c>
      <c r="H30" s="269" t="s">
        <v>1994</v>
      </c>
      <c r="I30" s="269" t="n">
        <v>0</v>
      </c>
      <c r="J30" s="269" t="n">
        <v>0</v>
      </c>
      <c r="K30" s="269" t="n">
        <v>0</v>
      </c>
      <c r="L30" s="269" t="n">
        <v>0</v>
      </c>
      <c r="M30" s="269" t="n">
        <v>0</v>
      </c>
      <c r="N30" s="269" t="n">
        <v>0</v>
      </c>
      <c r="O30" s="269" t="n">
        <v>0</v>
      </c>
      <c r="P30" s="271" t="n">
        <f aca="false">IF($B30="","",IFERROR(ROUND(AVERAGE(I30:O30),1),"（待評分）"))</f>
        <v>0</v>
      </c>
      <c r="Q30" s="269" t="s">
        <v>1995</v>
      </c>
      <c r="R30" s="181" t="s">
        <v>2112</v>
      </c>
      <c r="S30" s="266" t="s">
        <v>2151</v>
      </c>
      <c r="T30" s="270" t="str">
        <f aca="false">IF($B30="","",$A30&amp;" "&amp;$B30)</f>
        <v>P-026 醫院收費與金流服務商</v>
      </c>
      <c r="U30" s="272"/>
      <c r="V30" s="272"/>
      <c r="W30" s="272"/>
      <c r="X30" s="272"/>
      <c r="Y30" s="272"/>
      <c r="Z30" s="272"/>
      <c r="AA30" s="272"/>
      <c r="AB30" s="272"/>
      <c r="AC30" s="272"/>
      <c r="AD30" s="272" t="s">
        <v>1305</v>
      </c>
      <c r="AE30" s="273" t="str">
        <f aca="false">IF($U30="✓","D01; ","")&amp;IF($V30="✓","D02; ","")&amp;IF($W30="✓","D03; ","")&amp;IF($X30="✓","D04; ","")&amp;IF($Y30="✓","D05; ","")&amp;IF($Z30="✓","D06; ","")&amp;IF($AA30="✓","D07; ","")&amp;IF($AB30="✓","D08; ","")&amp;IF($AC30="✓","D09; ","")&amp;IF($AD30="✓","D10; ","")</f>
        <v>D10; </v>
      </c>
    </row>
    <row r="31" customFormat="false" ht="25.5" hidden="false" customHeight="true" outlineLevel="0" collapsed="false">
      <c r="A31" s="265" t="s">
        <v>2152</v>
      </c>
      <c r="B31" s="266" t="s">
        <v>2153</v>
      </c>
      <c r="C31" s="267" t="s">
        <v>2154</v>
      </c>
      <c r="D31" s="268" t="s">
        <v>2155</v>
      </c>
      <c r="E31" s="269" t="s">
        <v>1994</v>
      </c>
      <c r="F31" s="270" t="str">
        <f aca="false">IF($AE31="","",LEFT($AE31,LEN($AE31)-2))</f>
        <v>D10</v>
      </c>
      <c r="G31" s="266" t="s">
        <v>2156</v>
      </c>
      <c r="H31" s="269" t="s">
        <v>1994</v>
      </c>
      <c r="I31" s="269" t="n">
        <v>0</v>
      </c>
      <c r="J31" s="269" t="n">
        <v>0</v>
      </c>
      <c r="K31" s="269" t="n">
        <v>0</v>
      </c>
      <c r="L31" s="269" t="n">
        <v>0</v>
      </c>
      <c r="M31" s="269" t="n">
        <v>0</v>
      </c>
      <c r="N31" s="269" t="n">
        <v>0</v>
      </c>
      <c r="O31" s="269" t="n">
        <v>0</v>
      </c>
      <c r="P31" s="271" t="n">
        <f aca="false">IF($B31="","",IFERROR(ROUND(AVERAGE(I31:O31),1),"（待評分）"))</f>
        <v>0</v>
      </c>
      <c r="Q31" s="269" t="s">
        <v>1995</v>
      </c>
      <c r="R31" s="181" t="s">
        <v>2112</v>
      </c>
      <c r="S31" s="266" t="s">
        <v>2157</v>
      </c>
      <c r="T31" s="270" t="str">
        <f aca="false">IF($B31="","",$A31&amp;" "&amp;$B31)</f>
        <v>P-027 國際醫療行銷與保險通路</v>
      </c>
      <c r="U31" s="272"/>
      <c r="V31" s="272"/>
      <c r="W31" s="272"/>
      <c r="X31" s="272"/>
      <c r="Y31" s="272"/>
      <c r="Z31" s="272"/>
      <c r="AA31" s="272"/>
      <c r="AB31" s="272"/>
      <c r="AC31" s="272"/>
      <c r="AD31" s="272" t="s">
        <v>1305</v>
      </c>
      <c r="AE31" s="273" t="str">
        <f aca="false">IF($U31="✓","D01; ","")&amp;IF($V31="✓","D02; ","")&amp;IF($W31="✓","D03; ","")&amp;IF($X31="✓","D04; ","")&amp;IF($Y31="✓","D05; ","")&amp;IF($Z31="✓","D06; ","")&amp;IF($AA31="✓","D07; ","")&amp;IF($AB31="✓","D08; ","")&amp;IF($AC31="✓","D09; ","")&amp;IF($AD31="✓","D10; ","")</f>
        <v>D10; </v>
      </c>
    </row>
    <row r="32" customFormat="false" ht="25.5" hidden="false" customHeight="true" outlineLevel="0" collapsed="false">
      <c r="A32" s="55" t="s">
        <v>2158</v>
      </c>
      <c r="B32" s="53" t="s">
        <v>2159</v>
      </c>
      <c r="C32" s="52" t="s">
        <v>2160</v>
      </c>
      <c r="D32" s="60" t="s">
        <v>2110</v>
      </c>
      <c r="E32" s="59" t="s">
        <v>2002</v>
      </c>
      <c r="F32" s="54" t="str">
        <f aca="false">IF($AE32="","",LEFT($AE32,LEN($AE32)-2))</f>
        <v>D05; D09</v>
      </c>
      <c r="G32" s="53" t="s">
        <v>2161</v>
      </c>
      <c r="H32" s="59" t="s">
        <v>2004</v>
      </c>
      <c r="I32" s="59" t="n">
        <v>1</v>
      </c>
      <c r="J32" s="59" t="n">
        <v>1</v>
      </c>
      <c r="K32" s="59" t="n">
        <v>3</v>
      </c>
      <c r="L32" s="59" t="n">
        <v>5</v>
      </c>
      <c r="M32" s="59" t="n">
        <v>1</v>
      </c>
      <c r="N32" s="59" t="n">
        <v>2</v>
      </c>
      <c r="O32" s="59" t="n">
        <v>5</v>
      </c>
      <c r="P32" s="262" t="n">
        <f aca="false">IF($B32="","",IFERROR(ROUND(AVERAGE(I32:O32),1),"（待評分）"))</f>
        <v>2.6</v>
      </c>
      <c r="Q32" s="59" t="s">
        <v>2005</v>
      </c>
      <c r="R32" s="59" t="s">
        <v>1996</v>
      </c>
      <c r="S32" s="53" t="s">
        <v>2162</v>
      </c>
      <c r="T32" s="54" t="str">
        <f aca="false">IF($B32="","",$A32&amp;" "&amp;$B32)</f>
        <v>P-028 越南在地維修服務網</v>
      </c>
      <c r="U32" s="263"/>
      <c r="V32" s="263"/>
      <c r="W32" s="263"/>
      <c r="X32" s="263"/>
      <c r="Y32" s="263" t="s">
        <v>1305</v>
      </c>
      <c r="Z32" s="263"/>
      <c r="AA32" s="263"/>
      <c r="AB32" s="263"/>
      <c r="AC32" s="263" t="s">
        <v>1305</v>
      </c>
      <c r="AD32" s="263"/>
      <c r="AE32" s="264" t="str">
        <f aca="false">IF($U32="✓","D01; ","")&amp;IF($V32="✓","D02; ","")&amp;IF($W32="✓","D03; ","")&amp;IF($X32="✓","D04; ","")&amp;IF($Y32="✓","D05; ","")&amp;IF($Z32="✓","D06; ","")&amp;IF($AA32="✓","D07; ","")&amp;IF($AB32="✓","D08; ","")&amp;IF($AC32="✓","D09; ","")&amp;IF($AD32="✓","D10; ","")</f>
        <v>D05; D09; </v>
      </c>
    </row>
    <row r="33" customFormat="false" ht="25.5" hidden="false" customHeight="true" outlineLevel="0" collapsed="false">
      <c r="A33" s="55" t="s">
        <v>2163</v>
      </c>
      <c r="B33" s="53" t="s">
        <v>2164</v>
      </c>
      <c r="C33" s="52" t="s">
        <v>2165</v>
      </c>
      <c r="D33" s="60" t="s">
        <v>2127</v>
      </c>
      <c r="E33" s="59" t="s">
        <v>1994</v>
      </c>
      <c r="F33" s="54" t="str">
        <f aca="false">IF($AE33="","",LEFT($AE33,LEN($AE33)-2))</f>
        <v>D04</v>
      </c>
      <c r="G33" s="52" t="s">
        <v>2166</v>
      </c>
      <c r="H33" s="59" t="s">
        <v>1994</v>
      </c>
      <c r="I33" s="59" t="n">
        <v>2</v>
      </c>
      <c r="J33" s="59" t="n">
        <v>3</v>
      </c>
      <c r="K33" s="59" t="n">
        <v>4</v>
      </c>
      <c r="L33" s="59" t="n">
        <v>3</v>
      </c>
      <c r="M33" s="59" t="n">
        <v>1</v>
      </c>
      <c r="N33" s="59" t="n">
        <v>4</v>
      </c>
      <c r="O33" s="59" t="n">
        <v>3</v>
      </c>
      <c r="P33" s="262" t="n">
        <f aca="false">IF($B33="","",IFERROR(ROUND(AVERAGE(I33:O33),1),"（待評分）"))</f>
        <v>2.9</v>
      </c>
      <c r="Q33" s="59" t="s">
        <v>1995</v>
      </c>
      <c r="R33" s="59" t="s">
        <v>2046</v>
      </c>
      <c r="S33" s="53" t="s">
        <v>2167</v>
      </c>
      <c r="T33" s="54" t="str">
        <f aca="false">IF($B33="","",$A33&amp;" "&amp;$B33)</f>
        <v>P-029 智慧院區設備商（BMS/RTLS）</v>
      </c>
      <c r="U33" s="263"/>
      <c r="V33" s="263"/>
      <c r="W33" s="263"/>
      <c r="X33" s="263" t="s">
        <v>1305</v>
      </c>
      <c r="Y33" s="263"/>
      <c r="Z33" s="263"/>
      <c r="AA33" s="263"/>
      <c r="AB33" s="263"/>
      <c r="AC33" s="263"/>
      <c r="AD33" s="263"/>
      <c r="AE33" s="264" t="str">
        <f aca="false">IF($U33="✓","D01; ","")&amp;IF($V33="✓","D02; ","")&amp;IF($W33="✓","D03; ","")&amp;IF($X33="✓","D04; ","")&amp;IF($Y33="✓","D05; ","")&amp;IF($Z33="✓","D06; ","")&amp;IF($AA33="✓","D07; ","")&amp;IF($AB33="✓","D08; ","")&amp;IF($AC33="✓","D09; ","")&amp;IF($AD33="✓","D10; ","")</f>
        <v>D04; </v>
      </c>
    </row>
    <row r="34" customFormat="false" ht="25.5" hidden="false" customHeight="true" outlineLevel="0" collapsed="false">
      <c r="A34" s="55" t="str">
        <f aca="false">IF($B34="","",IFERROR("P-"&amp;TEXT(VALUE(MID($A33,3,3))+1,"000"),"P-???"))</f>
        <v/>
      </c>
      <c r="B34" s="52"/>
      <c r="C34" s="52"/>
      <c r="D34" s="60"/>
      <c r="E34" s="59"/>
      <c r="F34" s="54" t="str">
        <f aca="false">IF($AE34="","",LEFT($AE34,LEN($AE34)-2))</f>
        <v/>
      </c>
      <c r="G34" s="52"/>
      <c r="H34" s="59"/>
      <c r="I34" s="59"/>
      <c r="J34" s="59"/>
      <c r="K34" s="59"/>
      <c r="L34" s="59"/>
      <c r="M34" s="59"/>
      <c r="N34" s="59"/>
      <c r="O34" s="59"/>
      <c r="P34" s="262" t="str">
        <f aca="false">IF($B34="","",IFERROR(ROUND(AVERAGE(I34:O34),1),"（待評分）"))</f>
        <v/>
      </c>
      <c r="Q34" s="59"/>
      <c r="R34" s="59"/>
      <c r="S34" s="52"/>
      <c r="T34" s="54" t="str">
        <f aca="false">IF($B34="","",$A34&amp;" "&amp;$B34)</f>
        <v/>
      </c>
      <c r="U34" s="263"/>
      <c r="V34" s="263"/>
      <c r="W34" s="263"/>
      <c r="X34" s="263"/>
      <c r="Y34" s="263"/>
      <c r="Z34" s="263"/>
      <c r="AA34" s="263"/>
      <c r="AB34" s="263"/>
      <c r="AC34" s="263"/>
      <c r="AD34" s="263"/>
      <c r="AE34" s="264" t="str">
        <f aca="false">IF($U34="✓","D01; ","")&amp;IF($V34="✓","D02; ","")&amp;IF($W34="✓","D03; ","")&amp;IF($X34="✓","D04; ","")&amp;IF($Y34="✓","D05; ","")&amp;IF($Z34="✓","D06; ","")&amp;IF($AA34="✓","D07; ","")&amp;IF($AB34="✓","D08; ","")&amp;IF($AC34="✓","D09; ","")&amp;IF($AD34="✓","D10; ","")</f>
        <v/>
      </c>
    </row>
    <row r="35" customFormat="false" ht="25.5" hidden="false" customHeight="true" outlineLevel="0" collapsed="false">
      <c r="A35" s="55" t="str">
        <f aca="false">IF($B35="","",IFERROR("P-"&amp;TEXT(VALUE(MID($A34,3,3))+1,"000"),"P-???"))</f>
        <v/>
      </c>
      <c r="B35" s="52"/>
      <c r="C35" s="52"/>
      <c r="D35" s="60"/>
      <c r="E35" s="59"/>
      <c r="F35" s="54" t="str">
        <f aca="false">IF($AE35="","",LEFT($AE35,LEN($AE35)-2))</f>
        <v/>
      </c>
      <c r="G35" s="52"/>
      <c r="H35" s="59"/>
      <c r="I35" s="59"/>
      <c r="J35" s="59"/>
      <c r="K35" s="59"/>
      <c r="L35" s="59"/>
      <c r="M35" s="59"/>
      <c r="N35" s="59"/>
      <c r="O35" s="59"/>
      <c r="P35" s="262" t="str">
        <f aca="false">IF($B35="","",IFERROR(ROUND(AVERAGE(I35:O35),1),"（待評分）"))</f>
        <v/>
      </c>
      <c r="Q35" s="59"/>
      <c r="R35" s="59"/>
      <c r="S35" s="52"/>
      <c r="T35" s="54" t="str">
        <f aca="false">IF($B35="","",$A35&amp;" "&amp;$B35)</f>
        <v/>
      </c>
      <c r="U35" s="263"/>
      <c r="V35" s="263"/>
      <c r="W35" s="263"/>
      <c r="X35" s="263"/>
      <c r="Y35" s="263"/>
      <c r="Z35" s="263"/>
      <c r="AA35" s="263"/>
      <c r="AB35" s="263"/>
      <c r="AC35" s="263"/>
      <c r="AD35" s="263"/>
      <c r="AE35" s="264" t="str">
        <f aca="false">IF($U35="✓","D01; ","")&amp;IF($V35="✓","D02; ","")&amp;IF($W35="✓","D03; ","")&amp;IF($X35="✓","D04; ","")&amp;IF($Y35="✓","D05; ","")&amp;IF($Z35="✓","D06; ","")&amp;IF($AA35="✓","D07; ","")&amp;IF($AB35="✓","D08; ","")&amp;IF($AC35="✓","D09; ","")&amp;IF($AD35="✓","D10; ","")</f>
        <v/>
      </c>
    </row>
    <row r="36" customFormat="false" ht="25.5" hidden="false" customHeight="true" outlineLevel="0" collapsed="false">
      <c r="A36" s="55" t="str">
        <f aca="false">IF($B36="","",IFERROR("P-"&amp;TEXT(VALUE(MID($A35,3,3))+1,"000"),"P-???"))</f>
        <v/>
      </c>
      <c r="B36" s="52"/>
      <c r="C36" s="52"/>
      <c r="D36" s="60"/>
      <c r="E36" s="59"/>
      <c r="F36" s="54" t="str">
        <f aca="false">IF($AE36="","",LEFT($AE36,LEN($AE36)-2))</f>
        <v/>
      </c>
      <c r="G36" s="52"/>
      <c r="H36" s="59"/>
      <c r="I36" s="59"/>
      <c r="J36" s="59"/>
      <c r="K36" s="59"/>
      <c r="L36" s="59"/>
      <c r="M36" s="59"/>
      <c r="N36" s="59"/>
      <c r="O36" s="59"/>
      <c r="P36" s="262" t="str">
        <f aca="false">IF($B36="","",IFERROR(ROUND(AVERAGE(I36:O36),1),"（待評分）"))</f>
        <v/>
      </c>
      <c r="Q36" s="59"/>
      <c r="R36" s="59"/>
      <c r="S36" s="52"/>
      <c r="T36" s="54" t="str">
        <f aca="false">IF($B36="","",$A36&amp;" "&amp;$B36)</f>
        <v/>
      </c>
      <c r="U36" s="263"/>
      <c r="V36" s="263"/>
      <c r="W36" s="263"/>
      <c r="X36" s="263"/>
      <c r="Y36" s="263"/>
      <c r="Z36" s="263"/>
      <c r="AA36" s="263"/>
      <c r="AB36" s="263"/>
      <c r="AC36" s="263"/>
      <c r="AD36" s="263"/>
      <c r="AE36" s="264" t="str">
        <f aca="false">IF($U36="✓","D01; ","")&amp;IF($V36="✓","D02; ","")&amp;IF($W36="✓","D03; ","")&amp;IF($X36="✓","D04; ","")&amp;IF($Y36="✓","D05; ","")&amp;IF($Z36="✓","D06; ","")&amp;IF($AA36="✓","D07; ","")&amp;IF($AB36="✓","D08; ","")&amp;IF($AC36="✓","D09; ","")&amp;IF($AD36="✓","D10; ","")</f>
        <v/>
      </c>
    </row>
    <row r="37" customFormat="false" ht="25.5" hidden="false" customHeight="true" outlineLevel="0" collapsed="false">
      <c r="A37" s="55" t="str">
        <f aca="false">IF($B37="","",IFERROR("P-"&amp;TEXT(VALUE(MID($A36,3,3))+1,"000"),"P-???"))</f>
        <v/>
      </c>
      <c r="B37" s="52"/>
      <c r="C37" s="52"/>
      <c r="D37" s="60"/>
      <c r="E37" s="59"/>
      <c r="F37" s="54" t="str">
        <f aca="false">IF($AE37="","",LEFT($AE37,LEN($AE37)-2))</f>
        <v/>
      </c>
      <c r="G37" s="52"/>
      <c r="H37" s="59"/>
      <c r="I37" s="59"/>
      <c r="J37" s="59"/>
      <c r="K37" s="59"/>
      <c r="L37" s="59"/>
      <c r="M37" s="59"/>
      <c r="N37" s="59"/>
      <c r="O37" s="59"/>
      <c r="P37" s="262" t="str">
        <f aca="false">IF($B37="","",IFERROR(ROUND(AVERAGE(I37:O37),1),"（待評分）"))</f>
        <v/>
      </c>
      <c r="Q37" s="59"/>
      <c r="R37" s="59"/>
      <c r="S37" s="52"/>
      <c r="T37" s="54" t="str">
        <f aca="false">IF($B37="","",$A37&amp;" "&amp;$B37)</f>
        <v/>
      </c>
      <c r="U37" s="263"/>
      <c r="V37" s="263"/>
      <c r="W37" s="263"/>
      <c r="X37" s="263"/>
      <c r="Y37" s="263"/>
      <c r="Z37" s="263"/>
      <c r="AA37" s="263"/>
      <c r="AB37" s="263"/>
      <c r="AC37" s="263"/>
      <c r="AD37" s="263"/>
      <c r="AE37" s="264" t="str">
        <f aca="false">IF($U37="✓","D01; ","")&amp;IF($V37="✓","D02; ","")&amp;IF($W37="✓","D03; ","")&amp;IF($X37="✓","D04; ","")&amp;IF($Y37="✓","D05; ","")&amp;IF($Z37="✓","D06; ","")&amp;IF($AA37="✓","D07; ","")&amp;IF($AB37="✓","D08; ","")&amp;IF($AC37="✓","D09; ","")&amp;IF($AD37="✓","D10; ","")</f>
        <v/>
      </c>
    </row>
    <row r="39" customFormat="false" ht="17.15" hidden="false" customHeight="false" outlineLevel="0" collapsed="false">
      <c r="A39" s="6" t="s">
        <v>2168</v>
      </c>
    </row>
    <row r="40" customFormat="false" ht="19.5" hidden="false" customHeight="true" outlineLevel="0" collapsed="false">
      <c r="A40" s="36" t="s">
        <v>2169</v>
      </c>
      <c r="B40" s="220" t="s">
        <v>2170</v>
      </c>
      <c r="C40" s="220" t="s">
        <v>2171</v>
      </c>
      <c r="D40" s="220" t="s">
        <v>2172</v>
      </c>
      <c r="E40" s="220" t="s">
        <v>2173</v>
      </c>
      <c r="F40" s="220" t="s">
        <v>2174</v>
      </c>
      <c r="G40" s="220" t="s">
        <v>2175</v>
      </c>
      <c r="H40" s="220" t="s">
        <v>2176</v>
      </c>
      <c r="I40" s="220" t="s">
        <v>2177</v>
      </c>
      <c r="J40" s="220" t="s">
        <v>2178</v>
      </c>
      <c r="K40" s="220" t="s">
        <v>2179</v>
      </c>
      <c r="L40" s="36" t="s">
        <v>2180</v>
      </c>
    </row>
    <row r="41" customFormat="false" ht="26.85" hidden="false" customHeight="false" outlineLevel="0" collapsed="false">
      <c r="A41" s="250" t="str">
        <f aca="false">IF($B5="","",$A5&amp;" "&amp;$B5)</f>
        <v>P-001 群晶科技</v>
      </c>
      <c r="B41" s="274" t="str">
        <f aca="false">IF($B5="","",IF(ISNUMBER(SEARCH("D01",$F5)),"✓",""))</f>
        <v>✓</v>
      </c>
      <c r="C41" s="274" t="str">
        <f aca="false">IF($B5="","",IF(ISNUMBER(SEARCH("D02",$F5)),"✓",""))</f>
        <v/>
      </c>
      <c r="D41" s="274" t="str">
        <f aca="false">IF($B5="","",IF(ISNUMBER(SEARCH("D03",$F5)),"✓",""))</f>
        <v/>
      </c>
      <c r="E41" s="274" t="str">
        <f aca="false">IF($B5="","",IF(ISNUMBER(SEARCH("D04",$F5)),"✓",""))</f>
        <v>✓</v>
      </c>
      <c r="F41" s="274" t="str">
        <f aca="false">IF($B5="","",IF(ISNUMBER(SEARCH("D05",$F5)),"✓",""))</f>
        <v/>
      </c>
      <c r="G41" s="274" t="str">
        <f aca="false">IF($B5="","",IF(ISNUMBER(SEARCH("D06",$F5)),"✓",""))</f>
        <v/>
      </c>
      <c r="H41" s="274" t="str">
        <f aca="false">IF($B5="","",IF(ISNUMBER(SEARCH("D07",$F5)),"✓",""))</f>
        <v/>
      </c>
      <c r="I41" s="274" t="str">
        <f aca="false">IF($B5="","",IF(ISNUMBER(SEARCH("D08",$F5)),"✓",""))</f>
        <v/>
      </c>
      <c r="J41" s="274" t="str">
        <f aca="false">IF($B5="","",IF(ISNUMBER(SEARCH("D09",$F5)),"✓",""))</f>
        <v>✓</v>
      </c>
      <c r="K41" s="274" t="str">
        <f aca="false">IF($B5="","",IF(ISNUMBER(SEARCH("D10",$F5)),"✓",""))</f>
        <v/>
      </c>
      <c r="L41" s="275" t="n">
        <f aca="false">IF($B5="","",COUNTIF(B41:K41,"✓"))</f>
        <v>3</v>
      </c>
    </row>
    <row r="42" customFormat="false" ht="39.55" hidden="false" customHeight="false" outlineLevel="0" collapsed="false">
      <c r="A42" s="250" t="str">
        <f aca="false">IF($B6="","",$A6&amp;" "&amp;$B6)</f>
        <v>P-002 越南政府贊助單位</v>
      </c>
      <c r="B42" s="274" t="str">
        <f aca="false">IF($B6="","",IF(ISNUMBER(SEARCH("D01",$F6)),"✓",""))</f>
        <v>✓</v>
      </c>
      <c r="C42" s="274" t="str">
        <f aca="false">IF($B6="","",IF(ISNUMBER(SEARCH("D02",$F6)),"✓",""))</f>
        <v/>
      </c>
      <c r="D42" s="274" t="str">
        <f aca="false">IF($B6="","",IF(ISNUMBER(SEARCH("D03",$F6)),"✓",""))</f>
        <v/>
      </c>
      <c r="E42" s="274" t="str">
        <f aca="false">IF($B6="","",IF(ISNUMBER(SEARCH("D04",$F6)),"✓",""))</f>
        <v/>
      </c>
      <c r="F42" s="274" t="str">
        <f aca="false">IF($B6="","",IF(ISNUMBER(SEARCH("D05",$F6)),"✓",""))</f>
        <v/>
      </c>
      <c r="G42" s="274" t="str">
        <f aca="false">IF($B6="","",IF(ISNUMBER(SEARCH("D06",$F6)),"✓",""))</f>
        <v/>
      </c>
      <c r="H42" s="274" t="str">
        <f aca="false">IF($B6="","",IF(ISNUMBER(SEARCH("D07",$F6)),"✓",""))</f>
        <v/>
      </c>
      <c r="I42" s="274" t="str">
        <f aca="false">IF($B6="","",IF(ISNUMBER(SEARCH("D08",$F6)),"✓",""))</f>
        <v/>
      </c>
      <c r="J42" s="274" t="str">
        <f aca="false">IF($B6="","",IF(ISNUMBER(SEARCH("D09",$F6)),"✓",""))</f>
        <v/>
      </c>
      <c r="K42" s="274" t="str">
        <f aca="false">IF($B6="","",IF(ISNUMBER(SEARCH("D10",$F6)),"✓",""))</f>
        <v>✓</v>
      </c>
      <c r="L42" s="275" t="n">
        <f aca="false">IF($B6="","",COUNTIF(B42:K42,"✓"))</f>
        <v>2</v>
      </c>
    </row>
    <row r="43" customFormat="false" ht="39.55" hidden="false" customHeight="false" outlineLevel="0" collapsed="false">
      <c r="A43" s="250" t="str">
        <f aca="false">IF($B7="","",$A7&amp;" "&amp;$B7)</f>
        <v>P-003 越南在地醫院營運者</v>
      </c>
      <c r="B43" s="274" t="str">
        <f aca="false">IF($B7="","",IF(ISNUMBER(SEARCH("D01",$F7)),"✓",""))</f>
        <v/>
      </c>
      <c r="C43" s="274" t="str">
        <f aca="false">IF($B7="","",IF(ISNUMBER(SEARCH("D02",$F7)),"✓",""))</f>
        <v>✓</v>
      </c>
      <c r="D43" s="274" t="str">
        <f aca="false">IF($B7="","",IF(ISNUMBER(SEARCH("D03",$F7)),"✓",""))</f>
        <v/>
      </c>
      <c r="E43" s="274" t="str">
        <f aca="false">IF($B7="","",IF(ISNUMBER(SEARCH("D04",$F7)),"✓",""))</f>
        <v/>
      </c>
      <c r="F43" s="274" t="str">
        <f aca="false">IF($B7="","",IF(ISNUMBER(SEARCH("D05",$F7)),"✓",""))</f>
        <v/>
      </c>
      <c r="G43" s="274" t="str">
        <f aca="false">IF($B7="","",IF(ISNUMBER(SEARCH("D06",$F7)),"✓",""))</f>
        <v/>
      </c>
      <c r="H43" s="274" t="str">
        <f aca="false">IF($B7="","",IF(ISNUMBER(SEARCH("D07",$F7)),"✓",""))</f>
        <v>✓</v>
      </c>
      <c r="I43" s="274" t="str">
        <f aca="false">IF($B7="","",IF(ISNUMBER(SEARCH("D08",$F7)),"✓",""))</f>
        <v>✓</v>
      </c>
      <c r="J43" s="274" t="str">
        <f aca="false">IF($B7="","",IF(ISNUMBER(SEARCH("D09",$F7)),"✓",""))</f>
        <v/>
      </c>
      <c r="K43" s="274" t="str">
        <f aca="false">IF($B7="","",IF(ISNUMBER(SEARCH("D10",$F7)),"✓",""))</f>
        <v>✓</v>
      </c>
      <c r="L43" s="275" t="n">
        <f aca="false">IF($B7="","",COUNTIF(B43:K43,"✓"))</f>
        <v>4</v>
      </c>
    </row>
    <row r="44" customFormat="false" ht="39.55" hidden="false" customHeight="false" outlineLevel="0" collapsed="false">
      <c r="A44" s="250" t="str">
        <f aca="false">IF($B8="","",$A8&amp;" "&amp;$B8)</f>
        <v>P-004 台灣參考醫院</v>
      </c>
      <c r="B44" s="274" t="str">
        <f aca="false">IF($B8="","",IF(ISNUMBER(SEARCH("D01",$F8)),"✓",""))</f>
        <v/>
      </c>
      <c r="C44" s="274" t="str">
        <f aca="false">IF($B8="","",IF(ISNUMBER(SEARCH("D02",$F8)),"✓",""))</f>
        <v>✓</v>
      </c>
      <c r="D44" s="274" t="str">
        <f aca="false">IF($B8="","",IF(ISNUMBER(SEARCH("D03",$F8)),"✓",""))</f>
        <v/>
      </c>
      <c r="E44" s="274" t="str">
        <f aca="false">IF($B8="","",IF(ISNUMBER(SEARCH("D04",$F8)),"✓",""))</f>
        <v/>
      </c>
      <c r="F44" s="274" t="str">
        <f aca="false">IF($B8="","",IF(ISNUMBER(SEARCH("D05",$F8)),"✓",""))</f>
        <v/>
      </c>
      <c r="G44" s="274" t="str">
        <f aca="false">IF($B8="","",IF(ISNUMBER(SEARCH("D06",$F8)),"✓",""))</f>
        <v/>
      </c>
      <c r="H44" s="274" t="str">
        <f aca="false">IF($B8="","",IF(ISNUMBER(SEARCH("D07",$F8)),"✓",""))</f>
        <v>✓</v>
      </c>
      <c r="I44" s="274" t="str">
        <f aca="false">IF($B8="","",IF(ISNUMBER(SEARCH("D08",$F8)),"✓",""))</f>
        <v>✓</v>
      </c>
      <c r="J44" s="274" t="str">
        <f aca="false">IF($B8="","",IF(ISNUMBER(SEARCH("D09",$F8)),"✓",""))</f>
        <v/>
      </c>
      <c r="K44" s="274" t="str">
        <f aca="false">IF($B8="","",IF(ISNUMBER(SEARCH("D10",$F8)),"✓",""))</f>
        <v/>
      </c>
      <c r="L44" s="275" t="n">
        <f aca="false">IF($B8="","",COUNTIF(B44:K44,"✓"))</f>
        <v>3</v>
      </c>
    </row>
    <row r="45" customFormat="false" ht="52.2" hidden="false" customHeight="false" outlineLevel="0" collapsed="false">
      <c r="A45" s="250" t="str">
        <f aca="false">IF($B9="","",$A9&amp;" "&amp;$B9)</f>
        <v>P-005 醫療建築與總體規劃團隊</v>
      </c>
      <c r="B45" s="274" t="str">
        <f aca="false">IF($B9="","",IF(ISNUMBER(SEARCH("D01",$F9)),"✓",""))</f>
        <v/>
      </c>
      <c r="C45" s="274" t="str">
        <f aca="false">IF($B9="","",IF(ISNUMBER(SEARCH("D02",$F9)),"✓",""))</f>
        <v>✓</v>
      </c>
      <c r="D45" s="274" t="str">
        <f aca="false">IF($B9="","",IF(ISNUMBER(SEARCH("D03",$F9)),"✓",""))</f>
        <v>✓</v>
      </c>
      <c r="E45" s="274" t="str">
        <f aca="false">IF($B9="","",IF(ISNUMBER(SEARCH("D04",$F9)),"✓",""))</f>
        <v/>
      </c>
      <c r="F45" s="274" t="str">
        <f aca="false">IF($B9="","",IF(ISNUMBER(SEARCH("D05",$F9)),"✓",""))</f>
        <v/>
      </c>
      <c r="G45" s="274" t="str">
        <f aca="false">IF($B9="","",IF(ISNUMBER(SEARCH("D06",$F9)),"✓",""))</f>
        <v/>
      </c>
      <c r="H45" s="274" t="str">
        <f aca="false">IF($B9="","",IF(ISNUMBER(SEARCH("D07",$F9)),"✓",""))</f>
        <v/>
      </c>
      <c r="I45" s="274" t="str">
        <f aca="false">IF($B9="","",IF(ISNUMBER(SEARCH("D08",$F9)),"✓",""))</f>
        <v/>
      </c>
      <c r="J45" s="274" t="str">
        <f aca="false">IF($B9="","",IF(ISNUMBER(SEARCH("D09",$F9)),"✓",""))</f>
        <v/>
      </c>
      <c r="K45" s="274" t="str">
        <f aca="false">IF($B9="","",IF(ISNUMBER(SEARCH("D10",$F9)),"✓",""))</f>
        <v/>
      </c>
      <c r="L45" s="275" t="n">
        <f aca="false">IF($B9="","",COUNTIF(B45:K45,"✓"))</f>
        <v>2</v>
      </c>
    </row>
    <row r="46" customFormat="false" ht="39.55" hidden="false" customHeight="false" outlineLevel="0" collapsed="false">
      <c r="A46" s="250" t="str">
        <f aca="false">IF($B10="","",$A10&amp;" "&amp;$B10)</f>
        <v>P-006 越南EPC／機電夥伴</v>
      </c>
      <c r="B46" s="274" t="str">
        <f aca="false">IF($B10="","",IF(ISNUMBER(SEARCH("D01",$F10)),"✓",""))</f>
        <v/>
      </c>
      <c r="C46" s="274" t="str">
        <f aca="false">IF($B10="","",IF(ISNUMBER(SEARCH("D02",$F10)),"✓",""))</f>
        <v/>
      </c>
      <c r="D46" s="274" t="str">
        <f aca="false">IF($B10="","",IF(ISNUMBER(SEARCH("D03",$F10)),"✓",""))</f>
        <v>✓</v>
      </c>
      <c r="E46" s="274" t="str">
        <f aca="false">IF($B10="","",IF(ISNUMBER(SEARCH("D04",$F10)),"✓",""))</f>
        <v>✓</v>
      </c>
      <c r="F46" s="274" t="str">
        <f aca="false">IF($B10="","",IF(ISNUMBER(SEARCH("D05",$F10)),"✓",""))</f>
        <v/>
      </c>
      <c r="G46" s="274" t="str">
        <f aca="false">IF($B10="","",IF(ISNUMBER(SEARCH("D06",$F10)),"✓",""))</f>
        <v/>
      </c>
      <c r="H46" s="274" t="str">
        <f aca="false">IF($B10="","",IF(ISNUMBER(SEARCH("D07",$F10)),"✓",""))</f>
        <v/>
      </c>
      <c r="I46" s="274" t="str">
        <f aca="false">IF($B10="","",IF(ISNUMBER(SEARCH("D08",$F10)),"✓",""))</f>
        <v/>
      </c>
      <c r="J46" s="274" t="str">
        <f aca="false">IF($B10="","",IF(ISNUMBER(SEARCH("D09",$F10)),"✓",""))</f>
        <v/>
      </c>
      <c r="K46" s="274" t="str">
        <f aca="false">IF($B10="","",IF(ISNUMBER(SEARCH("D10",$F10)),"✓",""))</f>
        <v/>
      </c>
      <c r="L46" s="275" t="n">
        <f aca="false">IF($B10="","",COUNTIF(B46:K46,"✓"))</f>
        <v>2</v>
      </c>
    </row>
    <row r="47" customFormat="false" ht="39.55" hidden="false" customHeight="false" outlineLevel="0" collapsed="false">
      <c r="A47" s="250" t="str">
        <f aca="false">IF($B11="","",$A11&amp;" "&amp;$B11)</f>
        <v>P-007 醫療資訊整合商</v>
      </c>
      <c r="B47" s="274" t="str">
        <f aca="false">IF($B11="","",IF(ISNUMBER(SEARCH("D01",$F11)),"✓",""))</f>
        <v/>
      </c>
      <c r="C47" s="274" t="str">
        <f aca="false">IF($B11="","",IF(ISNUMBER(SEARCH("D02",$F11)),"✓",""))</f>
        <v/>
      </c>
      <c r="D47" s="274" t="str">
        <f aca="false">IF($B11="","",IF(ISNUMBER(SEARCH("D03",$F11)),"✓",""))</f>
        <v/>
      </c>
      <c r="E47" s="274" t="str">
        <f aca="false">IF($B11="","",IF(ISNUMBER(SEARCH("D04",$F11)),"✓",""))</f>
        <v/>
      </c>
      <c r="F47" s="274" t="str">
        <f aca="false">IF($B11="","",IF(ISNUMBER(SEARCH("D05",$F11)),"✓",""))</f>
        <v>✓</v>
      </c>
      <c r="G47" s="274" t="str">
        <f aca="false">IF($B11="","",IF(ISNUMBER(SEARCH("D06",$F11)),"✓",""))</f>
        <v>✓</v>
      </c>
      <c r="H47" s="274" t="str">
        <f aca="false">IF($B11="","",IF(ISNUMBER(SEARCH("D07",$F11)),"✓",""))</f>
        <v/>
      </c>
      <c r="I47" s="274" t="str">
        <f aca="false">IF($B11="","",IF(ISNUMBER(SEARCH("D08",$F11)),"✓",""))</f>
        <v/>
      </c>
      <c r="J47" s="274" t="str">
        <f aca="false">IF($B11="","",IF(ISNUMBER(SEARCH("D09",$F11)),"✓",""))</f>
        <v/>
      </c>
      <c r="K47" s="274" t="str">
        <f aca="false">IF($B11="","",IF(ISNUMBER(SEARCH("D10",$F11)),"✓",""))</f>
        <v/>
      </c>
      <c r="L47" s="275" t="n">
        <f aca="false">IF($B11="","",COUNTIF(B47:K47,"✓"))</f>
        <v>2</v>
      </c>
    </row>
    <row r="48" customFormat="false" ht="39.55" hidden="false" customHeight="false" outlineLevel="0" collapsed="false">
      <c r="A48" s="250" t="str">
        <f aca="false">IF($B12="","",$A12&amp;" "&amp;$B12)</f>
        <v>P-008 美國雲端服務商</v>
      </c>
      <c r="B48" s="274" t="str">
        <f aca="false">IF($B12="","",IF(ISNUMBER(SEARCH("D01",$F12)),"✓",""))</f>
        <v/>
      </c>
      <c r="C48" s="274" t="str">
        <f aca="false">IF($B12="","",IF(ISNUMBER(SEARCH("D02",$F12)),"✓",""))</f>
        <v/>
      </c>
      <c r="D48" s="274" t="str">
        <f aca="false">IF($B12="","",IF(ISNUMBER(SEARCH("D03",$F12)),"✓",""))</f>
        <v/>
      </c>
      <c r="E48" s="274" t="str">
        <f aca="false">IF($B12="","",IF(ISNUMBER(SEARCH("D04",$F12)),"✓",""))</f>
        <v>✓</v>
      </c>
      <c r="F48" s="274" t="str">
        <f aca="false">IF($B12="","",IF(ISNUMBER(SEARCH("D05",$F12)),"✓",""))</f>
        <v/>
      </c>
      <c r="G48" s="274" t="str">
        <f aca="false">IF($B12="","",IF(ISNUMBER(SEARCH("D06",$F12)),"✓",""))</f>
        <v>✓</v>
      </c>
      <c r="H48" s="274" t="str">
        <f aca="false">IF($B12="","",IF(ISNUMBER(SEARCH("D07",$F12)),"✓",""))</f>
        <v/>
      </c>
      <c r="I48" s="274" t="str">
        <f aca="false">IF($B12="","",IF(ISNUMBER(SEARCH("D08",$F12)),"✓",""))</f>
        <v/>
      </c>
      <c r="J48" s="274" t="str">
        <f aca="false">IF($B12="","",IF(ISNUMBER(SEARCH("D09",$F12)),"✓",""))</f>
        <v/>
      </c>
      <c r="K48" s="274" t="str">
        <f aca="false">IF($B12="","",IF(ISNUMBER(SEARCH("D10",$F12)),"✓",""))</f>
        <v/>
      </c>
      <c r="L48" s="275" t="n">
        <f aca="false">IF($B12="","",COUNTIF(B48:K48,"✓"))</f>
        <v>2</v>
      </c>
    </row>
    <row r="49" customFormat="false" ht="26.85" hidden="false" customHeight="false" outlineLevel="0" collapsed="false">
      <c r="A49" s="250" t="str">
        <f aca="false">IF($B13="","",$A13&amp;" "&amp;$B13)</f>
        <v>P-009 醫材整合商</v>
      </c>
      <c r="B49" s="274" t="str">
        <f aca="false">IF($B13="","",IF(ISNUMBER(SEARCH("D01",$F13)),"✓",""))</f>
        <v/>
      </c>
      <c r="C49" s="274" t="str">
        <f aca="false">IF($B13="","",IF(ISNUMBER(SEARCH("D02",$F13)),"✓",""))</f>
        <v/>
      </c>
      <c r="D49" s="274" t="str">
        <f aca="false">IF($B13="","",IF(ISNUMBER(SEARCH("D03",$F13)),"✓",""))</f>
        <v/>
      </c>
      <c r="E49" s="274" t="str">
        <f aca="false">IF($B13="","",IF(ISNUMBER(SEARCH("D04",$F13)),"✓",""))</f>
        <v/>
      </c>
      <c r="F49" s="274" t="str">
        <f aca="false">IF($B13="","",IF(ISNUMBER(SEARCH("D05",$F13)),"✓",""))</f>
        <v>✓</v>
      </c>
      <c r="G49" s="274" t="str">
        <f aca="false">IF($B13="","",IF(ISNUMBER(SEARCH("D06",$F13)),"✓",""))</f>
        <v/>
      </c>
      <c r="H49" s="274" t="str">
        <f aca="false">IF($B13="","",IF(ISNUMBER(SEARCH("D07",$F13)),"✓",""))</f>
        <v/>
      </c>
      <c r="I49" s="274" t="str">
        <f aca="false">IF($B13="","",IF(ISNUMBER(SEARCH("D08",$F13)),"✓",""))</f>
        <v/>
      </c>
      <c r="J49" s="274" t="str">
        <f aca="false">IF($B13="","",IF(ISNUMBER(SEARCH("D09",$F13)),"✓",""))</f>
        <v>✓</v>
      </c>
      <c r="K49" s="274" t="str">
        <f aca="false">IF($B13="","",IF(ISNUMBER(SEARCH("D10",$F13)),"✓",""))</f>
        <v/>
      </c>
      <c r="L49" s="275" t="n">
        <f aca="false">IF($B13="","",COUNTIF(B49:K49,"✓"))</f>
        <v>2</v>
      </c>
    </row>
    <row r="50" customFormat="false" ht="39.55" hidden="false" customHeight="false" outlineLevel="0" collapsed="false">
      <c r="A50" s="250" t="str">
        <f aca="false">IF($B14="","",$A14&amp;" "&amp;$B14)</f>
        <v>P-010 資安與隱私獨立驗證</v>
      </c>
      <c r="B50" s="274" t="str">
        <f aca="false">IF($B14="","",IF(ISNUMBER(SEARCH("D01",$F14)),"✓",""))</f>
        <v>✓</v>
      </c>
      <c r="C50" s="274" t="str">
        <f aca="false">IF($B14="","",IF(ISNUMBER(SEARCH("D02",$F14)),"✓",""))</f>
        <v/>
      </c>
      <c r="D50" s="274" t="str">
        <f aca="false">IF($B14="","",IF(ISNUMBER(SEARCH("D03",$F14)),"✓",""))</f>
        <v/>
      </c>
      <c r="E50" s="274" t="str">
        <f aca="false">IF($B14="","",IF(ISNUMBER(SEARCH("D04",$F14)),"✓",""))</f>
        <v>✓</v>
      </c>
      <c r="F50" s="274" t="str">
        <f aca="false">IF($B14="","",IF(ISNUMBER(SEARCH("D05",$F14)),"✓",""))</f>
        <v/>
      </c>
      <c r="G50" s="274" t="str">
        <f aca="false">IF($B14="","",IF(ISNUMBER(SEARCH("D06",$F14)),"✓",""))</f>
        <v>✓</v>
      </c>
      <c r="H50" s="274" t="str">
        <f aca="false">IF($B14="","",IF(ISNUMBER(SEARCH("D07",$F14)),"✓",""))</f>
        <v/>
      </c>
      <c r="I50" s="274" t="str">
        <f aca="false">IF($B14="","",IF(ISNUMBER(SEARCH("D08",$F14)),"✓",""))</f>
        <v/>
      </c>
      <c r="J50" s="274" t="str">
        <f aca="false">IF($B14="","",IF(ISNUMBER(SEARCH("D09",$F14)),"✓",""))</f>
        <v/>
      </c>
      <c r="K50" s="274" t="str">
        <f aca="false">IF($B14="","",IF(ISNUMBER(SEARCH("D10",$F14)),"✓",""))</f>
        <v/>
      </c>
      <c r="L50" s="275" t="n">
        <f aca="false">IF($B14="","",COUNTIF(B50:K50,"✓"))</f>
        <v>3</v>
      </c>
    </row>
    <row r="51" customFormat="false" ht="39.55" hidden="false" customHeight="false" outlineLevel="0" collapsed="false">
      <c r="A51" s="250" t="str">
        <f aca="false">IF($B15="","",$A15&amp;" "&amp;$B15)</f>
        <v>P-011 財務與PPP顧問</v>
      </c>
      <c r="B51" s="274" t="str">
        <f aca="false">IF($B15="","",IF(ISNUMBER(SEARCH("D01",$F15)),"✓",""))</f>
        <v>✓</v>
      </c>
      <c r="C51" s="274" t="str">
        <f aca="false">IF($B15="","",IF(ISNUMBER(SEARCH("D02",$F15)),"✓",""))</f>
        <v/>
      </c>
      <c r="D51" s="274" t="str">
        <f aca="false">IF($B15="","",IF(ISNUMBER(SEARCH("D03",$F15)),"✓",""))</f>
        <v/>
      </c>
      <c r="E51" s="274" t="str">
        <f aca="false">IF($B15="","",IF(ISNUMBER(SEARCH("D04",$F15)),"✓",""))</f>
        <v/>
      </c>
      <c r="F51" s="274" t="str">
        <f aca="false">IF($B15="","",IF(ISNUMBER(SEARCH("D05",$F15)),"✓",""))</f>
        <v/>
      </c>
      <c r="G51" s="274" t="str">
        <f aca="false">IF($B15="","",IF(ISNUMBER(SEARCH("D06",$F15)),"✓",""))</f>
        <v/>
      </c>
      <c r="H51" s="274" t="str">
        <f aca="false">IF($B15="","",IF(ISNUMBER(SEARCH("D07",$F15)),"✓",""))</f>
        <v/>
      </c>
      <c r="I51" s="274" t="str">
        <f aca="false">IF($B15="","",IF(ISNUMBER(SEARCH("D08",$F15)),"✓",""))</f>
        <v/>
      </c>
      <c r="J51" s="274" t="str">
        <f aca="false">IF($B15="","",IF(ISNUMBER(SEARCH("D09",$F15)),"✓",""))</f>
        <v/>
      </c>
      <c r="K51" s="274" t="str">
        <f aca="false">IF($B15="","",IF(ISNUMBER(SEARCH("D10",$F15)),"✓",""))</f>
        <v>✓</v>
      </c>
      <c r="L51" s="275" t="n">
        <f aca="false">IF($B15="","",COUNTIF(B51:K51,"✓"))</f>
        <v>2</v>
      </c>
    </row>
    <row r="52" customFormat="false" ht="39.55" hidden="false" customHeight="false" outlineLevel="0" collapsed="false">
      <c r="A52" s="250" t="str">
        <f aca="false">IF($B16="","",$A16&amp;" "&amp;$B16)</f>
        <v>P-012 越南法律與法規顧問</v>
      </c>
      <c r="B52" s="274" t="str">
        <f aca="false">IF($B16="","",IF(ISNUMBER(SEARCH("D01",$F16)),"✓",""))</f>
        <v>✓</v>
      </c>
      <c r="C52" s="274" t="str">
        <f aca="false">IF($B16="","",IF(ISNUMBER(SEARCH("D02",$F16)),"✓",""))</f>
        <v/>
      </c>
      <c r="D52" s="274" t="str">
        <f aca="false">IF($B16="","",IF(ISNUMBER(SEARCH("D03",$F16)),"✓",""))</f>
        <v/>
      </c>
      <c r="E52" s="274" t="str">
        <f aca="false">IF($B16="","",IF(ISNUMBER(SEARCH("D04",$F16)),"✓",""))</f>
        <v/>
      </c>
      <c r="F52" s="274" t="str">
        <f aca="false">IF($B16="","",IF(ISNUMBER(SEARCH("D05",$F16)),"✓",""))</f>
        <v>✓</v>
      </c>
      <c r="G52" s="274" t="str">
        <f aca="false">IF($B16="","",IF(ISNUMBER(SEARCH("D06",$F16)),"✓",""))</f>
        <v>✓</v>
      </c>
      <c r="H52" s="274" t="str">
        <f aca="false">IF($B16="","",IF(ISNUMBER(SEARCH("D07",$F16)),"✓",""))</f>
        <v/>
      </c>
      <c r="I52" s="274" t="str">
        <f aca="false">IF($B16="","",IF(ISNUMBER(SEARCH("D08",$F16)),"✓",""))</f>
        <v/>
      </c>
      <c r="J52" s="274" t="str">
        <f aca="false">IF($B16="","",IF(ISNUMBER(SEARCH("D09",$F16)),"✓",""))</f>
        <v/>
      </c>
      <c r="K52" s="274" t="str">
        <f aca="false">IF($B16="","",IF(ISNUMBER(SEARCH("D10",$F16)),"✓",""))</f>
        <v>✓</v>
      </c>
      <c r="L52" s="275" t="n">
        <f aca="false">IF($B16="","",COUNTIF(B52:K52,"✓"))</f>
        <v>4</v>
      </c>
    </row>
    <row r="53" customFormat="false" ht="39.55" hidden="false" customHeight="false" outlineLevel="0" collapsed="false">
      <c r="A53" s="250" t="str">
        <f aca="false">IF($B17="","",$A17&amp;" "&amp;$B17)</f>
        <v>P-013 品質與JCI顧問</v>
      </c>
      <c r="B53" s="274" t="str">
        <f aca="false">IF($B17="","",IF(ISNUMBER(SEARCH("D01",$F17)),"✓",""))</f>
        <v/>
      </c>
      <c r="C53" s="274" t="str">
        <f aca="false">IF($B17="","",IF(ISNUMBER(SEARCH("D02",$F17)),"✓",""))</f>
        <v>✓</v>
      </c>
      <c r="D53" s="274" t="str">
        <f aca="false">IF($B17="","",IF(ISNUMBER(SEARCH("D03",$F17)),"✓",""))</f>
        <v/>
      </c>
      <c r="E53" s="274" t="str">
        <f aca="false">IF($B17="","",IF(ISNUMBER(SEARCH("D04",$F17)),"✓",""))</f>
        <v/>
      </c>
      <c r="F53" s="274" t="str">
        <f aca="false">IF($B17="","",IF(ISNUMBER(SEARCH("D05",$F17)),"✓",""))</f>
        <v/>
      </c>
      <c r="G53" s="274" t="str">
        <f aca="false">IF($B17="","",IF(ISNUMBER(SEARCH("D06",$F17)),"✓",""))</f>
        <v/>
      </c>
      <c r="H53" s="274" t="str">
        <f aca="false">IF($B17="","",IF(ISNUMBER(SEARCH("D07",$F17)),"✓",""))</f>
        <v>✓</v>
      </c>
      <c r="I53" s="274" t="str">
        <f aca="false">IF($B17="","",IF(ISNUMBER(SEARCH("D08",$F17)),"✓",""))</f>
        <v>✓</v>
      </c>
      <c r="J53" s="274" t="str">
        <f aca="false">IF($B17="","",IF(ISNUMBER(SEARCH("D09",$F17)),"✓",""))</f>
        <v/>
      </c>
      <c r="K53" s="274" t="str">
        <f aca="false">IF($B17="","",IF(ISNUMBER(SEARCH("D10",$F17)),"✓",""))</f>
        <v/>
      </c>
      <c r="L53" s="275" t="n">
        <f aca="false">IF($B17="","",COUNTIF(B53:K53,"✓"))</f>
        <v>3</v>
      </c>
    </row>
    <row r="54" customFormat="false" ht="52.2" hidden="false" customHeight="false" outlineLevel="0" collapsed="false">
      <c r="A54" s="250" t="str">
        <f aca="false">IF($B18="","",$A18&amp;" "&amp;$B18)</f>
        <v>P-014 物流／SPD與冷鏈夥伴</v>
      </c>
      <c r="B54" s="274" t="str">
        <f aca="false">IF($B18="","",IF(ISNUMBER(SEARCH("D01",$F18)),"✓",""))</f>
        <v/>
      </c>
      <c r="C54" s="274" t="str">
        <f aca="false">IF($B18="","",IF(ISNUMBER(SEARCH("D02",$F18)),"✓",""))</f>
        <v/>
      </c>
      <c r="D54" s="274" t="str">
        <f aca="false">IF($B18="","",IF(ISNUMBER(SEARCH("D03",$F18)),"✓",""))</f>
        <v/>
      </c>
      <c r="E54" s="274" t="str">
        <f aca="false">IF($B18="","",IF(ISNUMBER(SEARCH("D04",$F18)),"✓",""))</f>
        <v/>
      </c>
      <c r="F54" s="274" t="str">
        <f aca="false">IF($B18="","",IF(ISNUMBER(SEARCH("D05",$F18)),"✓",""))</f>
        <v/>
      </c>
      <c r="G54" s="274" t="str">
        <f aca="false">IF($B18="","",IF(ISNUMBER(SEARCH("D06",$F18)),"✓",""))</f>
        <v/>
      </c>
      <c r="H54" s="274" t="str">
        <f aca="false">IF($B18="","",IF(ISNUMBER(SEARCH("D07",$F18)),"✓",""))</f>
        <v/>
      </c>
      <c r="I54" s="274" t="str">
        <f aca="false">IF($B18="","",IF(ISNUMBER(SEARCH("D08",$F18)),"✓",""))</f>
        <v/>
      </c>
      <c r="J54" s="274" t="str">
        <f aca="false">IF($B18="","",IF(ISNUMBER(SEARCH("D09",$F18)),"✓",""))</f>
        <v>✓</v>
      </c>
      <c r="K54" s="274" t="str">
        <f aca="false">IF($B18="","",IF(ISNUMBER(SEARCH("D10",$F18)),"✓",""))</f>
        <v/>
      </c>
      <c r="L54" s="275" t="n">
        <f aca="false">IF($B18="","",COUNTIF(B54:K54,"✓"))</f>
        <v>1</v>
      </c>
    </row>
    <row r="55" customFormat="false" ht="39.55" hidden="false" customHeight="false" outlineLevel="0" collapsed="false">
      <c r="A55" s="250" t="str">
        <f aca="false">IF($B19="","",$A19&amp;" "&amp;$B19)</f>
        <v>P-015 獨立臨床與成本驗證</v>
      </c>
      <c r="B55" s="274" t="str">
        <f aca="false">IF($B19="","",IF(ISNUMBER(SEARCH("D01",$F19)),"✓",""))</f>
        <v>✓</v>
      </c>
      <c r="C55" s="274" t="str">
        <f aca="false">IF($B19="","",IF(ISNUMBER(SEARCH("D02",$F19)),"✓",""))</f>
        <v>✓</v>
      </c>
      <c r="D55" s="274" t="str">
        <f aca="false">IF($B19="","",IF(ISNUMBER(SEARCH("D03",$F19)),"✓",""))</f>
        <v>✓</v>
      </c>
      <c r="E55" s="274" t="str">
        <f aca="false">IF($B19="","",IF(ISNUMBER(SEARCH("D04",$F19)),"✓",""))</f>
        <v/>
      </c>
      <c r="F55" s="274" t="str">
        <f aca="false">IF($B19="","",IF(ISNUMBER(SEARCH("D05",$F19)),"✓",""))</f>
        <v>✓</v>
      </c>
      <c r="G55" s="274" t="str">
        <f aca="false">IF($B19="","",IF(ISNUMBER(SEARCH("D06",$F19)),"✓",""))</f>
        <v/>
      </c>
      <c r="H55" s="274" t="str">
        <f aca="false">IF($B19="","",IF(ISNUMBER(SEARCH("D07",$F19)),"✓",""))</f>
        <v/>
      </c>
      <c r="I55" s="274" t="str">
        <f aca="false">IF($B19="","",IF(ISNUMBER(SEARCH("D08",$F19)),"✓",""))</f>
        <v/>
      </c>
      <c r="J55" s="274" t="str">
        <f aca="false">IF($B19="","",IF(ISNUMBER(SEARCH("D09",$F19)),"✓",""))</f>
        <v/>
      </c>
      <c r="K55" s="274" t="str">
        <f aca="false">IF($B19="","",IF(ISNUMBER(SEARCH("D10",$F19)),"✓",""))</f>
        <v>✓</v>
      </c>
      <c r="L55" s="275" t="n">
        <f aca="false">IF($B19="","",COUNTIF(B55:K55,"✓"))</f>
        <v>5</v>
      </c>
    </row>
    <row r="56" customFormat="false" ht="37.3" hidden="false" customHeight="false" outlineLevel="0" collapsed="false">
      <c r="A56" s="250" t="str">
        <f aca="false">IF($B20="","",$A20&amp;" "&amp;$B20)</f>
        <v>P-016 PI 計畫辦公室</v>
      </c>
      <c r="B56" s="274" t="str">
        <f aca="false">IF($B20="","",IF(ISNUMBER(SEARCH("D01",$F20)),"✓",""))</f>
        <v>✓</v>
      </c>
      <c r="C56" s="274" t="str">
        <f aca="false">IF($B20="","",IF(ISNUMBER(SEARCH("D02",$F20)),"✓",""))</f>
        <v/>
      </c>
      <c r="D56" s="274" t="str">
        <f aca="false">IF($B20="","",IF(ISNUMBER(SEARCH("D03",$F20)),"✓",""))</f>
        <v/>
      </c>
      <c r="E56" s="274" t="str">
        <f aca="false">IF($B20="","",IF(ISNUMBER(SEARCH("D04",$F20)),"✓",""))</f>
        <v/>
      </c>
      <c r="F56" s="274" t="str">
        <f aca="false">IF($B20="","",IF(ISNUMBER(SEARCH("D05",$F20)),"✓",""))</f>
        <v/>
      </c>
      <c r="G56" s="274" t="str">
        <f aca="false">IF($B20="","",IF(ISNUMBER(SEARCH("D06",$F20)),"✓",""))</f>
        <v/>
      </c>
      <c r="H56" s="274" t="str">
        <f aca="false">IF($B20="","",IF(ISNUMBER(SEARCH("D07",$F20)),"✓",""))</f>
        <v>✓</v>
      </c>
      <c r="I56" s="274" t="str">
        <f aca="false">IF($B20="","",IF(ISNUMBER(SEARCH("D08",$F20)),"✓",""))</f>
        <v/>
      </c>
      <c r="J56" s="274" t="str">
        <f aca="false">IF($B20="","",IF(ISNUMBER(SEARCH("D09",$F20)),"✓",""))</f>
        <v/>
      </c>
      <c r="K56" s="274" t="str">
        <f aca="false">IF($B20="","",IF(ISNUMBER(SEARCH("D10",$F20)),"✓",""))</f>
        <v>✓</v>
      </c>
      <c r="L56" s="275" t="n">
        <f aca="false">IF($B20="","",COUNTIF(B56:K56,"✓"))</f>
        <v>3</v>
      </c>
    </row>
    <row r="57" customFormat="false" ht="39.55" hidden="false" customHeight="false" outlineLevel="0" collapsed="false">
      <c r="A57" s="250" t="str">
        <f aca="false">IF($B21="","",$A21&amp;" "&amp;$B21)</f>
        <v>P-017 越南公共事務顧問</v>
      </c>
      <c r="B57" s="274" t="str">
        <f aca="false">IF($B21="","",IF(ISNUMBER(SEARCH("D01",$F21)),"✓",""))</f>
        <v>✓</v>
      </c>
      <c r="C57" s="274" t="str">
        <f aca="false">IF($B21="","",IF(ISNUMBER(SEARCH("D02",$F21)),"✓",""))</f>
        <v/>
      </c>
      <c r="D57" s="274" t="str">
        <f aca="false">IF($B21="","",IF(ISNUMBER(SEARCH("D03",$F21)),"✓",""))</f>
        <v/>
      </c>
      <c r="E57" s="274" t="str">
        <f aca="false">IF($B21="","",IF(ISNUMBER(SEARCH("D04",$F21)),"✓",""))</f>
        <v/>
      </c>
      <c r="F57" s="274" t="str">
        <f aca="false">IF($B21="","",IF(ISNUMBER(SEARCH("D05",$F21)),"✓",""))</f>
        <v/>
      </c>
      <c r="G57" s="274" t="str">
        <f aca="false">IF($B21="","",IF(ISNUMBER(SEARCH("D06",$F21)),"✓",""))</f>
        <v/>
      </c>
      <c r="H57" s="274" t="str">
        <f aca="false">IF($B21="","",IF(ISNUMBER(SEARCH("D07",$F21)),"✓",""))</f>
        <v/>
      </c>
      <c r="I57" s="274" t="str">
        <f aca="false">IF($B21="","",IF(ISNUMBER(SEARCH("D08",$F21)),"✓",""))</f>
        <v/>
      </c>
      <c r="J57" s="274" t="str">
        <f aca="false">IF($B21="","",IF(ISNUMBER(SEARCH("D09",$F21)),"✓",""))</f>
        <v/>
      </c>
      <c r="K57" s="274" t="str">
        <f aca="false">IF($B21="","",IF(ISNUMBER(SEARCH("D10",$F21)),"✓",""))</f>
        <v/>
      </c>
      <c r="L57" s="275" t="n">
        <f aca="false">IF($B21="","",COUNTIF(B57:K57,"✓"))</f>
        <v>1</v>
      </c>
    </row>
    <row r="58" customFormat="false" ht="52.2" hidden="false" customHeight="false" outlineLevel="0" collapsed="false">
      <c r="A58" s="250" t="str">
        <f aca="false">IF($B22="","",$A22&amp;" "&amp;$B22)</f>
        <v>P-018 越南環保與廢棄物處理商</v>
      </c>
      <c r="B58" s="274" t="str">
        <f aca="false">IF($B22="","",IF(ISNUMBER(SEARCH("D01",$F22)),"✓",""))</f>
        <v/>
      </c>
      <c r="C58" s="274" t="str">
        <f aca="false">IF($B22="","",IF(ISNUMBER(SEARCH("D02",$F22)),"✓",""))</f>
        <v/>
      </c>
      <c r="D58" s="274" t="str">
        <f aca="false">IF($B22="","",IF(ISNUMBER(SEARCH("D03",$F22)),"✓",""))</f>
        <v>✓</v>
      </c>
      <c r="E58" s="274" t="str">
        <f aca="false">IF($B22="","",IF(ISNUMBER(SEARCH("D04",$F22)),"✓",""))</f>
        <v/>
      </c>
      <c r="F58" s="274" t="str">
        <f aca="false">IF($B22="","",IF(ISNUMBER(SEARCH("D05",$F22)),"✓",""))</f>
        <v/>
      </c>
      <c r="G58" s="274" t="str">
        <f aca="false">IF($B22="","",IF(ISNUMBER(SEARCH("D06",$F22)),"✓",""))</f>
        <v/>
      </c>
      <c r="H58" s="274" t="str">
        <f aca="false">IF($B22="","",IF(ISNUMBER(SEARCH("D07",$F22)),"✓",""))</f>
        <v/>
      </c>
      <c r="I58" s="274" t="str">
        <f aca="false">IF($B22="","",IF(ISNUMBER(SEARCH("D08",$F22)),"✓",""))</f>
        <v/>
      </c>
      <c r="J58" s="274" t="str">
        <f aca="false">IF($B22="","",IF(ISNUMBER(SEARCH("D09",$F22)),"✓",""))</f>
        <v>✓</v>
      </c>
      <c r="K58" s="274" t="str">
        <f aca="false">IF($B22="","",IF(ISNUMBER(SEARCH("D10",$F22)),"✓",""))</f>
        <v/>
      </c>
      <c r="L58" s="275" t="n">
        <f aca="false">IF($B22="","",COUNTIF(B58:K58,"✓"))</f>
        <v>2</v>
      </c>
    </row>
    <row r="59" customFormat="false" ht="52.2" hidden="false" customHeight="false" outlineLevel="0" collapsed="false">
      <c r="A59" s="250" t="str">
        <f aca="false">IF($B23="","",$A23&amp;" "&amp;$B23)</f>
        <v>P-019 影像設備與PACS整合商</v>
      </c>
      <c r="B59" s="274" t="str">
        <f aca="false">IF($B23="","",IF(ISNUMBER(SEARCH("D01",$F23)),"✓",""))</f>
        <v/>
      </c>
      <c r="C59" s="274" t="str">
        <f aca="false">IF($B23="","",IF(ISNUMBER(SEARCH("D02",$F23)),"✓",""))</f>
        <v/>
      </c>
      <c r="D59" s="274" t="str">
        <f aca="false">IF($B23="","",IF(ISNUMBER(SEARCH("D03",$F23)),"✓",""))</f>
        <v/>
      </c>
      <c r="E59" s="274" t="str">
        <f aca="false">IF($B23="","",IF(ISNUMBER(SEARCH("D04",$F23)),"✓",""))</f>
        <v/>
      </c>
      <c r="F59" s="274" t="str">
        <f aca="false">IF($B23="","",IF(ISNUMBER(SEARCH("D05",$F23)),"✓",""))</f>
        <v>✓</v>
      </c>
      <c r="G59" s="274" t="str">
        <f aca="false">IF($B23="","",IF(ISNUMBER(SEARCH("D06",$F23)),"✓",""))</f>
        <v>✓</v>
      </c>
      <c r="H59" s="274" t="str">
        <f aca="false">IF($B23="","",IF(ISNUMBER(SEARCH("D07",$F23)),"✓",""))</f>
        <v/>
      </c>
      <c r="I59" s="274" t="str">
        <f aca="false">IF($B23="","",IF(ISNUMBER(SEARCH("D08",$F23)),"✓",""))</f>
        <v/>
      </c>
      <c r="J59" s="274" t="str">
        <f aca="false">IF($B23="","",IF(ISNUMBER(SEARCH("D09",$F23)),"✓",""))</f>
        <v/>
      </c>
      <c r="K59" s="274" t="str">
        <f aca="false">IF($B23="","",IF(ISNUMBER(SEARCH("D10",$F23)),"✓",""))</f>
        <v/>
      </c>
      <c r="L59" s="275" t="n">
        <f aca="false">IF($B23="","",COUNTIF(B59:K59,"✓"))</f>
        <v>2</v>
      </c>
    </row>
    <row r="60" customFormat="false" ht="52.2" hidden="false" customHeight="false" outlineLevel="0" collapsed="false">
      <c r="A60" s="250" t="str">
        <f aca="false">IF($B24="","",$A24&amp;" "&amp;$B24)</f>
        <v>P-020 檢驗自動化與LIS供應商</v>
      </c>
      <c r="B60" s="274" t="str">
        <f aca="false">IF($B24="","",IF(ISNUMBER(SEARCH("D01",$F24)),"✓",""))</f>
        <v/>
      </c>
      <c r="C60" s="274" t="str">
        <f aca="false">IF($B24="","",IF(ISNUMBER(SEARCH("D02",$F24)),"✓",""))</f>
        <v/>
      </c>
      <c r="D60" s="274" t="str">
        <f aca="false">IF($B24="","",IF(ISNUMBER(SEARCH("D03",$F24)),"✓",""))</f>
        <v/>
      </c>
      <c r="E60" s="274" t="str">
        <f aca="false">IF($B24="","",IF(ISNUMBER(SEARCH("D04",$F24)),"✓",""))</f>
        <v/>
      </c>
      <c r="F60" s="274" t="str">
        <f aca="false">IF($B24="","",IF(ISNUMBER(SEARCH("D05",$F24)),"✓",""))</f>
        <v>✓</v>
      </c>
      <c r="G60" s="274" t="str">
        <f aca="false">IF($B24="","",IF(ISNUMBER(SEARCH("D06",$F24)),"✓",""))</f>
        <v>✓</v>
      </c>
      <c r="H60" s="274" t="str">
        <f aca="false">IF($B24="","",IF(ISNUMBER(SEARCH("D07",$F24)),"✓",""))</f>
        <v/>
      </c>
      <c r="I60" s="274" t="str">
        <f aca="false">IF($B24="","",IF(ISNUMBER(SEARCH("D08",$F24)),"✓",""))</f>
        <v/>
      </c>
      <c r="J60" s="274" t="str">
        <f aca="false">IF($B24="","",IF(ISNUMBER(SEARCH("D09",$F24)),"✓",""))</f>
        <v/>
      </c>
      <c r="K60" s="274" t="str">
        <f aca="false">IF($B24="","",IF(ISNUMBER(SEARCH("D10",$F24)),"✓",""))</f>
        <v/>
      </c>
      <c r="L60" s="275" t="n">
        <f aca="false">IF($B24="","",COUNTIF(B60:K60,"✓"))</f>
        <v>2</v>
      </c>
    </row>
    <row r="61" customFormat="false" ht="52.2" hidden="false" customHeight="false" outlineLevel="0" collapsed="false">
      <c r="A61" s="250" t="str">
        <f aca="false">IF($B25="","",$A25&amp;" "&amp;$B25)</f>
        <v>P-021 手術室與重症設備整合商</v>
      </c>
      <c r="B61" s="274" t="str">
        <f aca="false">IF($B25="","",IF(ISNUMBER(SEARCH("D01",$F25)),"✓",""))</f>
        <v/>
      </c>
      <c r="C61" s="274" t="str">
        <f aca="false">IF($B25="","",IF(ISNUMBER(SEARCH("D02",$F25)),"✓",""))</f>
        <v/>
      </c>
      <c r="D61" s="274" t="str">
        <f aca="false">IF($B25="","",IF(ISNUMBER(SEARCH("D03",$F25)),"✓",""))</f>
        <v/>
      </c>
      <c r="E61" s="274" t="str">
        <f aca="false">IF($B25="","",IF(ISNUMBER(SEARCH("D04",$F25)),"✓",""))</f>
        <v/>
      </c>
      <c r="F61" s="274" t="str">
        <f aca="false">IF($B25="","",IF(ISNUMBER(SEARCH("D05",$F25)),"✓",""))</f>
        <v>✓</v>
      </c>
      <c r="G61" s="274" t="str">
        <f aca="false">IF($B25="","",IF(ISNUMBER(SEARCH("D06",$F25)),"✓",""))</f>
        <v/>
      </c>
      <c r="H61" s="274" t="str">
        <f aca="false">IF($B25="","",IF(ISNUMBER(SEARCH("D07",$F25)),"✓",""))</f>
        <v/>
      </c>
      <c r="I61" s="274" t="str">
        <f aca="false">IF($B25="","",IF(ISNUMBER(SEARCH("D08",$F25)),"✓",""))</f>
        <v/>
      </c>
      <c r="J61" s="274" t="str">
        <f aca="false">IF($B25="","",IF(ISNUMBER(SEARCH("D09",$F25)),"✓",""))</f>
        <v/>
      </c>
      <c r="K61" s="274" t="str">
        <f aca="false">IF($B25="","",IF(ISNUMBER(SEARCH("D10",$F25)),"✓",""))</f>
        <v/>
      </c>
      <c r="L61" s="275" t="n">
        <f aca="false">IF($B25="","",COUNTIF(B61:K61,"✓"))</f>
        <v>1</v>
      </c>
    </row>
    <row r="62" customFormat="false" ht="52.2" hidden="false" customHeight="false" outlineLevel="0" collapsed="false">
      <c r="A62" s="250" t="str">
        <f aca="false">IF($B26="","",$A26&amp;" "&amp;$B26)</f>
        <v>P-022 越南數位身分介接夥伴</v>
      </c>
      <c r="B62" s="274" t="str">
        <f aca="false">IF($B26="","",IF(ISNUMBER(SEARCH("D01",$F26)),"✓",""))</f>
        <v/>
      </c>
      <c r="C62" s="274" t="str">
        <f aca="false">IF($B26="","",IF(ISNUMBER(SEARCH("D02",$F26)),"✓",""))</f>
        <v/>
      </c>
      <c r="D62" s="274" t="str">
        <f aca="false">IF($B26="","",IF(ISNUMBER(SEARCH("D03",$F26)),"✓",""))</f>
        <v/>
      </c>
      <c r="E62" s="274" t="str">
        <f aca="false">IF($B26="","",IF(ISNUMBER(SEARCH("D04",$F26)),"✓",""))</f>
        <v/>
      </c>
      <c r="F62" s="274" t="str">
        <f aca="false">IF($B26="","",IF(ISNUMBER(SEARCH("D05",$F26)),"✓",""))</f>
        <v/>
      </c>
      <c r="G62" s="274" t="str">
        <f aca="false">IF($B26="","",IF(ISNUMBER(SEARCH("D06",$F26)),"✓",""))</f>
        <v>✓</v>
      </c>
      <c r="H62" s="274" t="str">
        <f aca="false">IF($B26="","",IF(ISNUMBER(SEARCH("D07",$F26)),"✓",""))</f>
        <v/>
      </c>
      <c r="I62" s="274" t="str">
        <f aca="false">IF($B26="","",IF(ISNUMBER(SEARCH("D08",$F26)),"✓",""))</f>
        <v/>
      </c>
      <c r="J62" s="274" t="str">
        <f aca="false">IF($B26="","",IF(ISNUMBER(SEARCH("D09",$F26)),"✓",""))</f>
        <v/>
      </c>
      <c r="K62" s="274" t="str">
        <f aca="false">IF($B26="","",IF(ISNUMBER(SEARCH("D10",$F26)),"✓",""))</f>
        <v/>
      </c>
      <c r="L62" s="275" t="n">
        <f aca="false">IF($B26="","",COUNTIF(B62:K62,"✓"))</f>
        <v>1</v>
      </c>
    </row>
    <row r="63" customFormat="false" ht="52.2" hidden="false" customHeight="false" outlineLevel="0" collapsed="false">
      <c r="A63" s="250" t="str">
        <f aca="false">IF($B27="","",$A27&amp;" "&amp;$B27)</f>
        <v>P-023 病人App與在地支付夥伴</v>
      </c>
      <c r="B63" s="274" t="str">
        <f aca="false">IF($B27="","",IF(ISNUMBER(SEARCH("D01",$F27)),"✓",""))</f>
        <v/>
      </c>
      <c r="C63" s="274" t="str">
        <f aca="false">IF($B27="","",IF(ISNUMBER(SEARCH("D02",$F27)),"✓",""))</f>
        <v/>
      </c>
      <c r="D63" s="274" t="str">
        <f aca="false">IF($B27="","",IF(ISNUMBER(SEARCH("D03",$F27)),"✓",""))</f>
        <v/>
      </c>
      <c r="E63" s="274" t="str">
        <f aca="false">IF($B27="","",IF(ISNUMBER(SEARCH("D04",$F27)),"✓",""))</f>
        <v/>
      </c>
      <c r="F63" s="274" t="str">
        <f aca="false">IF($B27="","",IF(ISNUMBER(SEARCH("D05",$F27)),"✓",""))</f>
        <v/>
      </c>
      <c r="G63" s="274" t="str">
        <f aca="false">IF($B27="","",IF(ISNUMBER(SEARCH("D06",$F27)),"✓",""))</f>
        <v>✓</v>
      </c>
      <c r="H63" s="274" t="str">
        <f aca="false">IF($B27="","",IF(ISNUMBER(SEARCH("D07",$F27)),"✓",""))</f>
        <v/>
      </c>
      <c r="I63" s="274" t="str">
        <f aca="false">IF($B27="","",IF(ISNUMBER(SEARCH("D08",$F27)),"✓",""))</f>
        <v/>
      </c>
      <c r="J63" s="274" t="str">
        <f aca="false">IF($B27="","",IF(ISNUMBER(SEARCH("D09",$F27)),"✓",""))</f>
        <v/>
      </c>
      <c r="K63" s="274" t="str">
        <f aca="false">IF($B27="","",IF(ISNUMBER(SEARCH("D10",$F27)),"✓",""))</f>
        <v>✓</v>
      </c>
      <c r="L63" s="275" t="n">
        <f aca="false">IF($B27="","",COUNTIF(B63:K63,"✓"))</f>
        <v>2</v>
      </c>
    </row>
    <row r="64" customFormat="false" ht="52.2" hidden="false" customHeight="false" outlineLevel="0" collapsed="false">
      <c r="A64" s="250" t="str">
        <f aca="false">IF($B28="","",$A28&amp;" "&amp;$B28)</f>
        <v>P-024 越南醫護大學／人力機構</v>
      </c>
      <c r="B64" s="274" t="str">
        <f aca="false">IF($B28="","",IF(ISNUMBER(SEARCH("D01",$F28)),"✓",""))</f>
        <v/>
      </c>
      <c r="C64" s="274" t="str">
        <f aca="false">IF($B28="","",IF(ISNUMBER(SEARCH("D02",$F28)),"✓",""))</f>
        <v/>
      </c>
      <c r="D64" s="274" t="str">
        <f aca="false">IF($B28="","",IF(ISNUMBER(SEARCH("D03",$F28)),"✓",""))</f>
        <v/>
      </c>
      <c r="E64" s="274" t="str">
        <f aca="false">IF($B28="","",IF(ISNUMBER(SEARCH("D04",$F28)),"✓",""))</f>
        <v/>
      </c>
      <c r="F64" s="274" t="str">
        <f aca="false">IF($B28="","",IF(ISNUMBER(SEARCH("D05",$F28)),"✓",""))</f>
        <v/>
      </c>
      <c r="G64" s="274" t="str">
        <f aca="false">IF($B28="","",IF(ISNUMBER(SEARCH("D06",$F28)),"✓",""))</f>
        <v/>
      </c>
      <c r="H64" s="274" t="str">
        <f aca="false">IF($B28="","",IF(ISNUMBER(SEARCH("D07",$F28)),"✓",""))</f>
        <v/>
      </c>
      <c r="I64" s="274" t="str">
        <f aca="false">IF($B28="","",IF(ISNUMBER(SEARCH("D08",$F28)),"✓",""))</f>
        <v>✓</v>
      </c>
      <c r="J64" s="274" t="str">
        <f aca="false">IF($B28="","",IF(ISNUMBER(SEARCH("D09",$F28)),"✓",""))</f>
        <v/>
      </c>
      <c r="K64" s="274" t="str">
        <f aca="false">IF($B28="","",IF(ISNUMBER(SEARCH("D10",$F28)),"✓",""))</f>
        <v/>
      </c>
      <c r="L64" s="275" t="n">
        <f aca="false">IF($B28="","",COUNTIF(B64:K64,"✓"))</f>
        <v>1</v>
      </c>
    </row>
    <row r="65" customFormat="false" ht="52.2" hidden="false" customHeight="false" outlineLevel="0" collapsed="false">
      <c r="A65" s="250" t="str">
        <f aca="false">IF($B29="","",$A29&amp;" "&amp;$B29)</f>
        <v>P-025 越南健保申報介接夥伴</v>
      </c>
      <c r="B65" s="274" t="str">
        <f aca="false">IF($B29="","",IF(ISNUMBER(SEARCH("D01",$F29)),"✓",""))</f>
        <v/>
      </c>
      <c r="C65" s="274" t="str">
        <f aca="false">IF($B29="","",IF(ISNUMBER(SEARCH("D02",$F29)),"✓",""))</f>
        <v/>
      </c>
      <c r="D65" s="274" t="str">
        <f aca="false">IF($B29="","",IF(ISNUMBER(SEARCH("D03",$F29)),"✓",""))</f>
        <v/>
      </c>
      <c r="E65" s="274" t="str">
        <f aca="false">IF($B29="","",IF(ISNUMBER(SEARCH("D04",$F29)),"✓",""))</f>
        <v/>
      </c>
      <c r="F65" s="274" t="str">
        <f aca="false">IF($B29="","",IF(ISNUMBER(SEARCH("D05",$F29)),"✓",""))</f>
        <v/>
      </c>
      <c r="G65" s="274" t="str">
        <f aca="false">IF($B29="","",IF(ISNUMBER(SEARCH("D06",$F29)),"✓",""))</f>
        <v/>
      </c>
      <c r="H65" s="274" t="str">
        <f aca="false">IF($B29="","",IF(ISNUMBER(SEARCH("D07",$F29)),"✓",""))</f>
        <v/>
      </c>
      <c r="I65" s="274" t="str">
        <f aca="false">IF($B29="","",IF(ISNUMBER(SEARCH("D08",$F29)),"✓",""))</f>
        <v/>
      </c>
      <c r="J65" s="274" t="str">
        <f aca="false">IF($B29="","",IF(ISNUMBER(SEARCH("D09",$F29)),"✓",""))</f>
        <v/>
      </c>
      <c r="K65" s="274" t="str">
        <f aca="false">IF($B29="","",IF(ISNUMBER(SEARCH("D10",$F29)),"✓",""))</f>
        <v>✓</v>
      </c>
      <c r="L65" s="275" t="n">
        <f aca="false">IF($B29="","",COUNTIF(B65:K65,"✓"))</f>
        <v>1</v>
      </c>
    </row>
    <row r="66" customFormat="false" ht="52.2" hidden="false" customHeight="false" outlineLevel="0" collapsed="false">
      <c r="A66" s="250" t="str">
        <f aca="false">IF($B30="","",$A30&amp;" "&amp;$B30)</f>
        <v>P-026 醫院收費與金流服務商</v>
      </c>
      <c r="B66" s="274" t="str">
        <f aca="false">IF($B30="","",IF(ISNUMBER(SEARCH("D01",$F30)),"✓",""))</f>
        <v/>
      </c>
      <c r="C66" s="274" t="str">
        <f aca="false">IF($B30="","",IF(ISNUMBER(SEARCH("D02",$F30)),"✓",""))</f>
        <v/>
      </c>
      <c r="D66" s="274" t="str">
        <f aca="false">IF($B30="","",IF(ISNUMBER(SEARCH("D03",$F30)),"✓",""))</f>
        <v/>
      </c>
      <c r="E66" s="274" t="str">
        <f aca="false">IF($B30="","",IF(ISNUMBER(SEARCH("D04",$F30)),"✓",""))</f>
        <v/>
      </c>
      <c r="F66" s="274" t="str">
        <f aca="false">IF($B30="","",IF(ISNUMBER(SEARCH("D05",$F30)),"✓",""))</f>
        <v/>
      </c>
      <c r="G66" s="274" t="str">
        <f aca="false">IF($B30="","",IF(ISNUMBER(SEARCH("D06",$F30)),"✓",""))</f>
        <v/>
      </c>
      <c r="H66" s="274" t="str">
        <f aca="false">IF($B30="","",IF(ISNUMBER(SEARCH("D07",$F30)),"✓",""))</f>
        <v/>
      </c>
      <c r="I66" s="274" t="str">
        <f aca="false">IF($B30="","",IF(ISNUMBER(SEARCH("D08",$F30)),"✓",""))</f>
        <v/>
      </c>
      <c r="J66" s="274" t="str">
        <f aca="false">IF($B30="","",IF(ISNUMBER(SEARCH("D09",$F30)),"✓",""))</f>
        <v/>
      </c>
      <c r="K66" s="274" t="str">
        <f aca="false">IF($B30="","",IF(ISNUMBER(SEARCH("D10",$F30)),"✓",""))</f>
        <v>✓</v>
      </c>
      <c r="L66" s="275" t="n">
        <f aca="false">IF($B30="","",COUNTIF(B66:K66,"✓"))</f>
        <v>1</v>
      </c>
    </row>
    <row r="67" customFormat="false" ht="52.2" hidden="false" customHeight="false" outlineLevel="0" collapsed="false">
      <c r="A67" s="250" t="str">
        <f aca="false">IF($B31="","",$A31&amp;" "&amp;$B31)</f>
        <v>P-027 國際醫療行銷與保險通路</v>
      </c>
      <c r="B67" s="274" t="str">
        <f aca="false">IF($B31="","",IF(ISNUMBER(SEARCH("D01",$F31)),"✓",""))</f>
        <v/>
      </c>
      <c r="C67" s="274" t="str">
        <f aca="false">IF($B31="","",IF(ISNUMBER(SEARCH("D02",$F31)),"✓",""))</f>
        <v/>
      </c>
      <c r="D67" s="274" t="str">
        <f aca="false">IF($B31="","",IF(ISNUMBER(SEARCH("D03",$F31)),"✓",""))</f>
        <v/>
      </c>
      <c r="E67" s="274" t="str">
        <f aca="false">IF($B31="","",IF(ISNUMBER(SEARCH("D04",$F31)),"✓",""))</f>
        <v/>
      </c>
      <c r="F67" s="274" t="str">
        <f aca="false">IF($B31="","",IF(ISNUMBER(SEARCH("D05",$F31)),"✓",""))</f>
        <v/>
      </c>
      <c r="G67" s="274" t="str">
        <f aca="false">IF($B31="","",IF(ISNUMBER(SEARCH("D06",$F31)),"✓",""))</f>
        <v/>
      </c>
      <c r="H67" s="274" t="str">
        <f aca="false">IF($B31="","",IF(ISNUMBER(SEARCH("D07",$F31)),"✓",""))</f>
        <v/>
      </c>
      <c r="I67" s="274" t="str">
        <f aca="false">IF($B31="","",IF(ISNUMBER(SEARCH("D08",$F31)),"✓",""))</f>
        <v/>
      </c>
      <c r="J67" s="274" t="str">
        <f aca="false">IF($B31="","",IF(ISNUMBER(SEARCH("D09",$F31)),"✓",""))</f>
        <v/>
      </c>
      <c r="K67" s="274" t="str">
        <f aca="false">IF($B31="","",IF(ISNUMBER(SEARCH("D10",$F31)),"✓",""))</f>
        <v>✓</v>
      </c>
      <c r="L67" s="275" t="n">
        <f aca="false">IF($B31="","",COUNTIF(B67:K67,"✓"))</f>
        <v>1</v>
      </c>
    </row>
    <row r="68" customFormat="false" ht="39.55" hidden="false" customHeight="false" outlineLevel="0" collapsed="false">
      <c r="A68" s="250" t="str">
        <f aca="false">IF($B32="","",$A32&amp;" "&amp;$B32)</f>
        <v>P-028 越南在地維修服務網</v>
      </c>
      <c r="B68" s="274" t="str">
        <f aca="false">IF($B32="","",IF(ISNUMBER(SEARCH("D01",$F32)),"✓",""))</f>
        <v/>
      </c>
      <c r="C68" s="274" t="str">
        <f aca="false">IF($B32="","",IF(ISNUMBER(SEARCH("D02",$F32)),"✓",""))</f>
        <v/>
      </c>
      <c r="D68" s="274" t="str">
        <f aca="false">IF($B32="","",IF(ISNUMBER(SEARCH("D03",$F32)),"✓",""))</f>
        <v/>
      </c>
      <c r="E68" s="274" t="str">
        <f aca="false">IF($B32="","",IF(ISNUMBER(SEARCH("D04",$F32)),"✓",""))</f>
        <v/>
      </c>
      <c r="F68" s="274" t="str">
        <f aca="false">IF($B32="","",IF(ISNUMBER(SEARCH("D05",$F32)),"✓",""))</f>
        <v>✓</v>
      </c>
      <c r="G68" s="274" t="str">
        <f aca="false">IF($B32="","",IF(ISNUMBER(SEARCH("D06",$F32)),"✓",""))</f>
        <v/>
      </c>
      <c r="H68" s="274" t="str">
        <f aca="false">IF($B32="","",IF(ISNUMBER(SEARCH("D07",$F32)),"✓",""))</f>
        <v/>
      </c>
      <c r="I68" s="274" t="str">
        <f aca="false">IF($B32="","",IF(ISNUMBER(SEARCH("D08",$F32)),"✓",""))</f>
        <v/>
      </c>
      <c r="J68" s="274" t="str">
        <f aca="false">IF($B32="","",IF(ISNUMBER(SEARCH("D09",$F32)),"✓",""))</f>
        <v>✓</v>
      </c>
      <c r="K68" s="274" t="str">
        <f aca="false">IF($B32="","",IF(ISNUMBER(SEARCH("D10",$F32)),"✓",""))</f>
        <v/>
      </c>
      <c r="L68" s="275" t="n">
        <f aca="false">IF($B32="","",COUNTIF(B68:K68,"✓"))</f>
        <v>2</v>
      </c>
    </row>
    <row r="69" customFormat="false" ht="64.9" hidden="false" customHeight="false" outlineLevel="0" collapsed="false">
      <c r="A69" s="250" t="str">
        <f aca="false">IF($B33="","",$A33&amp;" "&amp;$B33)</f>
        <v>P-029 智慧院區設備商（BMS/RTLS）</v>
      </c>
      <c r="B69" s="274" t="str">
        <f aca="false">IF($B33="","",IF(ISNUMBER(SEARCH("D01",$F33)),"✓",""))</f>
        <v/>
      </c>
      <c r="C69" s="274" t="str">
        <f aca="false">IF($B33="","",IF(ISNUMBER(SEARCH("D02",$F33)),"✓",""))</f>
        <v/>
      </c>
      <c r="D69" s="274" t="str">
        <f aca="false">IF($B33="","",IF(ISNUMBER(SEARCH("D03",$F33)),"✓",""))</f>
        <v/>
      </c>
      <c r="E69" s="274" t="str">
        <f aca="false">IF($B33="","",IF(ISNUMBER(SEARCH("D04",$F33)),"✓",""))</f>
        <v>✓</v>
      </c>
      <c r="F69" s="274" t="str">
        <f aca="false">IF($B33="","",IF(ISNUMBER(SEARCH("D05",$F33)),"✓",""))</f>
        <v/>
      </c>
      <c r="G69" s="274" t="str">
        <f aca="false">IF($B33="","",IF(ISNUMBER(SEARCH("D06",$F33)),"✓",""))</f>
        <v/>
      </c>
      <c r="H69" s="274" t="str">
        <f aca="false">IF($B33="","",IF(ISNUMBER(SEARCH("D07",$F33)),"✓",""))</f>
        <v/>
      </c>
      <c r="I69" s="274" t="str">
        <f aca="false">IF($B33="","",IF(ISNUMBER(SEARCH("D08",$F33)),"✓",""))</f>
        <v/>
      </c>
      <c r="J69" s="274" t="str">
        <f aca="false">IF($B33="","",IF(ISNUMBER(SEARCH("D09",$F33)),"✓",""))</f>
        <v/>
      </c>
      <c r="K69" s="274" t="str">
        <f aca="false">IF($B33="","",IF(ISNUMBER(SEARCH("D10",$F33)),"✓",""))</f>
        <v/>
      </c>
      <c r="L69" s="275" t="n">
        <f aca="false">IF($B33="","",COUNTIF(B69:K69,"✓"))</f>
        <v>1</v>
      </c>
    </row>
    <row r="70" customFormat="false" ht="15" hidden="false" customHeight="false" outlineLevel="0" collapsed="false">
      <c r="A70" s="250" t="str">
        <f aca="false">IF($B34="","",$A34&amp;" "&amp;$B34)</f>
        <v/>
      </c>
      <c r="B70" s="274" t="str">
        <f aca="false">IF($B34="","",IF(ISNUMBER(SEARCH("D01",$F34)),"✓",""))</f>
        <v/>
      </c>
      <c r="C70" s="274" t="str">
        <f aca="false">IF($B34="","",IF(ISNUMBER(SEARCH("D02",$F34)),"✓",""))</f>
        <v/>
      </c>
      <c r="D70" s="274" t="str">
        <f aca="false">IF($B34="","",IF(ISNUMBER(SEARCH("D03",$F34)),"✓",""))</f>
        <v/>
      </c>
      <c r="E70" s="274" t="str">
        <f aca="false">IF($B34="","",IF(ISNUMBER(SEARCH("D04",$F34)),"✓",""))</f>
        <v/>
      </c>
      <c r="F70" s="274" t="str">
        <f aca="false">IF($B34="","",IF(ISNUMBER(SEARCH("D05",$F34)),"✓",""))</f>
        <v/>
      </c>
      <c r="G70" s="274" t="str">
        <f aca="false">IF($B34="","",IF(ISNUMBER(SEARCH("D06",$F34)),"✓",""))</f>
        <v/>
      </c>
      <c r="H70" s="274" t="str">
        <f aca="false">IF($B34="","",IF(ISNUMBER(SEARCH("D07",$F34)),"✓",""))</f>
        <v/>
      </c>
      <c r="I70" s="274" t="str">
        <f aca="false">IF($B34="","",IF(ISNUMBER(SEARCH("D08",$F34)),"✓",""))</f>
        <v/>
      </c>
      <c r="J70" s="274" t="str">
        <f aca="false">IF($B34="","",IF(ISNUMBER(SEARCH("D09",$F34)),"✓",""))</f>
        <v/>
      </c>
      <c r="K70" s="274" t="str">
        <f aca="false">IF($B34="","",IF(ISNUMBER(SEARCH("D10",$F34)),"✓",""))</f>
        <v/>
      </c>
      <c r="L70" s="275" t="str">
        <f aca="false">IF($B34="","",COUNTIF(B70:K70,"✓"))</f>
        <v/>
      </c>
    </row>
    <row r="71" customFormat="false" ht="15" hidden="false" customHeight="false" outlineLevel="0" collapsed="false">
      <c r="A71" s="250" t="str">
        <f aca="false">IF($B35="","",$A35&amp;" "&amp;$B35)</f>
        <v/>
      </c>
      <c r="B71" s="274" t="str">
        <f aca="false">IF($B35="","",IF(ISNUMBER(SEARCH("D01",$F35)),"✓",""))</f>
        <v/>
      </c>
      <c r="C71" s="274" t="str">
        <f aca="false">IF($B35="","",IF(ISNUMBER(SEARCH("D02",$F35)),"✓",""))</f>
        <v/>
      </c>
      <c r="D71" s="274" t="str">
        <f aca="false">IF($B35="","",IF(ISNUMBER(SEARCH("D03",$F35)),"✓",""))</f>
        <v/>
      </c>
      <c r="E71" s="274" t="str">
        <f aca="false">IF($B35="","",IF(ISNUMBER(SEARCH("D04",$F35)),"✓",""))</f>
        <v/>
      </c>
      <c r="F71" s="274" t="str">
        <f aca="false">IF($B35="","",IF(ISNUMBER(SEARCH("D05",$F35)),"✓",""))</f>
        <v/>
      </c>
      <c r="G71" s="274" t="str">
        <f aca="false">IF($B35="","",IF(ISNUMBER(SEARCH("D06",$F35)),"✓",""))</f>
        <v/>
      </c>
      <c r="H71" s="274" t="str">
        <f aca="false">IF($B35="","",IF(ISNUMBER(SEARCH("D07",$F35)),"✓",""))</f>
        <v/>
      </c>
      <c r="I71" s="274" t="str">
        <f aca="false">IF($B35="","",IF(ISNUMBER(SEARCH("D08",$F35)),"✓",""))</f>
        <v/>
      </c>
      <c r="J71" s="274" t="str">
        <f aca="false">IF($B35="","",IF(ISNUMBER(SEARCH("D09",$F35)),"✓",""))</f>
        <v/>
      </c>
      <c r="K71" s="274" t="str">
        <f aca="false">IF($B35="","",IF(ISNUMBER(SEARCH("D10",$F35)),"✓",""))</f>
        <v/>
      </c>
      <c r="L71" s="275" t="str">
        <f aca="false">IF($B35="","",COUNTIF(B71:K71,"✓"))</f>
        <v/>
      </c>
    </row>
    <row r="72" customFormat="false" ht="15" hidden="false" customHeight="false" outlineLevel="0" collapsed="false">
      <c r="A72" s="250" t="str">
        <f aca="false">IF($B36="","",$A36&amp;" "&amp;$B36)</f>
        <v/>
      </c>
      <c r="B72" s="274" t="str">
        <f aca="false">IF($B36="","",IF(ISNUMBER(SEARCH("D01",$F36)),"✓",""))</f>
        <v/>
      </c>
      <c r="C72" s="274" t="str">
        <f aca="false">IF($B36="","",IF(ISNUMBER(SEARCH("D02",$F36)),"✓",""))</f>
        <v/>
      </c>
      <c r="D72" s="274" t="str">
        <f aca="false">IF($B36="","",IF(ISNUMBER(SEARCH("D03",$F36)),"✓",""))</f>
        <v/>
      </c>
      <c r="E72" s="274" t="str">
        <f aca="false">IF($B36="","",IF(ISNUMBER(SEARCH("D04",$F36)),"✓",""))</f>
        <v/>
      </c>
      <c r="F72" s="274" t="str">
        <f aca="false">IF($B36="","",IF(ISNUMBER(SEARCH("D05",$F36)),"✓",""))</f>
        <v/>
      </c>
      <c r="G72" s="274" t="str">
        <f aca="false">IF($B36="","",IF(ISNUMBER(SEARCH("D06",$F36)),"✓",""))</f>
        <v/>
      </c>
      <c r="H72" s="274" t="str">
        <f aca="false">IF($B36="","",IF(ISNUMBER(SEARCH("D07",$F36)),"✓",""))</f>
        <v/>
      </c>
      <c r="I72" s="274" t="str">
        <f aca="false">IF($B36="","",IF(ISNUMBER(SEARCH("D08",$F36)),"✓",""))</f>
        <v/>
      </c>
      <c r="J72" s="274" t="str">
        <f aca="false">IF($B36="","",IF(ISNUMBER(SEARCH("D09",$F36)),"✓",""))</f>
        <v/>
      </c>
      <c r="K72" s="274" t="str">
        <f aca="false">IF($B36="","",IF(ISNUMBER(SEARCH("D10",$F36)),"✓",""))</f>
        <v/>
      </c>
      <c r="L72" s="275" t="str">
        <f aca="false">IF($B36="","",COUNTIF(B72:K72,"✓"))</f>
        <v/>
      </c>
    </row>
    <row r="73" customFormat="false" ht="15" hidden="false" customHeight="false" outlineLevel="0" collapsed="false">
      <c r="A73" s="250" t="str">
        <f aca="false">IF($B37="","",$A37&amp;" "&amp;$B37)</f>
        <v/>
      </c>
      <c r="B73" s="274" t="str">
        <f aca="false">IF($B37="","",IF(ISNUMBER(SEARCH("D01",$F37)),"✓",""))</f>
        <v/>
      </c>
      <c r="C73" s="274" t="str">
        <f aca="false">IF($B37="","",IF(ISNUMBER(SEARCH("D02",$F37)),"✓",""))</f>
        <v/>
      </c>
      <c r="D73" s="274" t="str">
        <f aca="false">IF($B37="","",IF(ISNUMBER(SEARCH("D03",$F37)),"✓",""))</f>
        <v/>
      </c>
      <c r="E73" s="274" t="str">
        <f aca="false">IF($B37="","",IF(ISNUMBER(SEARCH("D04",$F37)),"✓",""))</f>
        <v/>
      </c>
      <c r="F73" s="274" t="str">
        <f aca="false">IF($B37="","",IF(ISNUMBER(SEARCH("D05",$F37)),"✓",""))</f>
        <v/>
      </c>
      <c r="G73" s="274" t="str">
        <f aca="false">IF($B37="","",IF(ISNUMBER(SEARCH("D06",$F37)),"✓",""))</f>
        <v/>
      </c>
      <c r="H73" s="274" t="str">
        <f aca="false">IF($B37="","",IF(ISNUMBER(SEARCH("D07",$F37)),"✓",""))</f>
        <v/>
      </c>
      <c r="I73" s="274" t="str">
        <f aca="false">IF($B37="","",IF(ISNUMBER(SEARCH("D08",$F37)),"✓",""))</f>
        <v/>
      </c>
      <c r="J73" s="274" t="str">
        <f aca="false">IF($B37="","",IF(ISNUMBER(SEARCH("D09",$F37)),"✓",""))</f>
        <v/>
      </c>
      <c r="K73" s="274" t="str">
        <f aca="false">IF($B37="","",IF(ISNUMBER(SEARCH("D10",$F37)),"✓",""))</f>
        <v/>
      </c>
      <c r="L73" s="275" t="str">
        <f aca="false">IF($B37="","",COUNTIF(B73:K73,"✓"))</f>
        <v/>
      </c>
    </row>
    <row r="74" customFormat="false" ht="15" hidden="false" customHeight="false" outlineLevel="0" collapsed="false">
      <c r="A74" s="276" t="s">
        <v>2181</v>
      </c>
      <c r="B74" s="277" t="n">
        <f aca="false">COUNTIF(B41:B73,"✓")</f>
        <v>8</v>
      </c>
      <c r="C74" s="277" t="n">
        <f aca="false">COUNTIF(C41:C73,"✓")</f>
        <v>5</v>
      </c>
      <c r="D74" s="277" t="n">
        <f aca="false">COUNTIF(D41:D73,"✓")</f>
        <v>4</v>
      </c>
      <c r="E74" s="277" t="n">
        <f aca="false">COUNTIF(E41:E73,"✓")</f>
        <v>5</v>
      </c>
      <c r="F74" s="277" t="n">
        <f aca="false">COUNTIF(F41:F73,"✓")</f>
        <v>8</v>
      </c>
      <c r="G74" s="277" t="n">
        <f aca="false">COUNTIF(G41:G73,"✓")</f>
        <v>8</v>
      </c>
      <c r="H74" s="277" t="n">
        <f aca="false">COUNTIF(H41:H73,"✓")</f>
        <v>4</v>
      </c>
      <c r="I74" s="277" t="n">
        <f aca="false">COUNTIF(I41:I73,"✓")</f>
        <v>4</v>
      </c>
      <c r="J74" s="277" t="n">
        <f aca="false">COUNTIF(J41:J73,"✓")</f>
        <v>5</v>
      </c>
      <c r="K74" s="277" t="n">
        <f aca="false">COUNTIF(K41:K73,"✓")</f>
        <v>10</v>
      </c>
    </row>
    <row r="75" customFormat="false" ht="15" hidden="false" customHeight="false" outlineLevel="0" collapsed="false">
      <c r="A75" s="278" t="s">
        <v>2182</v>
      </c>
      <c r="B75" s="279" t="n">
        <f aca="false">COUNTIFS(03_能力總表_Master!$B$5:$B$154,"D01*",03_能力總表_Master!$H$5:$H$154,"缺口*")</f>
        <v>0</v>
      </c>
      <c r="C75" s="279" t="n">
        <f aca="false">COUNTIFS(03_能力總表_Master!$B$5:$B$154,"D02*",03_能力總表_Master!$H$5:$H$154,"缺口*")</f>
        <v>0</v>
      </c>
      <c r="D75" s="279" t="n">
        <f aca="false">COUNTIFS(03_能力總表_Master!$B$5:$B$154,"D03*",03_能力總表_Master!$H$5:$H$154,"缺口*")</f>
        <v>0</v>
      </c>
      <c r="E75" s="279" t="n">
        <f aca="false">COUNTIFS(03_能力總表_Master!$B$5:$B$154,"D04*",03_能力總表_Master!$H$5:$H$154,"缺口*")</f>
        <v>0</v>
      </c>
      <c r="F75" s="279" t="n">
        <f aca="false">COUNTIFS(03_能力總表_Master!$B$5:$B$154,"D05*",03_能力總表_Master!$H$5:$H$154,"缺口*")</f>
        <v>3</v>
      </c>
      <c r="G75" s="279" t="n">
        <f aca="false">COUNTIFS(03_能力總表_Master!$B$5:$B$154,"D06*",03_能力總表_Master!$H$5:$H$154,"缺口*")</f>
        <v>2</v>
      </c>
      <c r="H75" s="279" t="n">
        <f aca="false">COUNTIFS(03_能力總表_Master!$B$5:$B$154,"D07*",03_能力總表_Master!$H$5:$H$154,"缺口*")</f>
        <v>0</v>
      </c>
      <c r="I75" s="279" t="n">
        <f aca="false">COUNTIFS(03_能力總表_Master!$B$5:$B$154,"D08*",03_能力總表_Master!$H$5:$H$154,"缺口*")</f>
        <v>1</v>
      </c>
      <c r="J75" s="279" t="n">
        <f aca="false">COUNTIFS(03_能力總表_Master!$B$5:$B$154,"D09*",03_能力總表_Master!$H$5:$H$154,"缺口*")</f>
        <v>0</v>
      </c>
      <c r="K75" s="279" t="n">
        <f aca="false">COUNTIFS(03_能力總表_Master!$B$5:$B$154,"D10*",03_能力總表_Master!$H$5:$H$154,"缺口*")</f>
        <v>3</v>
      </c>
    </row>
    <row r="77" customFormat="false" ht="15" hidden="false" customHeight="true" outlineLevel="0" collapsed="false">
      <c r="A77" s="211" t="s">
        <v>2183</v>
      </c>
      <c r="B77" s="211"/>
      <c r="C77" s="211"/>
      <c r="D77" s="211"/>
      <c r="E77" s="211"/>
      <c r="F77" s="211"/>
      <c r="G77" s="211"/>
      <c r="H77" s="211"/>
      <c r="I77" s="211"/>
      <c r="J77" s="211"/>
      <c r="K77" s="211"/>
      <c r="L77" s="211"/>
    </row>
  </sheetData>
  <sheetProtection sheet="true" formatColumns="false" formatRows="false" autoFilter="false"/>
  <autoFilter ref="A4:AE37"/>
  <mergeCells count="3">
    <mergeCell ref="A1:S1"/>
    <mergeCell ref="A2:S2"/>
    <mergeCell ref="A77:L77"/>
  </mergeCells>
  <conditionalFormatting sqref="Q5:Q37">
    <cfRule type="expression" priority="2" aboveAverage="0" equalAverage="0" bottom="0" percent="0" rank="0" text="" dxfId="32">
      <formula>ISNUMBER(SEARCH("高",Q5))</formula>
    </cfRule>
    <cfRule type="expression" priority="3" aboveAverage="0" equalAverage="0" bottom="0" percent="0" rank="0" text="" dxfId="33">
      <formula>ISNUMBER(SEARCH("中",Q5))</formula>
    </cfRule>
  </conditionalFormatting>
  <conditionalFormatting sqref="B41:K73">
    <cfRule type="cellIs" priority="4" operator="equal" aboveAverage="0" equalAverage="0" bottom="0" percent="0" rank="0" text="" dxfId="55">
      <formula>"✓"</formula>
    </cfRule>
  </conditionalFormatting>
  <dataValidations count="8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D5:D37" type="list">
      <formula1>L_PType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E5:E37" type="list">
      <formula1>L_Country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H5:H37" type="list">
      <formula1>L_YN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I5:O37" type="list">
      <formula1>L_S05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Q5:Q37" type="list">
      <formula1>L_Src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R5:R37" type="list">
      <formula1>L_PStatus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U5:AD37" type="list">
      <formula1>L_Check</formula1>
      <formula2>0</formula2>
    </dataValidation>
    <dataValidation allowBlank="true" errorStyle="stop" operator="between" prompt="下拉是已知的建議清單，方便快速選取；若清單裡沒有你要的，直接打字輸入即可，不會被擋下。" promptTitle="建議選項（可自行輸入）" showDropDown="false" showErrorMessage="false" showInputMessage="true" sqref="B5:B37" type="list">
      <formula1>L_PartnerCand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17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13" min="7" style="0" width="4.5"/>
    <col collapsed="false" customWidth="true" hidden="false" outlineLevel="0" max="14" min="14" style="0" width="15"/>
    <col collapsed="false" customWidth="true" hidden="false" outlineLevel="0" max="15" min="15" style="0" width="34"/>
    <col collapsed="false" customWidth="true" hidden="false" outlineLevel="0" max="16" min="16" style="0" width="22"/>
  </cols>
  <sheetData>
    <row r="1" customFormat="false" ht="30" hidden="false" customHeight="true" outlineLevel="0" collapsed="false">
      <c r="A1" s="1" t="s">
        <v>2184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5.5" hidden="false" customHeight="true" outlineLevel="0" collapsed="false">
      <c r="A2" s="4" t="s">
        <v>2185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customFormat="false" ht="15" hidden="false" customHeight="false" outlineLevel="0" collapsed="false">
      <c r="A3" s="5" t="s">
        <v>946</v>
      </c>
    </row>
    <row r="4" customFormat="false" ht="30" hidden="false" customHeight="true" outlineLevel="0" collapsed="false">
      <c r="A4" s="36" t="s">
        <v>2186</v>
      </c>
      <c r="B4" s="36" t="s">
        <v>2187</v>
      </c>
      <c r="C4" s="36" t="s">
        <v>2188</v>
      </c>
      <c r="D4" s="36" t="s">
        <v>2189</v>
      </c>
      <c r="E4" s="36" t="s">
        <v>2190</v>
      </c>
      <c r="F4" s="36" t="s">
        <v>2191</v>
      </c>
      <c r="G4" s="220" t="s">
        <v>226</v>
      </c>
      <c r="H4" s="220" t="s">
        <v>243</v>
      </c>
      <c r="I4" s="220" t="s">
        <v>269</v>
      </c>
      <c r="J4" s="220" t="s">
        <v>361</v>
      </c>
      <c r="K4" s="220" t="s">
        <v>302</v>
      </c>
      <c r="L4" s="220" t="s">
        <v>344</v>
      </c>
      <c r="M4" s="220" t="s">
        <v>744</v>
      </c>
      <c r="N4" s="36" t="s">
        <v>2192</v>
      </c>
      <c r="O4" s="36" t="s">
        <v>2193</v>
      </c>
      <c r="P4" s="36" t="s">
        <v>2194</v>
      </c>
    </row>
    <row r="5" customFormat="false" ht="25.5" hidden="false" customHeight="true" outlineLevel="0" collapsed="false">
      <c r="A5" s="93" t="s">
        <v>1497</v>
      </c>
      <c r="B5" s="96" t="s">
        <v>2195</v>
      </c>
      <c r="C5" s="95" t="s">
        <v>2196</v>
      </c>
      <c r="D5" s="93" t="s">
        <v>2197</v>
      </c>
      <c r="E5" s="280" t="s">
        <v>2198</v>
      </c>
      <c r="F5" s="60" t="s">
        <v>1435</v>
      </c>
      <c r="G5" s="260"/>
      <c r="H5" s="260" t="s">
        <v>2199</v>
      </c>
      <c r="I5" s="260" t="s">
        <v>2199</v>
      </c>
      <c r="J5" s="260" t="s">
        <v>2199</v>
      </c>
      <c r="K5" s="260"/>
      <c r="L5" s="260"/>
      <c r="M5" s="260"/>
      <c r="N5" s="93" t="s">
        <v>473</v>
      </c>
      <c r="O5" s="95" t="s">
        <v>2200</v>
      </c>
      <c r="P5" s="95" t="s">
        <v>2201</v>
      </c>
    </row>
    <row r="6" customFormat="false" ht="25.5" hidden="false" customHeight="true" outlineLevel="0" collapsed="false">
      <c r="A6" s="93" t="s">
        <v>1533</v>
      </c>
      <c r="B6" s="96" t="s">
        <v>2195</v>
      </c>
      <c r="C6" s="95" t="s">
        <v>2202</v>
      </c>
      <c r="D6" s="93" t="s">
        <v>2203</v>
      </c>
      <c r="E6" s="280" t="s">
        <v>2198</v>
      </c>
      <c r="F6" s="60" t="s">
        <v>1435</v>
      </c>
      <c r="G6" s="260"/>
      <c r="H6" s="260" t="s">
        <v>2199</v>
      </c>
      <c r="I6" s="260" t="s">
        <v>2199</v>
      </c>
      <c r="J6" s="260" t="s">
        <v>2199</v>
      </c>
      <c r="K6" s="260"/>
      <c r="L6" s="260"/>
      <c r="M6" s="260"/>
      <c r="N6" s="93" t="s">
        <v>473</v>
      </c>
      <c r="O6" s="95" t="s">
        <v>2204</v>
      </c>
      <c r="P6" s="95" t="s">
        <v>2205</v>
      </c>
    </row>
    <row r="7" customFormat="false" ht="25.5" hidden="false" customHeight="true" outlineLevel="0" collapsed="false">
      <c r="A7" s="93" t="s">
        <v>2206</v>
      </c>
      <c r="B7" s="96" t="s">
        <v>2195</v>
      </c>
      <c r="C7" s="95" t="s">
        <v>2207</v>
      </c>
      <c r="D7" s="93" t="s">
        <v>2208</v>
      </c>
      <c r="E7" s="280" t="s">
        <v>2198</v>
      </c>
      <c r="F7" s="60" t="s">
        <v>1435</v>
      </c>
      <c r="G7" s="260"/>
      <c r="H7" s="260"/>
      <c r="I7" s="260" t="s">
        <v>2199</v>
      </c>
      <c r="J7" s="260" t="s">
        <v>2199</v>
      </c>
      <c r="K7" s="260" t="s">
        <v>2199</v>
      </c>
      <c r="L7" s="260" t="s">
        <v>2199</v>
      </c>
      <c r="M7" s="260"/>
      <c r="N7" s="93" t="s">
        <v>2209</v>
      </c>
      <c r="O7" s="95" t="s">
        <v>2210</v>
      </c>
      <c r="P7" s="95" t="s">
        <v>2211</v>
      </c>
    </row>
    <row r="8" customFormat="false" ht="25.5" hidden="false" customHeight="true" outlineLevel="0" collapsed="false">
      <c r="A8" s="93" t="s">
        <v>2212</v>
      </c>
      <c r="B8" s="96" t="s">
        <v>2195</v>
      </c>
      <c r="C8" s="95" t="s">
        <v>2213</v>
      </c>
      <c r="D8" s="93" t="s">
        <v>2208</v>
      </c>
      <c r="E8" s="280" t="s">
        <v>2198</v>
      </c>
      <c r="F8" s="60" t="s">
        <v>1435</v>
      </c>
      <c r="G8" s="260"/>
      <c r="H8" s="260"/>
      <c r="I8" s="260" t="s">
        <v>2199</v>
      </c>
      <c r="J8" s="260" t="s">
        <v>2199</v>
      </c>
      <c r="K8" s="260" t="s">
        <v>2199</v>
      </c>
      <c r="L8" s="260"/>
      <c r="M8" s="260"/>
      <c r="N8" s="93" t="s">
        <v>2214</v>
      </c>
      <c r="O8" s="95" t="s">
        <v>2215</v>
      </c>
      <c r="P8" s="95" t="s">
        <v>2216</v>
      </c>
    </row>
    <row r="9" customFormat="false" ht="25.5" hidden="false" customHeight="true" outlineLevel="0" collapsed="false">
      <c r="A9" s="93" t="s">
        <v>2217</v>
      </c>
      <c r="B9" s="96" t="s">
        <v>2195</v>
      </c>
      <c r="C9" s="95" t="s">
        <v>2218</v>
      </c>
      <c r="D9" s="93" t="s">
        <v>2203</v>
      </c>
      <c r="E9" s="280" t="s">
        <v>2198</v>
      </c>
      <c r="F9" s="60" t="s">
        <v>1435</v>
      </c>
      <c r="G9" s="260"/>
      <c r="H9" s="260" t="s">
        <v>2199</v>
      </c>
      <c r="I9" s="260" t="s">
        <v>2199</v>
      </c>
      <c r="J9" s="260" t="s">
        <v>2199</v>
      </c>
      <c r="K9" s="260" t="s">
        <v>2199</v>
      </c>
      <c r="L9" s="260" t="s">
        <v>2199</v>
      </c>
      <c r="M9" s="260"/>
      <c r="N9" s="93" t="s">
        <v>2219</v>
      </c>
      <c r="O9" s="95" t="s">
        <v>2220</v>
      </c>
      <c r="P9" s="107" t="s">
        <v>2221</v>
      </c>
    </row>
    <row r="10" customFormat="false" ht="25.5" hidden="false" customHeight="true" outlineLevel="0" collapsed="false">
      <c r="A10" s="93" t="s">
        <v>2222</v>
      </c>
      <c r="B10" s="96" t="s">
        <v>2195</v>
      </c>
      <c r="C10" s="95" t="s">
        <v>2223</v>
      </c>
      <c r="D10" s="93" t="s">
        <v>2197</v>
      </c>
      <c r="E10" s="280" t="s">
        <v>2198</v>
      </c>
      <c r="F10" s="60" t="s">
        <v>1435</v>
      </c>
      <c r="G10" s="260"/>
      <c r="H10" s="260" t="s">
        <v>2199</v>
      </c>
      <c r="I10" s="260" t="s">
        <v>2199</v>
      </c>
      <c r="J10" s="260" t="s">
        <v>2199</v>
      </c>
      <c r="K10" s="260" t="s">
        <v>2199</v>
      </c>
      <c r="L10" s="260" t="s">
        <v>2199</v>
      </c>
      <c r="M10" s="260"/>
      <c r="N10" s="93" t="s">
        <v>522</v>
      </c>
      <c r="O10" s="95" t="s">
        <v>2224</v>
      </c>
      <c r="P10" s="95" t="s">
        <v>2225</v>
      </c>
    </row>
    <row r="11" customFormat="false" ht="25.5" hidden="false" customHeight="true" outlineLevel="0" collapsed="false">
      <c r="A11" s="93" t="s">
        <v>2226</v>
      </c>
      <c r="B11" s="96" t="s">
        <v>2195</v>
      </c>
      <c r="C11" s="95" t="s">
        <v>2227</v>
      </c>
      <c r="D11" s="93" t="s">
        <v>2203</v>
      </c>
      <c r="E11" s="280" t="s">
        <v>2198</v>
      </c>
      <c r="F11" s="60" t="s">
        <v>1435</v>
      </c>
      <c r="G11" s="260"/>
      <c r="H11" s="260" t="s">
        <v>2199</v>
      </c>
      <c r="I11" s="260" t="s">
        <v>2199</v>
      </c>
      <c r="J11" s="260" t="s">
        <v>2199</v>
      </c>
      <c r="K11" s="260" t="s">
        <v>2199</v>
      </c>
      <c r="L11" s="260" t="s">
        <v>2199</v>
      </c>
      <c r="M11" s="260"/>
      <c r="N11" s="93" t="s">
        <v>2228</v>
      </c>
      <c r="O11" s="95" t="s">
        <v>2229</v>
      </c>
      <c r="P11" s="95" t="s">
        <v>2230</v>
      </c>
    </row>
    <row r="12" customFormat="false" ht="25.5" hidden="false" customHeight="true" outlineLevel="0" collapsed="false">
      <c r="A12" s="93" t="s">
        <v>1449</v>
      </c>
      <c r="B12" s="260" t="s">
        <v>2231</v>
      </c>
      <c r="C12" s="95" t="s">
        <v>2232</v>
      </c>
      <c r="D12" s="93" t="s">
        <v>2233</v>
      </c>
      <c r="E12" s="96" t="s">
        <v>2234</v>
      </c>
      <c r="F12" s="60" t="s">
        <v>2235</v>
      </c>
      <c r="G12" s="260"/>
      <c r="H12" s="260" t="s">
        <v>2199</v>
      </c>
      <c r="I12" s="260" t="s">
        <v>2199</v>
      </c>
      <c r="J12" s="260" t="s">
        <v>2199</v>
      </c>
      <c r="K12" s="260" t="s">
        <v>2199</v>
      </c>
      <c r="L12" s="260" t="s">
        <v>2199</v>
      </c>
      <c r="M12" s="260" t="s">
        <v>2199</v>
      </c>
      <c r="N12" s="93" t="s">
        <v>890</v>
      </c>
      <c r="O12" s="95" t="s">
        <v>2236</v>
      </c>
      <c r="P12" s="95" t="s">
        <v>2237</v>
      </c>
    </row>
    <row r="13" customFormat="false" ht="25.5" hidden="false" customHeight="true" outlineLevel="0" collapsed="false">
      <c r="A13" s="93" t="s">
        <v>2238</v>
      </c>
      <c r="B13" s="260" t="s">
        <v>2239</v>
      </c>
      <c r="C13" s="95" t="s">
        <v>2240</v>
      </c>
      <c r="D13" s="93" t="s">
        <v>2241</v>
      </c>
      <c r="E13" s="96" t="s">
        <v>2234</v>
      </c>
      <c r="F13" s="60" t="s">
        <v>2235</v>
      </c>
      <c r="G13" s="260"/>
      <c r="H13" s="260"/>
      <c r="I13" s="260" t="s">
        <v>2199</v>
      </c>
      <c r="J13" s="260" t="s">
        <v>2199</v>
      </c>
      <c r="K13" s="260" t="s">
        <v>2199</v>
      </c>
      <c r="L13" s="260" t="s">
        <v>2199</v>
      </c>
      <c r="M13" s="260" t="s">
        <v>2199</v>
      </c>
      <c r="N13" s="93" t="s">
        <v>2242</v>
      </c>
      <c r="O13" s="95" t="s">
        <v>2243</v>
      </c>
      <c r="P13" s="95" t="s">
        <v>2244</v>
      </c>
    </row>
    <row r="14" customFormat="false" ht="25.5" hidden="false" customHeight="true" outlineLevel="0" collapsed="false">
      <c r="A14" s="93" t="s">
        <v>1490</v>
      </c>
      <c r="B14" s="260" t="s">
        <v>2231</v>
      </c>
      <c r="C14" s="95" t="s">
        <v>2245</v>
      </c>
      <c r="D14" s="93" t="s">
        <v>2246</v>
      </c>
      <c r="E14" s="96" t="s">
        <v>2234</v>
      </c>
      <c r="F14" s="60" t="s">
        <v>2235</v>
      </c>
      <c r="G14" s="260"/>
      <c r="H14" s="260" t="s">
        <v>2199</v>
      </c>
      <c r="I14" s="260" t="s">
        <v>2199</v>
      </c>
      <c r="J14" s="260"/>
      <c r="K14" s="260"/>
      <c r="L14" s="260"/>
      <c r="M14" s="260"/>
      <c r="N14" s="93" t="s">
        <v>246</v>
      </c>
      <c r="O14" s="95" t="s">
        <v>2247</v>
      </c>
      <c r="P14" s="95" t="s">
        <v>2248</v>
      </c>
    </row>
    <row r="15" customFormat="false" ht="25.5" hidden="false" customHeight="true" outlineLevel="0" collapsed="false">
      <c r="A15" s="93" t="s">
        <v>1578</v>
      </c>
      <c r="B15" s="260" t="s">
        <v>2231</v>
      </c>
      <c r="C15" s="95" t="s">
        <v>2249</v>
      </c>
      <c r="D15" s="93" t="s">
        <v>2233</v>
      </c>
      <c r="E15" s="96" t="s">
        <v>2234</v>
      </c>
      <c r="F15" s="60" t="s">
        <v>2235</v>
      </c>
      <c r="G15" s="260"/>
      <c r="H15" s="260"/>
      <c r="I15" s="260" t="s">
        <v>2199</v>
      </c>
      <c r="J15" s="260" t="s">
        <v>2199</v>
      </c>
      <c r="K15" s="260" t="s">
        <v>2199</v>
      </c>
      <c r="L15" s="260" t="s">
        <v>2199</v>
      </c>
      <c r="M15" s="260" t="s">
        <v>2199</v>
      </c>
      <c r="N15" s="93" t="s">
        <v>346</v>
      </c>
      <c r="O15" s="95" t="s">
        <v>2250</v>
      </c>
      <c r="P15" s="95" t="s">
        <v>2251</v>
      </c>
    </row>
    <row r="16" customFormat="false" ht="25.5" hidden="false" customHeight="true" outlineLevel="0" collapsed="false">
      <c r="A16" s="93" t="s">
        <v>2252</v>
      </c>
      <c r="B16" s="260" t="s">
        <v>2231</v>
      </c>
      <c r="C16" s="95" t="s">
        <v>2253</v>
      </c>
      <c r="D16" s="93" t="s">
        <v>2233</v>
      </c>
      <c r="E16" s="96" t="s">
        <v>2234</v>
      </c>
      <c r="F16" s="60" t="s">
        <v>1435</v>
      </c>
      <c r="G16" s="260"/>
      <c r="H16" s="260"/>
      <c r="I16" s="260" t="s">
        <v>2199</v>
      </c>
      <c r="J16" s="260" t="s">
        <v>2199</v>
      </c>
      <c r="K16" s="260" t="s">
        <v>2199</v>
      </c>
      <c r="L16" s="260" t="s">
        <v>2199</v>
      </c>
      <c r="M16" s="260" t="s">
        <v>2199</v>
      </c>
      <c r="N16" s="93" t="s">
        <v>1550</v>
      </c>
      <c r="O16" s="95" t="s">
        <v>2254</v>
      </c>
      <c r="P16" s="95" t="s">
        <v>2255</v>
      </c>
    </row>
    <row r="17" customFormat="false" ht="25.5" hidden="false" customHeight="true" outlineLevel="0" collapsed="false">
      <c r="A17" s="93" t="s">
        <v>1876</v>
      </c>
      <c r="B17" s="260" t="s">
        <v>2231</v>
      </c>
      <c r="C17" s="95" t="s">
        <v>2256</v>
      </c>
      <c r="D17" s="93" t="s">
        <v>2233</v>
      </c>
      <c r="E17" s="96" t="s">
        <v>2234</v>
      </c>
      <c r="F17" s="60" t="s">
        <v>2235</v>
      </c>
      <c r="G17" s="260"/>
      <c r="H17" s="260"/>
      <c r="I17" s="260" t="s">
        <v>2199</v>
      </c>
      <c r="J17" s="260" t="s">
        <v>2199</v>
      </c>
      <c r="K17" s="260" t="s">
        <v>2199</v>
      </c>
      <c r="L17" s="260" t="s">
        <v>2199</v>
      </c>
      <c r="M17" s="260" t="s">
        <v>2199</v>
      </c>
      <c r="N17" s="93" t="s">
        <v>658</v>
      </c>
      <c r="O17" s="95" t="s">
        <v>2257</v>
      </c>
      <c r="P17" s="95" t="s">
        <v>2258</v>
      </c>
    </row>
    <row r="18" customFormat="false" ht="25.5" hidden="false" customHeight="true" outlineLevel="0" collapsed="false">
      <c r="A18" s="93" t="s">
        <v>1512</v>
      </c>
      <c r="B18" s="96" t="s">
        <v>2259</v>
      </c>
      <c r="C18" s="95" t="s">
        <v>2260</v>
      </c>
      <c r="D18" s="93" t="s">
        <v>2261</v>
      </c>
      <c r="E18" s="96" t="s">
        <v>2262</v>
      </c>
      <c r="F18" s="60" t="s">
        <v>1435</v>
      </c>
      <c r="G18" s="260"/>
      <c r="H18" s="260"/>
      <c r="I18" s="260" t="s">
        <v>2199</v>
      </c>
      <c r="J18" s="260" t="s">
        <v>2199</v>
      </c>
      <c r="K18" s="260" t="s">
        <v>2199</v>
      </c>
      <c r="L18" s="260" t="s">
        <v>2199</v>
      </c>
      <c r="M18" s="260" t="s">
        <v>2199</v>
      </c>
      <c r="N18" s="93" t="s">
        <v>703</v>
      </c>
      <c r="O18" s="95" t="s">
        <v>2263</v>
      </c>
      <c r="P18" s="95" t="s">
        <v>2264</v>
      </c>
    </row>
    <row r="19" customFormat="false" ht="25.5" hidden="false" customHeight="true" outlineLevel="0" collapsed="false">
      <c r="A19" s="93" t="s">
        <v>2265</v>
      </c>
      <c r="B19" s="96" t="s">
        <v>2266</v>
      </c>
      <c r="C19" s="95" t="s">
        <v>2267</v>
      </c>
      <c r="D19" s="93" t="s">
        <v>2268</v>
      </c>
      <c r="E19" s="96" t="s">
        <v>2234</v>
      </c>
      <c r="F19" s="60" t="s">
        <v>1435</v>
      </c>
      <c r="G19" s="260"/>
      <c r="H19" s="260" t="s">
        <v>2199</v>
      </c>
      <c r="I19" s="260" t="s">
        <v>2199</v>
      </c>
      <c r="J19" s="260" t="s">
        <v>2199</v>
      </c>
      <c r="K19" s="260" t="s">
        <v>2199</v>
      </c>
      <c r="L19" s="260" t="s">
        <v>2199</v>
      </c>
      <c r="M19" s="260" t="s">
        <v>2199</v>
      </c>
      <c r="N19" s="93" t="s">
        <v>2269</v>
      </c>
      <c r="O19" s="95" t="s">
        <v>2270</v>
      </c>
      <c r="P19" s="95" t="s">
        <v>2271</v>
      </c>
    </row>
    <row r="20" customFormat="false" ht="25.5" hidden="false" customHeight="true" outlineLevel="0" collapsed="false">
      <c r="A20" s="93" t="s">
        <v>1622</v>
      </c>
      <c r="B20" s="96" t="s">
        <v>2266</v>
      </c>
      <c r="C20" s="95" t="s">
        <v>2272</v>
      </c>
      <c r="D20" s="93" t="s">
        <v>2268</v>
      </c>
      <c r="E20" s="96" t="s">
        <v>2234</v>
      </c>
      <c r="F20" s="60" t="s">
        <v>1435</v>
      </c>
      <c r="G20" s="260"/>
      <c r="H20" s="260" t="s">
        <v>2199</v>
      </c>
      <c r="I20" s="260" t="s">
        <v>2199</v>
      </c>
      <c r="J20" s="260" t="s">
        <v>2199</v>
      </c>
      <c r="K20" s="260" t="s">
        <v>2199</v>
      </c>
      <c r="L20" s="260" t="s">
        <v>2199</v>
      </c>
      <c r="M20" s="260" t="s">
        <v>2199</v>
      </c>
      <c r="N20" s="93" t="s">
        <v>439</v>
      </c>
      <c r="O20" s="95" t="s">
        <v>2273</v>
      </c>
      <c r="P20" s="95" t="s">
        <v>2274</v>
      </c>
    </row>
    <row r="21" customFormat="false" ht="25.5" hidden="false" customHeight="true" outlineLevel="0" collapsed="false">
      <c r="A21" s="93" t="s">
        <v>2275</v>
      </c>
      <c r="B21" s="96" t="s">
        <v>1971</v>
      </c>
      <c r="C21" s="95" t="s">
        <v>2276</v>
      </c>
      <c r="D21" s="93" t="s">
        <v>2277</v>
      </c>
      <c r="E21" s="96" t="s">
        <v>2278</v>
      </c>
      <c r="F21" s="60" t="s">
        <v>1435</v>
      </c>
      <c r="G21" s="260"/>
      <c r="H21" s="260"/>
      <c r="I21" s="260" t="s">
        <v>2199</v>
      </c>
      <c r="J21" s="260" t="s">
        <v>2199</v>
      </c>
      <c r="K21" s="260" t="s">
        <v>2199</v>
      </c>
      <c r="L21" s="260" t="s">
        <v>2199</v>
      </c>
      <c r="M21" s="260"/>
      <c r="N21" s="93" t="s">
        <v>513</v>
      </c>
      <c r="O21" s="95" t="s">
        <v>2279</v>
      </c>
      <c r="P21" s="95" t="s">
        <v>2280</v>
      </c>
    </row>
    <row r="22" customFormat="false" ht="25.5" hidden="false" customHeight="true" outlineLevel="0" collapsed="false">
      <c r="A22" s="93" t="s">
        <v>2281</v>
      </c>
      <c r="B22" s="96" t="s">
        <v>1971</v>
      </c>
      <c r="C22" s="95" t="s">
        <v>2282</v>
      </c>
      <c r="D22" s="93" t="s">
        <v>2277</v>
      </c>
      <c r="E22" s="96" t="s">
        <v>2278</v>
      </c>
      <c r="F22" s="60" t="s">
        <v>1435</v>
      </c>
      <c r="G22" s="260"/>
      <c r="H22" s="260"/>
      <c r="I22" s="260" t="s">
        <v>2199</v>
      </c>
      <c r="J22" s="260" t="s">
        <v>2199</v>
      </c>
      <c r="K22" s="260" t="s">
        <v>2199</v>
      </c>
      <c r="L22" s="260" t="s">
        <v>2199</v>
      </c>
      <c r="M22" s="260"/>
      <c r="N22" s="93" t="s">
        <v>513</v>
      </c>
      <c r="O22" s="95" t="s">
        <v>2283</v>
      </c>
      <c r="P22" s="95" t="s">
        <v>2284</v>
      </c>
    </row>
    <row r="23" customFormat="false" ht="25.5" hidden="false" customHeight="true" outlineLevel="0" collapsed="false">
      <c r="A23" s="93" t="s">
        <v>2285</v>
      </c>
      <c r="B23" s="96" t="s">
        <v>1971</v>
      </c>
      <c r="C23" s="95" t="s">
        <v>2286</v>
      </c>
      <c r="D23" s="93" t="s">
        <v>2287</v>
      </c>
      <c r="E23" s="96" t="s">
        <v>2278</v>
      </c>
      <c r="F23" s="60" t="s">
        <v>1435</v>
      </c>
      <c r="G23" s="260"/>
      <c r="H23" s="260"/>
      <c r="I23" s="260" t="s">
        <v>2199</v>
      </c>
      <c r="J23" s="260" t="s">
        <v>2199</v>
      </c>
      <c r="K23" s="260" t="s">
        <v>2199</v>
      </c>
      <c r="L23" s="260" t="s">
        <v>2199</v>
      </c>
      <c r="M23" s="260"/>
      <c r="N23" s="93" t="s">
        <v>363</v>
      </c>
      <c r="O23" s="95" t="s">
        <v>2288</v>
      </c>
      <c r="P23" s="95" t="s">
        <v>2289</v>
      </c>
    </row>
    <row r="24" customFormat="false" ht="25.5" hidden="false" customHeight="true" outlineLevel="0" collapsed="false">
      <c r="A24" s="93" t="s">
        <v>2290</v>
      </c>
      <c r="B24" s="96" t="s">
        <v>1971</v>
      </c>
      <c r="C24" s="95" t="s">
        <v>2291</v>
      </c>
      <c r="D24" s="93" t="s">
        <v>2292</v>
      </c>
      <c r="E24" s="96" t="s">
        <v>2278</v>
      </c>
      <c r="F24" s="60" t="s">
        <v>1435</v>
      </c>
      <c r="G24" s="260"/>
      <c r="H24" s="260"/>
      <c r="I24" s="260" t="s">
        <v>2199</v>
      </c>
      <c r="J24" s="260" t="s">
        <v>2199</v>
      </c>
      <c r="K24" s="260" t="s">
        <v>2199</v>
      </c>
      <c r="L24" s="260" t="s">
        <v>2199</v>
      </c>
      <c r="M24" s="260"/>
      <c r="N24" s="93" t="s">
        <v>513</v>
      </c>
      <c r="O24" s="95" t="s">
        <v>2293</v>
      </c>
      <c r="P24" s="95" t="s">
        <v>2294</v>
      </c>
    </row>
    <row r="25" customFormat="false" ht="25.5" hidden="false" customHeight="true" outlineLevel="0" collapsed="false">
      <c r="A25" s="93" t="s">
        <v>2295</v>
      </c>
      <c r="B25" s="96" t="s">
        <v>2296</v>
      </c>
      <c r="C25" s="95" t="s">
        <v>2297</v>
      </c>
      <c r="D25" s="93" t="s">
        <v>2233</v>
      </c>
      <c r="E25" s="96" t="s">
        <v>2298</v>
      </c>
      <c r="F25" s="60" t="s">
        <v>1435</v>
      </c>
      <c r="G25" s="260"/>
      <c r="H25" s="260"/>
      <c r="I25" s="260" t="s">
        <v>2199</v>
      </c>
      <c r="J25" s="260" t="s">
        <v>2199</v>
      </c>
      <c r="K25" s="260" t="s">
        <v>2199</v>
      </c>
      <c r="L25" s="260" t="s">
        <v>2199</v>
      </c>
      <c r="M25" s="260"/>
      <c r="N25" s="93" t="s">
        <v>522</v>
      </c>
      <c r="O25" s="95" t="s">
        <v>2299</v>
      </c>
      <c r="P25" s="95" t="s">
        <v>2300</v>
      </c>
    </row>
    <row r="26" customFormat="false" ht="25.5" hidden="false" customHeight="true" outlineLevel="0" collapsed="false">
      <c r="A26" s="93" t="s">
        <v>2301</v>
      </c>
      <c r="B26" s="96" t="s">
        <v>2296</v>
      </c>
      <c r="C26" s="95" t="s">
        <v>2301</v>
      </c>
      <c r="D26" s="93" t="s">
        <v>2302</v>
      </c>
      <c r="E26" s="96" t="s">
        <v>2278</v>
      </c>
      <c r="F26" s="60" t="s">
        <v>1435</v>
      </c>
      <c r="G26" s="260"/>
      <c r="H26" s="260"/>
      <c r="I26" s="260" t="s">
        <v>2199</v>
      </c>
      <c r="J26" s="260" t="s">
        <v>2199</v>
      </c>
      <c r="K26" s="260" t="s">
        <v>2199</v>
      </c>
      <c r="L26" s="260" t="s">
        <v>2199</v>
      </c>
      <c r="M26" s="260"/>
      <c r="N26" s="93" t="s">
        <v>2303</v>
      </c>
      <c r="O26" s="95" t="s">
        <v>2304</v>
      </c>
      <c r="P26" s="95" t="s">
        <v>2305</v>
      </c>
    </row>
    <row r="27" customFormat="false" ht="25.5" hidden="false" customHeight="true" outlineLevel="0" collapsed="false">
      <c r="A27" s="93" t="s">
        <v>2306</v>
      </c>
      <c r="B27" s="96" t="s">
        <v>2296</v>
      </c>
      <c r="C27" s="95" t="s">
        <v>2307</v>
      </c>
      <c r="D27" s="93" t="s">
        <v>2308</v>
      </c>
      <c r="E27" s="96" t="s">
        <v>2278</v>
      </c>
      <c r="F27" s="60" t="s">
        <v>1435</v>
      </c>
      <c r="G27" s="260"/>
      <c r="H27" s="260"/>
      <c r="I27" s="260" t="s">
        <v>2199</v>
      </c>
      <c r="J27" s="260" t="s">
        <v>2199</v>
      </c>
      <c r="K27" s="260" t="s">
        <v>2199</v>
      </c>
      <c r="L27" s="260" t="s">
        <v>2199</v>
      </c>
      <c r="M27" s="260"/>
      <c r="N27" s="93" t="s">
        <v>522</v>
      </c>
      <c r="O27" s="95" t="s">
        <v>2309</v>
      </c>
      <c r="P27" s="95" t="s">
        <v>2310</v>
      </c>
    </row>
    <row r="28" customFormat="false" ht="25.5" hidden="false" customHeight="true" outlineLevel="0" collapsed="false">
      <c r="A28" s="93" t="s">
        <v>1630</v>
      </c>
      <c r="B28" s="96" t="s">
        <v>2311</v>
      </c>
      <c r="C28" s="95" t="s">
        <v>2312</v>
      </c>
      <c r="D28" s="93" t="s">
        <v>2313</v>
      </c>
      <c r="E28" s="96" t="s">
        <v>2262</v>
      </c>
      <c r="F28" s="60" t="s">
        <v>1435</v>
      </c>
      <c r="G28" s="260"/>
      <c r="H28" s="260"/>
      <c r="I28" s="260" t="s">
        <v>2199</v>
      </c>
      <c r="J28" s="260" t="s">
        <v>2199</v>
      </c>
      <c r="K28" s="260" t="s">
        <v>2199</v>
      </c>
      <c r="L28" s="260" t="s">
        <v>2199</v>
      </c>
      <c r="M28" s="260" t="s">
        <v>2199</v>
      </c>
      <c r="N28" s="93" t="s">
        <v>2314</v>
      </c>
      <c r="O28" s="95" t="s">
        <v>2315</v>
      </c>
      <c r="P28" s="95" t="s">
        <v>2316</v>
      </c>
    </row>
    <row r="29" customFormat="false" ht="25.5" hidden="false" customHeight="true" outlineLevel="0" collapsed="false">
      <c r="A29" s="93" t="s">
        <v>2317</v>
      </c>
      <c r="B29" s="96" t="s">
        <v>2311</v>
      </c>
      <c r="C29" s="95" t="s">
        <v>2318</v>
      </c>
      <c r="D29" s="93" t="s">
        <v>2319</v>
      </c>
      <c r="E29" s="96" t="s">
        <v>2278</v>
      </c>
      <c r="F29" s="60" t="s">
        <v>1435</v>
      </c>
      <c r="G29" s="260"/>
      <c r="H29" s="260"/>
      <c r="I29" s="260" t="s">
        <v>2199</v>
      </c>
      <c r="J29" s="260" t="s">
        <v>2199</v>
      </c>
      <c r="K29" s="260" t="s">
        <v>2199</v>
      </c>
      <c r="L29" s="260" t="s">
        <v>2199</v>
      </c>
      <c r="M29" s="260" t="s">
        <v>2199</v>
      </c>
      <c r="N29" s="93" t="s">
        <v>2314</v>
      </c>
      <c r="O29" s="95" t="s">
        <v>2320</v>
      </c>
      <c r="P29" s="95" t="s">
        <v>2321</v>
      </c>
    </row>
    <row r="30" customFormat="false" ht="25.5" hidden="false" customHeight="true" outlineLevel="0" collapsed="false">
      <c r="A30" s="93" t="s">
        <v>1890</v>
      </c>
      <c r="B30" s="96" t="s">
        <v>2322</v>
      </c>
      <c r="C30" s="95" t="s">
        <v>2323</v>
      </c>
      <c r="D30" s="93" t="s">
        <v>2319</v>
      </c>
      <c r="E30" s="96" t="s">
        <v>2278</v>
      </c>
      <c r="F30" s="60" t="s">
        <v>1435</v>
      </c>
      <c r="G30" s="260"/>
      <c r="H30" s="260"/>
      <c r="I30" s="260" t="s">
        <v>2199</v>
      </c>
      <c r="J30" s="260" t="s">
        <v>2199</v>
      </c>
      <c r="K30" s="260" t="s">
        <v>2199</v>
      </c>
      <c r="L30" s="260" t="s">
        <v>2199</v>
      </c>
      <c r="M30" s="260" t="s">
        <v>2199</v>
      </c>
      <c r="N30" s="93" t="s">
        <v>480</v>
      </c>
      <c r="O30" s="95" t="s">
        <v>2324</v>
      </c>
      <c r="P30" s="95" t="s">
        <v>2325</v>
      </c>
    </row>
    <row r="31" customFormat="false" ht="25.5" hidden="false" customHeight="true" outlineLevel="0" collapsed="false">
      <c r="A31" s="93" t="s">
        <v>1637</v>
      </c>
      <c r="B31" s="96" t="s">
        <v>2326</v>
      </c>
      <c r="C31" s="95" t="s">
        <v>2327</v>
      </c>
      <c r="D31" s="93" t="s">
        <v>2328</v>
      </c>
      <c r="E31" s="96" t="s">
        <v>2278</v>
      </c>
      <c r="F31" s="60" t="s">
        <v>1435</v>
      </c>
      <c r="G31" s="260"/>
      <c r="H31" s="260"/>
      <c r="I31" s="260" t="s">
        <v>2199</v>
      </c>
      <c r="J31" s="260" t="s">
        <v>2199</v>
      </c>
      <c r="K31" s="260" t="s">
        <v>2199</v>
      </c>
      <c r="L31" s="260" t="s">
        <v>2199</v>
      </c>
      <c r="M31" s="260" t="s">
        <v>2199</v>
      </c>
      <c r="N31" s="93" t="s">
        <v>2329</v>
      </c>
      <c r="O31" s="95" t="s">
        <v>2330</v>
      </c>
      <c r="P31" s="95" t="s">
        <v>2331</v>
      </c>
    </row>
    <row r="32" customFormat="false" ht="25.5" hidden="false" customHeight="true" outlineLevel="0" collapsed="false">
      <c r="A32" s="93" t="s">
        <v>1899</v>
      </c>
      <c r="B32" s="96" t="s">
        <v>2332</v>
      </c>
      <c r="C32" s="95" t="s">
        <v>2333</v>
      </c>
      <c r="D32" s="93" t="s">
        <v>2319</v>
      </c>
      <c r="E32" s="96" t="s">
        <v>2334</v>
      </c>
      <c r="F32" s="60" t="s">
        <v>1435</v>
      </c>
      <c r="G32" s="260"/>
      <c r="H32" s="260"/>
      <c r="I32" s="260"/>
      <c r="J32" s="260" t="s">
        <v>2199</v>
      </c>
      <c r="K32" s="260" t="s">
        <v>2199</v>
      </c>
      <c r="L32" s="260" t="s">
        <v>2199</v>
      </c>
      <c r="M32" s="260" t="s">
        <v>2199</v>
      </c>
      <c r="N32" s="93" t="s">
        <v>2214</v>
      </c>
      <c r="O32" s="95" t="s">
        <v>2335</v>
      </c>
      <c r="P32" s="95" t="s">
        <v>2336</v>
      </c>
    </row>
    <row r="33" customFormat="false" ht="25.5" hidden="false" customHeight="true" outlineLevel="0" collapsed="false">
      <c r="A33" s="93" t="s">
        <v>2337</v>
      </c>
      <c r="B33" s="96" t="s">
        <v>2338</v>
      </c>
      <c r="C33" s="95" t="s">
        <v>2339</v>
      </c>
      <c r="D33" s="93" t="s">
        <v>2319</v>
      </c>
      <c r="E33" s="96" t="s">
        <v>2334</v>
      </c>
      <c r="F33" s="60" t="s">
        <v>1435</v>
      </c>
      <c r="G33" s="260"/>
      <c r="H33" s="260"/>
      <c r="I33" s="260"/>
      <c r="J33" s="260" t="s">
        <v>2199</v>
      </c>
      <c r="K33" s="260" t="s">
        <v>2199</v>
      </c>
      <c r="L33" s="260" t="s">
        <v>2199</v>
      </c>
      <c r="M33" s="260" t="s">
        <v>2199</v>
      </c>
      <c r="N33" s="93" t="s">
        <v>2340</v>
      </c>
      <c r="O33" s="95" t="s">
        <v>2341</v>
      </c>
      <c r="P33" s="95" t="s">
        <v>2342</v>
      </c>
    </row>
    <row r="34" customFormat="false" ht="25.5" hidden="false" customHeight="true" outlineLevel="0" collapsed="false">
      <c r="A34" s="93" t="s">
        <v>2343</v>
      </c>
      <c r="B34" s="96" t="s">
        <v>2344</v>
      </c>
      <c r="C34" s="95" t="s">
        <v>2345</v>
      </c>
      <c r="D34" s="93" t="s">
        <v>2328</v>
      </c>
      <c r="E34" s="96" t="s">
        <v>2334</v>
      </c>
      <c r="F34" s="60" t="s">
        <v>1435</v>
      </c>
      <c r="G34" s="260"/>
      <c r="H34" s="260"/>
      <c r="I34" s="260"/>
      <c r="J34" s="260" t="s">
        <v>2199</v>
      </c>
      <c r="K34" s="260" t="s">
        <v>2199</v>
      </c>
      <c r="L34" s="260" t="s">
        <v>2199</v>
      </c>
      <c r="M34" s="260" t="s">
        <v>2199</v>
      </c>
      <c r="N34" s="93" t="s">
        <v>2340</v>
      </c>
      <c r="O34" s="95" t="s">
        <v>2346</v>
      </c>
      <c r="P34" s="95" t="s">
        <v>2347</v>
      </c>
    </row>
    <row r="35" customFormat="false" ht="25.5" hidden="false" customHeight="true" outlineLevel="0" collapsed="false">
      <c r="A35" s="93" t="s">
        <v>1457</v>
      </c>
      <c r="B35" s="260" t="s">
        <v>2348</v>
      </c>
      <c r="C35" s="95" t="s">
        <v>2349</v>
      </c>
      <c r="D35" s="93" t="s">
        <v>2350</v>
      </c>
      <c r="E35" s="96" t="s">
        <v>2234</v>
      </c>
      <c r="F35" s="60" t="s">
        <v>2235</v>
      </c>
      <c r="G35" s="260"/>
      <c r="H35" s="260" t="s">
        <v>2199</v>
      </c>
      <c r="I35" s="260" t="s">
        <v>2199</v>
      </c>
      <c r="J35" s="260" t="s">
        <v>2199</v>
      </c>
      <c r="K35" s="260"/>
      <c r="L35" s="260"/>
      <c r="M35" s="260"/>
      <c r="N35" s="93" t="s">
        <v>231</v>
      </c>
      <c r="O35" s="95" t="s">
        <v>2351</v>
      </c>
      <c r="P35" s="95" t="s">
        <v>2352</v>
      </c>
    </row>
    <row r="36" customFormat="false" ht="25.5" hidden="false" customHeight="true" outlineLevel="0" collapsed="false">
      <c r="A36" s="93" t="s">
        <v>2353</v>
      </c>
      <c r="B36" s="96" t="s">
        <v>2354</v>
      </c>
      <c r="C36" s="95" t="s">
        <v>2355</v>
      </c>
      <c r="D36" s="93" t="s">
        <v>2356</v>
      </c>
      <c r="E36" s="96" t="s">
        <v>2234</v>
      </c>
      <c r="F36" s="60" t="s">
        <v>2235</v>
      </c>
      <c r="G36" s="260"/>
      <c r="H36" s="260"/>
      <c r="I36" s="260" t="s">
        <v>2199</v>
      </c>
      <c r="J36" s="260" t="s">
        <v>2199</v>
      </c>
      <c r="K36" s="260" t="s">
        <v>2199</v>
      </c>
      <c r="L36" s="260" t="s">
        <v>2199</v>
      </c>
      <c r="M36" s="260" t="s">
        <v>2199</v>
      </c>
      <c r="N36" s="93" t="s">
        <v>890</v>
      </c>
      <c r="O36" s="95" t="s">
        <v>2357</v>
      </c>
      <c r="P36" s="95" t="s">
        <v>2358</v>
      </c>
    </row>
    <row r="37" customFormat="false" ht="25.5" hidden="false" customHeight="true" outlineLevel="0" collapsed="false">
      <c r="A37" s="93" t="s">
        <v>2359</v>
      </c>
      <c r="B37" s="96" t="s">
        <v>2195</v>
      </c>
      <c r="C37" s="95" t="s">
        <v>2360</v>
      </c>
      <c r="D37" s="93" t="s">
        <v>2203</v>
      </c>
      <c r="E37" s="280" t="s">
        <v>2198</v>
      </c>
      <c r="F37" s="60" t="s">
        <v>1435</v>
      </c>
      <c r="G37" s="260" t="s">
        <v>2199</v>
      </c>
      <c r="H37" s="260" t="s">
        <v>2199</v>
      </c>
      <c r="I37" s="260" t="s">
        <v>2199</v>
      </c>
      <c r="J37" s="260"/>
      <c r="K37" s="260"/>
      <c r="L37" s="260"/>
      <c r="M37" s="260"/>
      <c r="N37" s="93" t="s">
        <v>2361</v>
      </c>
      <c r="O37" s="95" t="s">
        <v>2220</v>
      </c>
      <c r="P37" s="107" t="s">
        <v>2362</v>
      </c>
    </row>
    <row r="38" customFormat="false" ht="25.5" hidden="false" customHeight="true" outlineLevel="0" collapsed="false">
      <c r="A38" s="93" t="s">
        <v>2363</v>
      </c>
      <c r="B38" s="96" t="s">
        <v>2195</v>
      </c>
      <c r="C38" s="95" t="s">
        <v>2364</v>
      </c>
      <c r="D38" s="93" t="s">
        <v>2208</v>
      </c>
      <c r="E38" s="280" t="s">
        <v>2198</v>
      </c>
      <c r="F38" s="60" t="s">
        <v>1435</v>
      </c>
      <c r="G38" s="260"/>
      <c r="H38" s="260"/>
      <c r="I38" s="260"/>
      <c r="J38" s="260"/>
      <c r="K38" s="260" t="s">
        <v>2199</v>
      </c>
      <c r="L38" s="260" t="s">
        <v>2199</v>
      </c>
      <c r="M38" s="260" t="s">
        <v>2199</v>
      </c>
      <c r="N38" s="93" t="s">
        <v>569</v>
      </c>
      <c r="O38" s="95" t="s">
        <v>2365</v>
      </c>
      <c r="P38" s="107" t="s">
        <v>2366</v>
      </c>
    </row>
    <row r="39" customFormat="false" ht="25.5" hidden="false" customHeight="true" outlineLevel="0" collapsed="false">
      <c r="A39" s="93" t="s">
        <v>2367</v>
      </c>
      <c r="B39" s="96" t="s">
        <v>2195</v>
      </c>
      <c r="C39" s="95" t="s">
        <v>2368</v>
      </c>
      <c r="D39" s="93" t="s">
        <v>2197</v>
      </c>
      <c r="E39" s="280" t="s">
        <v>2198</v>
      </c>
      <c r="F39" s="60" t="s">
        <v>1435</v>
      </c>
      <c r="G39" s="260"/>
      <c r="H39" s="260"/>
      <c r="I39" s="260" t="s">
        <v>2199</v>
      </c>
      <c r="J39" s="260" t="s">
        <v>2199</v>
      </c>
      <c r="K39" s="260" t="s">
        <v>2199</v>
      </c>
      <c r="L39" s="260" t="s">
        <v>2199</v>
      </c>
      <c r="M39" s="260" t="s">
        <v>2199</v>
      </c>
      <c r="N39" s="93" t="s">
        <v>2369</v>
      </c>
      <c r="O39" s="95" t="s">
        <v>2220</v>
      </c>
      <c r="P39" s="95" t="s">
        <v>2370</v>
      </c>
    </row>
    <row r="40" customFormat="false" ht="25.5" hidden="false" customHeight="true" outlineLevel="0" collapsed="false">
      <c r="A40" s="93" t="s">
        <v>2371</v>
      </c>
      <c r="B40" s="96" t="s">
        <v>2195</v>
      </c>
      <c r="C40" s="95" t="s">
        <v>2372</v>
      </c>
      <c r="D40" s="93" t="s">
        <v>2208</v>
      </c>
      <c r="E40" s="280" t="s">
        <v>2198</v>
      </c>
      <c r="F40" s="60" t="s">
        <v>1435</v>
      </c>
      <c r="G40" s="260"/>
      <c r="H40" s="260"/>
      <c r="I40" s="260" t="s">
        <v>2199</v>
      </c>
      <c r="J40" s="260" t="s">
        <v>2199</v>
      </c>
      <c r="K40" s="260" t="s">
        <v>2199</v>
      </c>
      <c r="L40" s="260" t="s">
        <v>2199</v>
      </c>
      <c r="M40" s="260"/>
      <c r="N40" s="93" t="s">
        <v>513</v>
      </c>
      <c r="O40" s="95" t="s">
        <v>2365</v>
      </c>
      <c r="P40" s="107" t="s">
        <v>2373</v>
      </c>
    </row>
    <row r="41" customFormat="false" ht="25.5" hidden="false" customHeight="true" outlineLevel="0" collapsed="false">
      <c r="A41" s="93" t="s">
        <v>2374</v>
      </c>
      <c r="B41" s="96" t="s">
        <v>2195</v>
      </c>
      <c r="C41" s="95" t="s">
        <v>2375</v>
      </c>
      <c r="D41" s="93" t="s">
        <v>2376</v>
      </c>
      <c r="E41" s="96" t="s">
        <v>2234</v>
      </c>
      <c r="F41" s="60" t="s">
        <v>1435</v>
      </c>
      <c r="G41" s="260"/>
      <c r="H41" s="260" t="s">
        <v>2199</v>
      </c>
      <c r="I41" s="260"/>
      <c r="J41" s="260"/>
      <c r="K41" s="260"/>
      <c r="L41" s="260"/>
      <c r="M41" s="260" t="s">
        <v>2199</v>
      </c>
      <c r="N41" s="93" t="s">
        <v>246</v>
      </c>
      <c r="O41" s="95" t="s">
        <v>2377</v>
      </c>
      <c r="P41" s="107" t="s">
        <v>2378</v>
      </c>
    </row>
    <row r="42" customFormat="false" ht="24" hidden="false" customHeight="true" outlineLevel="0" collapsed="false">
      <c r="A42" s="281" t="s">
        <v>2379</v>
      </c>
      <c r="B42" s="282" t="s">
        <v>2195</v>
      </c>
      <c r="C42" s="283" t="s">
        <v>2360</v>
      </c>
      <c r="D42" s="281" t="s">
        <v>2203</v>
      </c>
      <c r="E42" s="282" t="s">
        <v>2198</v>
      </c>
      <c r="F42" s="60" t="s">
        <v>1435</v>
      </c>
      <c r="G42" s="59"/>
      <c r="H42" s="59"/>
      <c r="I42" s="59"/>
      <c r="J42" s="59"/>
      <c r="K42" s="59"/>
      <c r="L42" s="59"/>
      <c r="M42" s="59"/>
      <c r="N42" s="59"/>
      <c r="O42" s="52"/>
      <c r="P42" s="52"/>
    </row>
    <row r="43" customFormat="false" ht="24" hidden="false" customHeight="true" outlineLevel="0" collapsed="false">
      <c r="A43" s="281" t="s">
        <v>2380</v>
      </c>
      <c r="B43" s="282" t="s">
        <v>2195</v>
      </c>
      <c r="C43" s="283" t="s">
        <v>2381</v>
      </c>
      <c r="D43" s="281" t="s">
        <v>2208</v>
      </c>
      <c r="E43" s="282" t="s">
        <v>2198</v>
      </c>
      <c r="F43" s="60" t="s">
        <v>1435</v>
      </c>
      <c r="G43" s="59"/>
      <c r="H43" s="59"/>
      <c r="I43" s="59"/>
      <c r="J43" s="59"/>
      <c r="K43" s="59"/>
      <c r="L43" s="59"/>
      <c r="M43" s="59"/>
      <c r="N43" s="59"/>
      <c r="O43" s="52"/>
      <c r="P43" s="52"/>
    </row>
    <row r="44" customFormat="false" ht="24" hidden="false" customHeight="true" outlineLevel="0" collapsed="false">
      <c r="A44" s="281" t="s">
        <v>2382</v>
      </c>
      <c r="B44" s="282" t="s">
        <v>2195</v>
      </c>
      <c r="C44" s="283" t="s">
        <v>2383</v>
      </c>
      <c r="D44" s="281" t="s">
        <v>2384</v>
      </c>
      <c r="E44" s="282" t="s">
        <v>2234</v>
      </c>
      <c r="F44" s="60" t="s">
        <v>1435</v>
      </c>
      <c r="G44" s="59"/>
      <c r="H44" s="59"/>
      <c r="I44" s="59"/>
      <c r="J44" s="59"/>
      <c r="K44" s="59"/>
      <c r="L44" s="59"/>
      <c r="M44" s="59"/>
      <c r="N44" s="59"/>
      <c r="O44" s="52"/>
      <c r="P44" s="52"/>
    </row>
    <row r="45" customFormat="false" ht="24" hidden="false" customHeight="true" outlineLevel="0" collapsed="false">
      <c r="A45" s="281" t="s">
        <v>2385</v>
      </c>
      <c r="B45" s="282" t="s">
        <v>2195</v>
      </c>
      <c r="C45" s="283" t="s">
        <v>2386</v>
      </c>
      <c r="D45" s="281" t="s">
        <v>2197</v>
      </c>
      <c r="E45" s="282" t="s">
        <v>2198</v>
      </c>
      <c r="F45" s="60" t="s">
        <v>1435</v>
      </c>
      <c r="G45" s="59"/>
      <c r="H45" s="59"/>
      <c r="I45" s="59"/>
      <c r="J45" s="59"/>
      <c r="K45" s="59"/>
      <c r="L45" s="59"/>
      <c r="M45" s="59"/>
      <c r="N45" s="59"/>
      <c r="O45" s="52"/>
      <c r="P45" s="52"/>
    </row>
    <row r="46" customFormat="false" ht="24" hidden="false" customHeight="true" outlineLevel="0" collapsed="false">
      <c r="A46" s="281" t="s">
        <v>2387</v>
      </c>
      <c r="B46" s="282" t="s">
        <v>2195</v>
      </c>
      <c r="C46" s="283" t="s">
        <v>2388</v>
      </c>
      <c r="D46" s="281" t="s">
        <v>2203</v>
      </c>
      <c r="E46" s="282" t="s">
        <v>2198</v>
      </c>
      <c r="F46" s="60" t="s">
        <v>1435</v>
      </c>
      <c r="G46" s="59"/>
      <c r="H46" s="59"/>
      <c r="I46" s="59"/>
      <c r="J46" s="59"/>
      <c r="K46" s="59"/>
      <c r="L46" s="59"/>
      <c r="M46" s="59"/>
      <c r="N46" s="59"/>
      <c r="O46" s="52"/>
      <c r="P46" s="52"/>
    </row>
    <row r="47" customFormat="false" ht="24" hidden="false" customHeight="true" outlineLevel="0" collapsed="false">
      <c r="A47" s="281" t="s">
        <v>2389</v>
      </c>
      <c r="B47" s="282" t="s">
        <v>2195</v>
      </c>
      <c r="C47" s="283" t="s">
        <v>2390</v>
      </c>
      <c r="D47" s="281" t="s">
        <v>2197</v>
      </c>
      <c r="E47" s="282" t="s">
        <v>2198</v>
      </c>
      <c r="F47" s="60" t="s">
        <v>1435</v>
      </c>
      <c r="G47" s="59"/>
      <c r="H47" s="59"/>
      <c r="I47" s="59"/>
      <c r="J47" s="59"/>
      <c r="K47" s="59"/>
      <c r="L47" s="59"/>
      <c r="M47" s="59"/>
      <c r="N47" s="59"/>
      <c r="O47" s="52"/>
      <c r="P47" s="52"/>
    </row>
    <row r="48" customFormat="false" ht="24" hidden="false" customHeight="true" outlineLevel="0" collapsed="false">
      <c r="A48" s="281" t="s">
        <v>2391</v>
      </c>
      <c r="B48" s="282" t="s">
        <v>2195</v>
      </c>
      <c r="C48" s="283" t="s">
        <v>2392</v>
      </c>
      <c r="D48" s="281" t="s">
        <v>2203</v>
      </c>
      <c r="E48" s="282" t="s">
        <v>2234</v>
      </c>
      <c r="F48" s="60" t="s">
        <v>1435</v>
      </c>
      <c r="G48" s="59"/>
      <c r="H48" s="59"/>
      <c r="I48" s="59"/>
      <c r="J48" s="59"/>
      <c r="K48" s="59"/>
      <c r="L48" s="59"/>
      <c r="M48" s="59"/>
      <c r="N48" s="59"/>
      <c r="O48" s="52"/>
      <c r="P48" s="52"/>
    </row>
    <row r="49" customFormat="false" ht="24" hidden="false" customHeight="true" outlineLevel="0" collapsed="false">
      <c r="A49" s="59"/>
      <c r="B49" s="59"/>
      <c r="C49" s="52"/>
      <c r="D49" s="59"/>
      <c r="E49" s="59"/>
      <c r="F49" s="60"/>
      <c r="G49" s="59"/>
      <c r="H49" s="59"/>
      <c r="I49" s="59"/>
      <c r="J49" s="59"/>
      <c r="K49" s="59"/>
      <c r="L49" s="59"/>
      <c r="M49" s="59"/>
      <c r="N49" s="59"/>
      <c r="O49" s="52"/>
      <c r="P49" s="52"/>
    </row>
    <row r="50" customFormat="false" ht="24" hidden="false" customHeight="true" outlineLevel="0" collapsed="false">
      <c r="A50" s="59"/>
      <c r="B50" s="59"/>
      <c r="C50" s="52"/>
      <c r="D50" s="59"/>
      <c r="E50" s="59"/>
      <c r="F50" s="60"/>
      <c r="G50" s="59"/>
      <c r="H50" s="59"/>
      <c r="I50" s="59"/>
      <c r="J50" s="59"/>
      <c r="K50" s="59"/>
      <c r="L50" s="59"/>
      <c r="M50" s="59"/>
      <c r="N50" s="59"/>
      <c r="O50" s="52"/>
      <c r="P50" s="52"/>
    </row>
    <row r="51" customFormat="false" ht="24" hidden="false" customHeight="true" outlineLevel="0" collapsed="false">
      <c r="A51" s="59"/>
      <c r="B51" s="59"/>
      <c r="C51" s="52"/>
      <c r="D51" s="59"/>
      <c r="E51" s="59"/>
      <c r="F51" s="60"/>
      <c r="G51" s="59"/>
      <c r="H51" s="59"/>
      <c r="I51" s="59"/>
      <c r="J51" s="59"/>
      <c r="K51" s="59"/>
      <c r="L51" s="59"/>
      <c r="M51" s="59"/>
      <c r="N51" s="59"/>
      <c r="O51" s="52"/>
      <c r="P51" s="52"/>
    </row>
  </sheetData>
  <sheetProtection sheet="true" formatColumns="false" formatRows="false" autoFilter="false"/>
  <autoFilter ref="A4:P51"/>
  <mergeCells count="2">
    <mergeCell ref="A1:P1"/>
    <mergeCell ref="A2:P2"/>
  </mergeCells>
  <conditionalFormatting sqref="F5:F51">
    <cfRule type="expression" priority="2" aboveAverage="0" equalAverage="0" bottom="0" percent="0" rank="0" text="" dxfId="33">
      <formula>ISNUMBER(SEARCH("待確認",F5))</formula>
    </cfRule>
    <cfRule type="expression" priority="3" aboveAverage="0" equalAverage="0" bottom="0" percent="0" rank="0" text="" dxfId="70">
      <formula>ISNUMBER(SEARCH("通過",F5))</formula>
    </cfRule>
    <cfRule type="expression" priority="4" aboveAverage="0" equalAverage="0" bottom="0" percent="0" rank="0" text="" dxfId="32">
      <formula>ISNUMBER(SEARCH("未通過",F5))</formula>
    </cfRule>
  </conditionalFormatting>
  <dataValidations count="5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B5:B51" type="list">
      <formula1>L_RegCat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E5:E51" type="list">
      <formula1>L_RegLvl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F5:F51" type="list">
      <formula1>L_Gate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G5:I51 K5:M51" type="list">
      <formula1>L_Mark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J5:J51" type="list">
      <formula1>L_Lead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3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.5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9" min="7" style="0" width="6"/>
    <col collapsed="false" customWidth="true" hidden="false" outlineLevel="0" max="10" min="10" style="0" width="10"/>
    <col collapsed="false" customWidth="true" hidden="false" outlineLevel="0" max="11" min="11" style="0" width="7"/>
    <col collapsed="false" customWidth="true" hidden="false" outlineLevel="0" max="12" min="12" style="0" width="24"/>
    <col collapsed="false" customWidth="true" hidden="false" outlineLevel="0" max="13" min="13" style="0" width="20"/>
    <col collapsed="false" customWidth="true" hidden="false" outlineLevel="0" max="33" min="14" style="0" width="3.61"/>
  </cols>
  <sheetData>
    <row r="1" customFormat="false" ht="30" hidden="false" customHeight="true" outlineLevel="0" collapsed="false">
      <c r="A1" s="1" t="s">
        <v>2393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25.5" hidden="false" customHeight="true" outlineLevel="0" collapsed="false">
      <c r="A2" s="4" t="s">
        <v>2394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customFormat="false" ht="15" hidden="false" customHeight="false" outlineLevel="0" collapsed="false">
      <c r="A3" s="5" t="s">
        <v>946</v>
      </c>
    </row>
    <row r="4" customFormat="false" ht="27.75" hidden="false" customHeight="true" outlineLevel="0" collapsed="false">
      <c r="A4" s="220" t="s">
        <v>2395</v>
      </c>
      <c r="B4" s="36" t="s">
        <v>922</v>
      </c>
      <c r="C4" s="36" t="s">
        <v>2396</v>
      </c>
      <c r="D4" s="36" t="s">
        <v>1267</v>
      </c>
      <c r="E4" s="36" t="s">
        <v>2397</v>
      </c>
      <c r="F4" s="36" t="s">
        <v>2398</v>
      </c>
      <c r="G4" s="36" t="s">
        <v>2399</v>
      </c>
      <c r="H4" s="36" t="s">
        <v>2400</v>
      </c>
      <c r="I4" s="36" t="s">
        <v>2401</v>
      </c>
      <c r="J4" s="36" t="s">
        <v>1975</v>
      </c>
      <c r="K4" s="36" t="s">
        <v>2402</v>
      </c>
      <c r="L4" s="36" t="s">
        <v>2403</v>
      </c>
      <c r="M4" s="36" t="s">
        <v>2404</v>
      </c>
      <c r="N4" s="284" t="s">
        <v>2405</v>
      </c>
      <c r="O4" s="284" t="s">
        <v>2406</v>
      </c>
      <c r="P4" s="284" t="s">
        <v>2407</v>
      </c>
      <c r="Q4" s="284" t="s">
        <v>2408</v>
      </c>
      <c r="R4" s="284" t="s">
        <v>2409</v>
      </c>
      <c r="S4" s="284" t="s">
        <v>2410</v>
      </c>
      <c r="T4" s="284" t="s">
        <v>2411</v>
      </c>
      <c r="U4" s="284" t="s">
        <v>2412</v>
      </c>
      <c r="V4" s="284" t="s">
        <v>2413</v>
      </c>
      <c r="W4" s="284" t="s">
        <v>2414</v>
      </c>
      <c r="X4" s="284" t="s">
        <v>2415</v>
      </c>
      <c r="Y4" s="284" t="s">
        <v>2416</v>
      </c>
      <c r="Z4" s="284" t="s">
        <v>2417</v>
      </c>
      <c r="AA4" s="284" t="s">
        <v>2418</v>
      </c>
      <c r="AB4" s="284" t="s">
        <v>2419</v>
      </c>
      <c r="AC4" s="284" t="s">
        <v>2420</v>
      </c>
      <c r="AD4" s="284" t="s">
        <v>2421</v>
      </c>
      <c r="AE4" s="284" t="s">
        <v>2422</v>
      </c>
      <c r="AF4" s="284" t="s">
        <v>2423</v>
      </c>
      <c r="AG4" s="284" t="s">
        <v>2424</v>
      </c>
    </row>
    <row r="5" customFormat="false" ht="30" hidden="false" customHeight="true" outlineLevel="0" collapsed="false">
      <c r="A5" s="93" t="s">
        <v>2425</v>
      </c>
      <c r="B5" s="260" t="s">
        <v>226</v>
      </c>
      <c r="C5" s="107" t="s">
        <v>1428</v>
      </c>
      <c r="D5" s="260" t="s">
        <v>890</v>
      </c>
      <c r="E5" s="95" t="s">
        <v>2426</v>
      </c>
      <c r="F5" s="93"/>
      <c r="G5" s="59" t="n">
        <v>1</v>
      </c>
      <c r="H5" s="59" t="n">
        <v>2</v>
      </c>
      <c r="I5" s="55" t="n">
        <f aca="false">G5+H5-1</f>
        <v>2</v>
      </c>
      <c r="J5" s="60" t="s">
        <v>2427</v>
      </c>
      <c r="K5" s="285" t="n">
        <v>0</v>
      </c>
      <c r="L5" s="95" t="s">
        <v>2428</v>
      </c>
      <c r="M5" s="95" t="s">
        <v>2429</v>
      </c>
      <c r="N5" s="286" t="str">
        <f aca="false">IF(AND($G5&lt;=3,$I5&gt;=1),"■","")</f>
        <v>■</v>
      </c>
      <c r="O5" s="286" t="str">
        <f aca="false">IF(AND($G5&lt;=6,$I5&gt;=4),"■","")</f>
        <v/>
      </c>
      <c r="P5" s="286" t="str">
        <f aca="false">IF(AND($G5&lt;=9,$I5&gt;=7),"■","")</f>
        <v/>
      </c>
      <c r="Q5" s="286" t="str">
        <f aca="false">IF(AND($G5&lt;=12,$I5&gt;=10),"■","")</f>
        <v/>
      </c>
      <c r="R5" s="286" t="str">
        <f aca="false">IF(AND($G5&lt;=15,$I5&gt;=13),"■","")</f>
        <v/>
      </c>
      <c r="S5" s="286" t="str">
        <f aca="false">IF(AND($G5&lt;=18,$I5&gt;=16),"■","")</f>
        <v/>
      </c>
      <c r="T5" s="286" t="str">
        <f aca="false">IF(AND($G5&lt;=21,$I5&gt;=19),"■","")</f>
        <v/>
      </c>
      <c r="U5" s="286" t="str">
        <f aca="false">IF(AND($G5&lt;=24,$I5&gt;=22),"■","")</f>
        <v/>
      </c>
      <c r="V5" s="286" t="str">
        <f aca="false">IF(AND($G5&lt;=27,$I5&gt;=25),"■","")</f>
        <v/>
      </c>
      <c r="W5" s="286" t="str">
        <f aca="false">IF(AND($G5&lt;=30,$I5&gt;=28),"■","")</f>
        <v/>
      </c>
      <c r="X5" s="286" t="str">
        <f aca="false">IF(AND($G5&lt;=33,$I5&gt;=31),"■","")</f>
        <v/>
      </c>
      <c r="Y5" s="286" t="str">
        <f aca="false">IF(AND($G5&lt;=36,$I5&gt;=34),"■","")</f>
        <v/>
      </c>
      <c r="Z5" s="286" t="str">
        <f aca="false">IF(AND($G5&lt;=39,$I5&gt;=37),"■","")</f>
        <v/>
      </c>
      <c r="AA5" s="286" t="str">
        <f aca="false">IF(AND($G5&lt;=42,$I5&gt;=40),"■","")</f>
        <v/>
      </c>
      <c r="AB5" s="286" t="str">
        <f aca="false">IF(AND($G5&lt;=45,$I5&gt;=43),"■","")</f>
        <v/>
      </c>
      <c r="AC5" s="286" t="str">
        <f aca="false">IF(AND($G5&lt;=48,$I5&gt;=46),"■","")</f>
        <v/>
      </c>
      <c r="AD5" s="286" t="str">
        <f aca="false">IF(AND($G5&lt;=51,$I5&gt;=49),"■","")</f>
        <v/>
      </c>
      <c r="AE5" s="286" t="str">
        <f aca="false">IF(AND($G5&lt;=54,$I5&gt;=52),"■","")</f>
        <v/>
      </c>
      <c r="AF5" s="286" t="str">
        <f aca="false">IF(AND($G5&lt;=57,$I5&gt;=55),"■","")</f>
        <v/>
      </c>
      <c r="AG5" s="286" t="str">
        <f aca="false">IF(AND($G5&lt;=60,$I5&gt;=58),"■","")</f>
        <v/>
      </c>
    </row>
    <row r="6" customFormat="false" ht="30" hidden="false" customHeight="true" outlineLevel="0" collapsed="false">
      <c r="A6" s="93" t="s">
        <v>2430</v>
      </c>
      <c r="B6" s="260" t="s">
        <v>243</v>
      </c>
      <c r="C6" s="107" t="s">
        <v>2431</v>
      </c>
      <c r="D6" s="260" t="s">
        <v>890</v>
      </c>
      <c r="E6" s="95" t="s">
        <v>2432</v>
      </c>
      <c r="F6" s="93" t="s">
        <v>2425</v>
      </c>
      <c r="G6" s="59" t="n">
        <v>2</v>
      </c>
      <c r="H6" s="59" t="n">
        <v>3</v>
      </c>
      <c r="I6" s="55" t="n">
        <f aca="false">G6+H6-1</f>
        <v>4</v>
      </c>
      <c r="J6" s="60" t="s">
        <v>2427</v>
      </c>
      <c r="K6" s="285" t="n">
        <v>0</v>
      </c>
      <c r="L6" s="95" t="s">
        <v>2433</v>
      </c>
      <c r="M6" s="95" t="s">
        <v>2434</v>
      </c>
      <c r="N6" s="286" t="str">
        <f aca="false">IF(AND($G6&lt;=3,$I6&gt;=1),"■","")</f>
        <v>■</v>
      </c>
      <c r="O6" s="286" t="str">
        <f aca="false">IF(AND($G6&lt;=6,$I6&gt;=4),"■","")</f>
        <v>■</v>
      </c>
      <c r="P6" s="286" t="str">
        <f aca="false">IF(AND($G6&lt;=9,$I6&gt;=7),"■","")</f>
        <v/>
      </c>
      <c r="Q6" s="286" t="str">
        <f aca="false">IF(AND($G6&lt;=12,$I6&gt;=10),"■","")</f>
        <v/>
      </c>
      <c r="R6" s="286" t="str">
        <f aca="false">IF(AND($G6&lt;=15,$I6&gt;=13),"■","")</f>
        <v/>
      </c>
      <c r="S6" s="286" t="str">
        <f aca="false">IF(AND($G6&lt;=18,$I6&gt;=16),"■","")</f>
        <v/>
      </c>
      <c r="T6" s="286" t="str">
        <f aca="false">IF(AND($G6&lt;=21,$I6&gt;=19),"■","")</f>
        <v/>
      </c>
      <c r="U6" s="286" t="str">
        <f aca="false">IF(AND($G6&lt;=24,$I6&gt;=22),"■","")</f>
        <v/>
      </c>
      <c r="V6" s="286" t="str">
        <f aca="false">IF(AND($G6&lt;=27,$I6&gt;=25),"■","")</f>
        <v/>
      </c>
      <c r="W6" s="286" t="str">
        <f aca="false">IF(AND($G6&lt;=30,$I6&gt;=28),"■","")</f>
        <v/>
      </c>
      <c r="X6" s="286" t="str">
        <f aca="false">IF(AND($G6&lt;=33,$I6&gt;=31),"■","")</f>
        <v/>
      </c>
      <c r="Y6" s="286" t="str">
        <f aca="false">IF(AND($G6&lt;=36,$I6&gt;=34),"■","")</f>
        <v/>
      </c>
      <c r="Z6" s="286" t="str">
        <f aca="false">IF(AND($G6&lt;=39,$I6&gt;=37),"■","")</f>
        <v/>
      </c>
      <c r="AA6" s="286" t="str">
        <f aca="false">IF(AND($G6&lt;=42,$I6&gt;=40),"■","")</f>
        <v/>
      </c>
      <c r="AB6" s="286" t="str">
        <f aca="false">IF(AND($G6&lt;=45,$I6&gt;=43),"■","")</f>
        <v/>
      </c>
      <c r="AC6" s="286" t="str">
        <f aca="false">IF(AND($G6&lt;=48,$I6&gt;=46),"■","")</f>
        <v/>
      </c>
      <c r="AD6" s="286" t="str">
        <f aca="false">IF(AND($G6&lt;=51,$I6&gt;=49),"■","")</f>
        <v/>
      </c>
      <c r="AE6" s="286" t="str">
        <f aca="false">IF(AND($G6&lt;=54,$I6&gt;=52),"■","")</f>
        <v/>
      </c>
      <c r="AF6" s="286" t="str">
        <f aca="false">IF(AND($G6&lt;=57,$I6&gt;=55),"■","")</f>
        <v/>
      </c>
      <c r="AG6" s="286" t="str">
        <f aca="false">IF(AND($G6&lt;=60,$I6&gt;=58),"■","")</f>
        <v/>
      </c>
    </row>
    <row r="7" customFormat="false" ht="30" hidden="false" customHeight="true" outlineLevel="0" collapsed="false">
      <c r="A7" s="93" t="s">
        <v>2435</v>
      </c>
      <c r="B7" s="260" t="s">
        <v>243</v>
      </c>
      <c r="C7" s="107" t="s">
        <v>2436</v>
      </c>
      <c r="D7" s="260" t="s">
        <v>246</v>
      </c>
      <c r="E7" s="95" t="s">
        <v>2437</v>
      </c>
      <c r="F7" s="93" t="s">
        <v>2430</v>
      </c>
      <c r="G7" s="59" t="n">
        <v>3</v>
      </c>
      <c r="H7" s="59" t="n">
        <v>4</v>
      </c>
      <c r="I7" s="55" t="n">
        <f aca="false">G7+H7-1</f>
        <v>6</v>
      </c>
      <c r="J7" s="60" t="s">
        <v>2427</v>
      </c>
      <c r="K7" s="285" t="n">
        <v>0</v>
      </c>
      <c r="L7" s="95" t="s">
        <v>2438</v>
      </c>
      <c r="M7" s="95" t="s">
        <v>2439</v>
      </c>
      <c r="N7" s="286" t="str">
        <f aca="false">IF(AND($G7&lt;=3,$I7&gt;=1),"■","")</f>
        <v>■</v>
      </c>
      <c r="O7" s="286" t="str">
        <f aca="false">IF(AND($G7&lt;=6,$I7&gt;=4),"■","")</f>
        <v>■</v>
      </c>
      <c r="P7" s="286" t="str">
        <f aca="false">IF(AND($G7&lt;=9,$I7&gt;=7),"■","")</f>
        <v/>
      </c>
      <c r="Q7" s="286" t="str">
        <f aca="false">IF(AND($G7&lt;=12,$I7&gt;=10),"■","")</f>
        <v/>
      </c>
      <c r="R7" s="286" t="str">
        <f aca="false">IF(AND($G7&lt;=15,$I7&gt;=13),"■","")</f>
        <v/>
      </c>
      <c r="S7" s="286" t="str">
        <f aca="false">IF(AND($G7&lt;=18,$I7&gt;=16),"■","")</f>
        <v/>
      </c>
      <c r="T7" s="286" t="str">
        <f aca="false">IF(AND($G7&lt;=21,$I7&gt;=19),"■","")</f>
        <v/>
      </c>
      <c r="U7" s="286" t="str">
        <f aca="false">IF(AND($G7&lt;=24,$I7&gt;=22),"■","")</f>
        <v/>
      </c>
      <c r="V7" s="286" t="str">
        <f aca="false">IF(AND($G7&lt;=27,$I7&gt;=25),"■","")</f>
        <v/>
      </c>
      <c r="W7" s="286" t="str">
        <f aca="false">IF(AND($G7&lt;=30,$I7&gt;=28),"■","")</f>
        <v/>
      </c>
      <c r="X7" s="286" t="str">
        <f aca="false">IF(AND($G7&lt;=33,$I7&gt;=31),"■","")</f>
        <v/>
      </c>
      <c r="Y7" s="286" t="str">
        <f aca="false">IF(AND($G7&lt;=36,$I7&gt;=34),"■","")</f>
        <v/>
      </c>
      <c r="Z7" s="286" t="str">
        <f aca="false">IF(AND($G7&lt;=39,$I7&gt;=37),"■","")</f>
        <v/>
      </c>
      <c r="AA7" s="286" t="str">
        <f aca="false">IF(AND($G7&lt;=42,$I7&gt;=40),"■","")</f>
        <v/>
      </c>
      <c r="AB7" s="286" t="str">
        <f aca="false">IF(AND($G7&lt;=45,$I7&gt;=43),"■","")</f>
        <v/>
      </c>
      <c r="AC7" s="286" t="str">
        <f aca="false">IF(AND($G7&lt;=48,$I7&gt;=46),"■","")</f>
        <v/>
      </c>
      <c r="AD7" s="286" t="str">
        <f aca="false">IF(AND($G7&lt;=51,$I7&gt;=49),"■","")</f>
        <v/>
      </c>
      <c r="AE7" s="286" t="str">
        <f aca="false">IF(AND($G7&lt;=54,$I7&gt;=52),"■","")</f>
        <v/>
      </c>
      <c r="AF7" s="286" t="str">
        <f aca="false">IF(AND($G7&lt;=57,$I7&gt;=55),"■","")</f>
        <v/>
      </c>
      <c r="AG7" s="286" t="str">
        <f aca="false">IF(AND($G7&lt;=60,$I7&gt;=58),"■","")</f>
        <v/>
      </c>
    </row>
    <row r="8" customFormat="false" ht="30" hidden="false" customHeight="true" outlineLevel="0" collapsed="false">
      <c r="A8" s="93" t="s">
        <v>2440</v>
      </c>
      <c r="B8" s="260" t="s">
        <v>243</v>
      </c>
      <c r="C8" s="107" t="s">
        <v>2441</v>
      </c>
      <c r="D8" s="260" t="s">
        <v>473</v>
      </c>
      <c r="E8" s="95" t="s">
        <v>2442</v>
      </c>
      <c r="F8" s="93" t="s">
        <v>2425</v>
      </c>
      <c r="G8" s="59" t="n">
        <v>2</v>
      </c>
      <c r="H8" s="59" t="n">
        <v>4</v>
      </c>
      <c r="I8" s="55" t="n">
        <f aca="false">G8+H8-1</f>
        <v>5</v>
      </c>
      <c r="J8" s="60" t="s">
        <v>2427</v>
      </c>
      <c r="K8" s="285" t="n">
        <v>0</v>
      </c>
      <c r="L8" s="95" t="s">
        <v>2443</v>
      </c>
      <c r="M8" s="95" t="s">
        <v>1459</v>
      </c>
      <c r="N8" s="286" t="str">
        <f aca="false">IF(AND($G8&lt;=3,$I8&gt;=1),"■","")</f>
        <v>■</v>
      </c>
      <c r="O8" s="286" t="str">
        <f aca="false">IF(AND($G8&lt;=6,$I8&gt;=4),"■","")</f>
        <v>■</v>
      </c>
      <c r="P8" s="286" t="str">
        <f aca="false">IF(AND($G8&lt;=9,$I8&gt;=7),"■","")</f>
        <v/>
      </c>
      <c r="Q8" s="286" t="str">
        <f aca="false">IF(AND($G8&lt;=12,$I8&gt;=10),"■","")</f>
        <v/>
      </c>
      <c r="R8" s="286" t="str">
        <f aca="false">IF(AND($G8&lt;=15,$I8&gt;=13),"■","")</f>
        <v/>
      </c>
      <c r="S8" s="286" t="str">
        <f aca="false">IF(AND($G8&lt;=18,$I8&gt;=16),"■","")</f>
        <v/>
      </c>
      <c r="T8" s="286" t="str">
        <f aca="false">IF(AND($G8&lt;=21,$I8&gt;=19),"■","")</f>
        <v/>
      </c>
      <c r="U8" s="286" t="str">
        <f aca="false">IF(AND($G8&lt;=24,$I8&gt;=22),"■","")</f>
        <v/>
      </c>
      <c r="V8" s="286" t="str">
        <f aca="false">IF(AND($G8&lt;=27,$I8&gt;=25),"■","")</f>
        <v/>
      </c>
      <c r="W8" s="286" t="str">
        <f aca="false">IF(AND($G8&lt;=30,$I8&gt;=28),"■","")</f>
        <v/>
      </c>
      <c r="X8" s="286" t="str">
        <f aca="false">IF(AND($G8&lt;=33,$I8&gt;=31),"■","")</f>
        <v/>
      </c>
      <c r="Y8" s="286" t="str">
        <f aca="false">IF(AND($G8&lt;=36,$I8&gt;=34),"■","")</f>
        <v/>
      </c>
      <c r="Z8" s="286" t="str">
        <f aca="false">IF(AND($G8&lt;=39,$I8&gt;=37),"■","")</f>
        <v/>
      </c>
      <c r="AA8" s="286" t="str">
        <f aca="false">IF(AND($G8&lt;=42,$I8&gt;=40),"■","")</f>
        <v/>
      </c>
      <c r="AB8" s="286" t="str">
        <f aca="false">IF(AND($G8&lt;=45,$I8&gt;=43),"■","")</f>
        <v/>
      </c>
      <c r="AC8" s="286" t="str">
        <f aca="false">IF(AND($G8&lt;=48,$I8&gt;=46),"■","")</f>
        <v/>
      </c>
      <c r="AD8" s="286" t="str">
        <f aca="false">IF(AND($G8&lt;=51,$I8&gt;=49),"■","")</f>
        <v/>
      </c>
      <c r="AE8" s="286" t="str">
        <f aca="false">IF(AND($G8&lt;=54,$I8&gt;=52),"■","")</f>
        <v/>
      </c>
      <c r="AF8" s="286" t="str">
        <f aca="false">IF(AND($G8&lt;=57,$I8&gt;=55),"■","")</f>
        <v/>
      </c>
      <c r="AG8" s="286" t="str">
        <f aca="false">IF(AND($G8&lt;=60,$I8&gt;=58),"■","")</f>
        <v/>
      </c>
    </row>
    <row r="9" customFormat="false" ht="30" hidden="false" customHeight="true" outlineLevel="0" collapsed="false">
      <c r="A9" s="93" t="s">
        <v>2444</v>
      </c>
      <c r="B9" s="260" t="s">
        <v>269</v>
      </c>
      <c r="C9" s="107" t="s">
        <v>2445</v>
      </c>
      <c r="D9" s="260" t="s">
        <v>283</v>
      </c>
      <c r="E9" s="95" t="s">
        <v>2446</v>
      </c>
      <c r="F9" s="93" t="s">
        <v>2447</v>
      </c>
      <c r="G9" s="59" t="n">
        <v>6</v>
      </c>
      <c r="H9" s="59" t="n">
        <v>8</v>
      </c>
      <c r="I9" s="55" t="n">
        <f aca="false">G9+H9-1</f>
        <v>13</v>
      </c>
      <c r="J9" s="60" t="s">
        <v>2427</v>
      </c>
      <c r="K9" s="285" t="n">
        <v>0</v>
      </c>
      <c r="L9" s="95" t="s">
        <v>2448</v>
      </c>
      <c r="M9" s="95" t="s">
        <v>2449</v>
      </c>
      <c r="N9" s="286" t="str">
        <f aca="false">IF(AND($G9&lt;=3,$I9&gt;=1),"■","")</f>
        <v/>
      </c>
      <c r="O9" s="286" t="str">
        <f aca="false">IF(AND($G9&lt;=6,$I9&gt;=4),"■","")</f>
        <v>■</v>
      </c>
      <c r="P9" s="286" t="str">
        <f aca="false">IF(AND($G9&lt;=9,$I9&gt;=7),"■","")</f>
        <v>■</v>
      </c>
      <c r="Q9" s="286" t="str">
        <f aca="false">IF(AND($G9&lt;=12,$I9&gt;=10),"■","")</f>
        <v>■</v>
      </c>
      <c r="R9" s="286" t="str">
        <f aca="false">IF(AND($G9&lt;=15,$I9&gt;=13),"■","")</f>
        <v>■</v>
      </c>
      <c r="S9" s="286" t="str">
        <f aca="false">IF(AND($G9&lt;=18,$I9&gt;=16),"■","")</f>
        <v/>
      </c>
      <c r="T9" s="286" t="str">
        <f aca="false">IF(AND($G9&lt;=21,$I9&gt;=19),"■","")</f>
        <v/>
      </c>
      <c r="U9" s="286" t="str">
        <f aca="false">IF(AND($G9&lt;=24,$I9&gt;=22),"■","")</f>
        <v/>
      </c>
      <c r="V9" s="286" t="str">
        <f aca="false">IF(AND($G9&lt;=27,$I9&gt;=25),"■","")</f>
        <v/>
      </c>
      <c r="W9" s="286" t="str">
        <f aca="false">IF(AND($G9&lt;=30,$I9&gt;=28),"■","")</f>
        <v/>
      </c>
      <c r="X9" s="286" t="str">
        <f aca="false">IF(AND($G9&lt;=33,$I9&gt;=31),"■","")</f>
        <v/>
      </c>
      <c r="Y9" s="286" t="str">
        <f aca="false">IF(AND($G9&lt;=36,$I9&gt;=34),"■","")</f>
        <v/>
      </c>
      <c r="Z9" s="286" t="str">
        <f aca="false">IF(AND($G9&lt;=39,$I9&gt;=37),"■","")</f>
        <v/>
      </c>
      <c r="AA9" s="286" t="str">
        <f aca="false">IF(AND($G9&lt;=42,$I9&gt;=40),"■","")</f>
        <v/>
      </c>
      <c r="AB9" s="286" t="str">
        <f aca="false">IF(AND($G9&lt;=45,$I9&gt;=43),"■","")</f>
        <v/>
      </c>
      <c r="AC9" s="286" t="str">
        <f aca="false">IF(AND($G9&lt;=48,$I9&gt;=46),"■","")</f>
        <v/>
      </c>
      <c r="AD9" s="286" t="str">
        <f aca="false">IF(AND($G9&lt;=51,$I9&gt;=49),"■","")</f>
        <v/>
      </c>
      <c r="AE9" s="286" t="str">
        <f aca="false">IF(AND($G9&lt;=54,$I9&gt;=52),"■","")</f>
        <v/>
      </c>
      <c r="AF9" s="286" t="str">
        <f aca="false">IF(AND($G9&lt;=57,$I9&gt;=55),"■","")</f>
        <v/>
      </c>
      <c r="AG9" s="286" t="str">
        <f aca="false">IF(AND($G9&lt;=60,$I9&gt;=58),"■","")</f>
        <v/>
      </c>
    </row>
    <row r="10" customFormat="false" ht="30" hidden="false" customHeight="true" outlineLevel="0" collapsed="false">
      <c r="A10" s="93" t="s">
        <v>2450</v>
      </c>
      <c r="B10" s="260" t="s">
        <v>269</v>
      </c>
      <c r="C10" s="107" t="s">
        <v>2451</v>
      </c>
      <c r="D10" s="260" t="s">
        <v>2242</v>
      </c>
      <c r="E10" s="107" t="s">
        <v>2452</v>
      </c>
      <c r="F10" s="93" t="s">
        <v>2447</v>
      </c>
      <c r="G10" s="59" t="n">
        <v>6</v>
      </c>
      <c r="H10" s="59" t="n">
        <v>6</v>
      </c>
      <c r="I10" s="55" t="n">
        <f aca="false">G10+H10-1</f>
        <v>11</v>
      </c>
      <c r="J10" s="60" t="s">
        <v>2427</v>
      </c>
      <c r="K10" s="285" t="n">
        <v>0</v>
      </c>
      <c r="L10" s="95" t="s">
        <v>2453</v>
      </c>
      <c r="M10" s="95" t="s">
        <v>2454</v>
      </c>
      <c r="N10" s="286" t="str">
        <f aca="false">IF(AND($G10&lt;=3,$I10&gt;=1),"■","")</f>
        <v/>
      </c>
      <c r="O10" s="286" t="str">
        <f aca="false">IF(AND($G10&lt;=6,$I10&gt;=4),"■","")</f>
        <v>■</v>
      </c>
      <c r="P10" s="286" t="str">
        <f aca="false">IF(AND($G10&lt;=9,$I10&gt;=7),"■","")</f>
        <v>■</v>
      </c>
      <c r="Q10" s="286" t="str">
        <f aca="false">IF(AND($G10&lt;=12,$I10&gt;=10),"■","")</f>
        <v>■</v>
      </c>
      <c r="R10" s="286" t="str">
        <f aca="false">IF(AND($G10&lt;=15,$I10&gt;=13),"■","")</f>
        <v/>
      </c>
      <c r="S10" s="286" t="str">
        <f aca="false">IF(AND($G10&lt;=18,$I10&gt;=16),"■","")</f>
        <v/>
      </c>
      <c r="T10" s="286" t="str">
        <f aca="false">IF(AND($G10&lt;=21,$I10&gt;=19),"■","")</f>
        <v/>
      </c>
      <c r="U10" s="286" t="str">
        <f aca="false">IF(AND($G10&lt;=24,$I10&gt;=22),"■","")</f>
        <v/>
      </c>
      <c r="V10" s="286" t="str">
        <f aca="false">IF(AND($G10&lt;=27,$I10&gt;=25),"■","")</f>
        <v/>
      </c>
      <c r="W10" s="286" t="str">
        <f aca="false">IF(AND($G10&lt;=30,$I10&gt;=28),"■","")</f>
        <v/>
      </c>
      <c r="X10" s="286" t="str">
        <f aca="false">IF(AND($G10&lt;=33,$I10&gt;=31),"■","")</f>
        <v/>
      </c>
      <c r="Y10" s="286" t="str">
        <f aca="false">IF(AND($G10&lt;=36,$I10&gt;=34),"■","")</f>
        <v/>
      </c>
      <c r="Z10" s="286" t="str">
        <f aca="false">IF(AND($G10&lt;=39,$I10&gt;=37),"■","")</f>
        <v/>
      </c>
      <c r="AA10" s="286" t="str">
        <f aca="false">IF(AND($G10&lt;=42,$I10&gt;=40),"■","")</f>
        <v/>
      </c>
      <c r="AB10" s="286" t="str">
        <f aca="false">IF(AND($G10&lt;=45,$I10&gt;=43),"■","")</f>
        <v/>
      </c>
      <c r="AC10" s="286" t="str">
        <f aca="false">IF(AND($G10&lt;=48,$I10&gt;=46),"■","")</f>
        <v/>
      </c>
      <c r="AD10" s="286" t="str">
        <f aca="false">IF(AND($G10&lt;=51,$I10&gt;=49),"■","")</f>
        <v/>
      </c>
      <c r="AE10" s="286" t="str">
        <f aca="false">IF(AND($G10&lt;=54,$I10&gt;=52),"■","")</f>
        <v/>
      </c>
      <c r="AF10" s="286" t="str">
        <f aca="false">IF(AND($G10&lt;=57,$I10&gt;=55),"■","")</f>
        <v/>
      </c>
      <c r="AG10" s="286" t="str">
        <f aca="false">IF(AND($G10&lt;=60,$I10&gt;=58),"■","")</f>
        <v/>
      </c>
    </row>
    <row r="11" customFormat="false" ht="30" hidden="false" customHeight="true" outlineLevel="0" collapsed="false">
      <c r="A11" s="93" t="s">
        <v>2455</v>
      </c>
      <c r="B11" s="260" t="s">
        <v>269</v>
      </c>
      <c r="C11" s="107" t="s">
        <v>2456</v>
      </c>
      <c r="D11" s="260" t="s">
        <v>890</v>
      </c>
      <c r="E11" s="95" t="s">
        <v>2457</v>
      </c>
      <c r="F11" s="93" t="s">
        <v>2425</v>
      </c>
      <c r="G11" s="59" t="n">
        <v>4</v>
      </c>
      <c r="H11" s="59" t="n">
        <v>6</v>
      </c>
      <c r="I11" s="55" t="n">
        <f aca="false">G11+H11-1</f>
        <v>9</v>
      </c>
      <c r="J11" s="60" t="s">
        <v>2427</v>
      </c>
      <c r="K11" s="285" t="n">
        <v>0</v>
      </c>
      <c r="L11" s="95" t="s">
        <v>2458</v>
      </c>
      <c r="M11" s="95" t="s">
        <v>1468</v>
      </c>
      <c r="N11" s="286" t="str">
        <f aca="false">IF(AND($G11&lt;=3,$I11&gt;=1),"■","")</f>
        <v/>
      </c>
      <c r="O11" s="286" t="str">
        <f aca="false">IF(AND($G11&lt;=6,$I11&gt;=4),"■","")</f>
        <v>■</v>
      </c>
      <c r="P11" s="286" t="str">
        <f aca="false">IF(AND($G11&lt;=9,$I11&gt;=7),"■","")</f>
        <v>■</v>
      </c>
      <c r="Q11" s="286" t="str">
        <f aca="false">IF(AND($G11&lt;=12,$I11&gt;=10),"■","")</f>
        <v/>
      </c>
      <c r="R11" s="286" t="str">
        <f aca="false">IF(AND($G11&lt;=15,$I11&gt;=13),"■","")</f>
        <v/>
      </c>
      <c r="S11" s="286" t="str">
        <f aca="false">IF(AND($G11&lt;=18,$I11&gt;=16),"■","")</f>
        <v/>
      </c>
      <c r="T11" s="286" t="str">
        <f aca="false">IF(AND($G11&lt;=21,$I11&gt;=19),"■","")</f>
        <v/>
      </c>
      <c r="U11" s="286" t="str">
        <f aca="false">IF(AND($G11&lt;=24,$I11&gt;=22),"■","")</f>
        <v/>
      </c>
      <c r="V11" s="286" t="str">
        <f aca="false">IF(AND($G11&lt;=27,$I11&gt;=25),"■","")</f>
        <v/>
      </c>
      <c r="W11" s="286" t="str">
        <f aca="false">IF(AND($G11&lt;=30,$I11&gt;=28),"■","")</f>
        <v/>
      </c>
      <c r="X11" s="286" t="str">
        <f aca="false">IF(AND($G11&lt;=33,$I11&gt;=31),"■","")</f>
        <v/>
      </c>
      <c r="Y11" s="286" t="str">
        <f aca="false">IF(AND($G11&lt;=36,$I11&gt;=34),"■","")</f>
        <v/>
      </c>
      <c r="Z11" s="286" t="str">
        <f aca="false">IF(AND($G11&lt;=39,$I11&gt;=37),"■","")</f>
        <v/>
      </c>
      <c r="AA11" s="286" t="str">
        <f aca="false">IF(AND($G11&lt;=42,$I11&gt;=40),"■","")</f>
        <v/>
      </c>
      <c r="AB11" s="286" t="str">
        <f aca="false">IF(AND($G11&lt;=45,$I11&gt;=43),"■","")</f>
        <v/>
      </c>
      <c r="AC11" s="286" t="str">
        <f aca="false">IF(AND($G11&lt;=48,$I11&gt;=46),"■","")</f>
        <v/>
      </c>
      <c r="AD11" s="286" t="str">
        <f aca="false">IF(AND($G11&lt;=51,$I11&gt;=49),"■","")</f>
        <v/>
      </c>
      <c r="AE11" s="286" t="str">
        <f aca="false">IF(AND($G11&lt;=54,$I11&gt;=52),"■","")</f>
        <v/>
      </c>
      <c r="AF11" s="286" t="str">
        <f aca="false">IF(AND($G11&lt;=57,$I11&gt;=55),"■","")</f>
        <v/>
      </c>
      <c r="AG11" s="286" t="str">
        <f aca="false">IF(AND($G11&lt;=60,$I11&gt;=58),"■","")</f>
        <v/>
      </c>
    </row>
    <row r="12" customFormat="false" ht="30" hidden="false" customHeight="true" outlineLevel="0" collapsed="false">
      <c r="A12" s="93" t="s">
        <v>2459</v>
      </c>
      <c r="B12" s="260" t="s">
        <v>269</v>
      </c>
      <c r="C12" s="107" t="s">
        <v>2460</v>
      </c>
      <c r="D12" s="260" t="s">
        <v>231</v>
      </c>
      <c r="E12" s="95" t="s">
        <v>2461</v>
      </c>
      <c r="F12" s="93" t="s">
        <v>2462</v>
      </c>
      <c r="G12" s="59" t="n">
        <v>6</v>
      </c>
      <c r="H12" s="59" t="n">
        <v>7</v>
      </c>
      <c r="I12" s="55" t="n">
        <f aca="false">G12+H12-1</f>
        <v>12</v>
      </c>
      <c r="J12" s="60" t="s">
        <v>2427</v>
      </c>
      <c r="K12" s="285" t="n">
        <v>0</v>
      </c>
      <c r="L12" s="95" t="s">
        <v>2463</v>
      </c>
      <c r="M12" s="95" t="s">
        <v>2464</v>
      </c>
      <c r="N12" s="286" t="str">
        <f aca="false">IF(AND($G12&lt;=3,$I12&gt;=1),"■","")</f>
        <v/>
      </c>
      <c r="O12" s="286" t="str">
        <f aca="false">IF(AND($G12&lt;=6,$I12&gt;=4),"■","")</f>
        <v>■</v>
      </c>
      <c r="P12" s="286" t="str">
        <f aca="false">IF(AND($G12&lt;=9,$I12&gt;=7),"■","")</f>
        <v>■</v>
      </c>
      <c r="Q12" s="286" t="str">
        <f aca="false">IF(AND($G12&lt;=12,$I12&gt;=10),"■","")</f>
        <v>■</v>
      </c>
      <c r="R12" s="286" t="str">
        <f aca="false">IF(AND($G12&lt;=15,$I12&gt;=13),"■","")</f>
        <v/>
      </c>
      <c r="S12" s="286" t="str">
        <f aca="false">IF(AND($G12&lt;=18,$I12&gt;=16),"■","")</f>
        <v/>
      </c>
      <c r="T12" s="286" t="str">
        <f aca="false">IF(AND($G12&lt;=21,$I12&gt;=19),"■","")</f>
        <v/>
      </c>
      <c r="U12" s="286" t="str">
        <f aca="false">IF(AND($G12&lt;=24,$I12&gt;=22),"■","")</f>
        <v/>
      </c>
      <c r="V12" s="286" t="str">
        <f aca="false">IF(AND($G12&lt;=27,$I12&gt;=25),"■","")</f>
        <v/>
      </c>
      <c r="W12" s="286" t="str">
        <f aca="false">IF(AND($G12&lt;=30,$I12&gt;=28),"■","")</f>
        <v/>
      </c>
      <c r="X12" s="286" t="str">
        <f aca="false">IF(AND($G12&lt;=33,$I12&gt;=31),"■","")</f>
        <v/>
      </c>
      <c r="Y12" s="286" t="str">
        <f aca="false">IF(AND($G12&lt;=36,$I12&gt;=34),"■","")</f>
        <v/>
      </c>
      <c r="Z12" s="286" t="str">
        <f aca="false">IF(AND($G12&lt;=39,$I12&gt;=37),"■","")</f>
        <v/>
      </c>
      <c r="AA12" s="286" t="str">
        <f aca="false">IF(AND($G12&lt;=42,$I12&gt;=40),"■","")</f>
        <v/>
      </c>
      <c r="AB12" s="286" t="str">
        <f aca="false">IF(AND($G12&lt;=45,$I12&gt;=43),"■","")</f>
        <v/>
      </c>
      <c r="AC12" s="286" t="str">
        <f aca="false">IF(AND($G12&lt;=48,$I12&gt;=46),"■","")</f>
        <v/>
      </c>
      <c r="AD12" s="286" t="str">
        <f aca="false">IF(AND($G12&lt;=51,$I12&gt;=49),"■","")</f>
        <v/>
      </c>
      <c r="AE12" s="286" t="str">
        <f aca="false">IF(AND($G12&lt;=54,$I12&gt;=52),"■","")</f>
        <v/>
      </c>
      <c r="AF12" s="286" t="str">
        <f aca="false">IF(AND($G12&lt;=57,$I12&gt;=55),"■","")</f>
        <v/>
      </c>
      <c r="AG12" s="286" t="str">
        <f aca="false">IF(AND($G12&lt;=60,$I12&gt;=58),"■","")</f>
        <v/>
      </c>
    </row>
    <row r="13" customFormat="false" ht="30" hidden="false" customHeight="true" outlineLevel="0" collapsed="false">
      <c r="A13" s="93" t="s">
        <v>2465</v>
      </c>
      <c r="B13" s="260" t="s">
        <v>361</v>
      </c>
      <c r="C13" s="107" t="s">
        <v>2466</v>
      </c>
      <c r="D13" s="260" t="s">
        <v>890</v>
      </c>
      <c r="E13" s="95" t="s">
        <v>2467</v>
      </c>
      <c r="F13" s="93" t="s">
        <v>2468</v>
      </c>
      <c r="G13" s="59" t="n">
        <v>12</v>
      </c>
      <c r="H13" s="59" t="n">
        <v>6</v>
      </c>
      <c r="I13" s="55" t="n">
        <f aca="false">G13+H13-1</f>
        <v>17</v>
      </c>
      <c r="J13" s="60" t="s">
        <v>2427</v>
      </c>
      <c r="K13" s="285" t="n">
        <v>0</v>
      </c>
      <c r="L13" s="95" t="s">
        <v>2469</v>
      </c>
      <c r="M13" s="95" t="s">
        <v>2470</v>
      </c>
      <c r="N13" s="286" t="str">
        <f aca="false">IF(AND($G13&lt;=3,$I13&gt;=1),"■","")</f>
        <v/>
      </c>
      <c r="O13" s="286" t="str">
        <f aca="false">IF(AND($G13&lt;=6,$I13&gt;=4),"■","")</f>
        <v/>
      </c>
      <c r="P13" s="286" t="str">
        <f aca="false">IF(AND($G13&lt;=9,$I13&gt;=7),"■","")</f>
        <v/>
      </c>
      <c r="Q13" s="286" t="str">
        <f aca="false">IF(AND($G13&lt;=12,$I13&gt;=10),"■","")</f>
        <v>■</v>
      </c>
      <c r="R13" s="286" t="str">
        <f aca="false">IF(AND($G13&lt;=15,$I13&gt;=13),"■","")</f>
        <v>■</v>
      </c>
      <c r="S13" s="286" t="str">
        <f aca="false">IF(AND($G13&lt;=18,$I13&gt;=16),"■","")</f>
        <v>■</v>
      </c>
      <c r="T13" s="286" t="str">
        <f aca="false">IF(AND($G13&lt;=21,$I13&gt;=19),"■","")</f>
        <v/>
      </c>
      <c r="U13" s="286" t="str">
        <f aca="false">IF(AND($G13&lt;=24,$I13&gt;=22),"■","")</f>
        <v/>
      </c>
      <c r="V13" s="286" t="str">
        <f aca="false">IF(AND($G13&lt;=27,$I13&gt;=25),"■","")</f>
        <v/>
      </c>
      <c r="W13" s="286" t="str">
        <f aca="false">IF(AND($G13&lt;=30,$I13&gt;=28),"■","")</f>
        <v/>
      </c>
      <c r="X13" s="286" t="str">
        <f aca="false">IF(AND($G13&lt;=33,$I13&gt;=31),"■","")</f>
        <v/>
      </c>
      <c r="Y13" s="286" t="str">
        <f aca="false">IF(AND($G13&lt;=36,$I13&gt;=34),"■","")</f>
        <v/>
      </c>
      <c r="Z13" s="286" t="str">
        <f aca="false">IF(AND($G13&lt;=39,$I13&gt;=37),"■","")</f>
        <v/>
      </c>
      <c r="AA13" s="286" t="str">
        <f aca="false">IF(AND($G13&lt;=42,$I13&gt;=40),"■","")</f>
        <v/>
      </c>
      <c r="AB13" s="286" t="str">
        <f aca="false">IF(AND($G13&lt;=45,$I13&gt;=43),"■","")</f>
        <v/>
      </c>
      <c r="AC13" s="286" t="str">
        <f aca="false">IF(AND($G13&lt;=48,$I13&gt;=46),"■","")</f>
        <v/>
      </c>
      <c r="AD13" s="286" t="str">
        <f aca="false">IF(AND($G13&lt;=51,$I13&gt;=49),"■","")</f>
        <v/>
      </c>
      <c r="AE13" s="286" t="str">
        <f aca="false">IF(AND($G13&lt;=54,$I13&gt;=52),"■","")</f>
        <v/>
      </c>
      <c r="AF13" s="286" t="str">
        <f aca="false">IF(AND($G13&lt;=57,$I13&gt;=55),"■","")</f>
        <v/>
      </c>
      <c r="AG13" s="286" t="str">
        <f aca="false">IF(AND($G13&lt;=60,$I13&gt;=58),"■","")</f>
        <v/>
      </c>
    </row>
    <row r="14" customFormat="false" ht="30" hidden="false" customHeight="true" outlineLevel="0" collapsed="false">
      <c r="A14" s="93" t="s">
        <v>2471</v>
      </c>
      <c r="B14" s="260" t="s">
        <v>361</v>
      </c>
      <c r="C14" s="107" t="s">
        <v>2472</v>
      </c>
      <c r="D14" s="260" t="s">
        <v>2473</v>
      </c>
      <c r="E14" s="95" t="s">
        <v>2474</v>
      </c>
      <c r="F14" s="93" t="s">
        <v>2465</v>
      </c>
      <c r="G14" s="59" t="n">
        <v>15</v>
      </c>
      <c r="H14" s="59" t="n">
        <v>12</v>
      </c>
      <c r="I14" s="55" t="n">
        <f aca="false">G14+H14-1</f>
        <v>26</v>
      </c>
      <c r="J14" s="60" t="s">
        <v>2427</v>
      </c>
      <c r="K14" s="285" t="n">
        <v>0</v>
      </c>
      <c r="L14" s="95" t="s">
        <v>2475</v>
      </c>
      <c r="M14" s="95" t="s">
        <v>2476</v>
      </c>
      <c r="N14" s="286" t="str">
        <f aca="false">IF(AND($G14&lt;=3,$I14&gt;=1),"■","")</f>
        <v/>
      </c>
      <c r="O14" s="286" t="str">
        <f aca="false">IF(AND($G14&lt;=6,$I14&gt;=4),"■","")</f>
        <v/>
      </c>
      <c r="P14" s="286" t="str">
        <f aca="false">IF(AND($G14&lt;=9,$I14&gt;=7),"■","")</f>
        <v/>
      </c>
      <c r="Q14" s="286" t="str">
        <f aca="false">IF(AND($G14&lt;=12,$I14&gt;=10),"■","")</f>
        <v/>
      </c>
      <c r="R14" s="286" t="str">
        <f aca="false">IF(AND($G14&lt;=15,$I14&gt;=13),"■","")</f>
        <v>■</v>
      </c>
      <c r="S14" s="286" t="str">
        <f aca="false">IF(AND($G14&lt;=18,$I14&gt;=16),"■","")</f>
        <v>■</v>
      </c>
      <c r="T14" s="286" t="str">
        <f aca="false">IF(AND($G14&lt;=21,$I14&gt;=19),"■","")</f>
        <v>■</v>
      </c>
      <c r="U14" s="286" t="str">
        <f aca="false">IF(AND($G14&lt;=24,$I14&gt;=22),"■","")</f>
        <v>■</v>
      </c>
      <c r="V14" s="286" t="str">
        <f aca="false">IF(AND($G14&lt;=27,$I14&gt;=25),"■","")</f>
        <v>■</v>
      </c>
      <c r="W14" s="286" t="str">
        <f aca="false">IF(AND($G14&lt;=30,$I14&gt;=28),"■","")</f>
        <v/>
      </c>
      <c r="X14" s="286" t="str">
        <f aca="false">IF(AND($G14&lt;=33,$I14&gt;=31),"■","")</f>
        <v/>
      </c>
      <c r="Y14" s="286" t="str">
        <f aca="false">IF(AND($G14&lt;=36,$I14&gt;=34),"■","")</f>
        <v/>
      </c>
      <c r="Z14" s="286" t="str">
        <f aca="false">IF(AND($G14&lt;=39,$I14&gt;=37),"■","")</f>
        <v/>
      </c>
      <c r="AA14" s="286" t="str">
        <f aca="false">IF(AND($G14&lt;=42,$I14&gt;=40),"■","")</f>
        <v/>
      </c>
      <c r="AB14" s="286" t="str">
        <f aca="false">IF(AND($G14&lt;=45,$I14&gt;=43),"■","")</f>
        <v/>
      </c>
      <c r="AC14" s="286" t="str">
        <f aca="false">IF(AND($G14&lt;=48,$I14&gt;=46),"■","")</f>
        <v/>
      </c>
      <c r="AD14" s="286" t="str">
        <f aca="false">IF(AND($G14&lt;=51,$I14&gt;=49),"■","")</f>
        <v/>
      </c>
      <c r="AE14" s="286" t="str">
        <f aca="false">IF(AND($G14&lt;=54,$I14&gt;=52),"■","")</f>
        <v/>
      </c>
      <c r="AF14" s="286" t="str">
        <f aca="false">IF(AND($G14&lt;=57,$I14&gt;=55),"■","")</f>
        <v/>
      </c>
      <c r="AG14" s="286" t="str">
        <f aca="false">IF(AND($G14&lt;=60,$I14&gt;=58),"■","")</f>
        <v/>
      </c>
    </row>
    <row r="15" customFormat="false" ht="30" hidden="false" customHeight="true" outlineLevel="0" collapsed="false">
      <c r="A15" s="93" t="s">
        <v>2477</v>
      </c>
      <c r="B15" s="260" t="s">
        <v>302</v>
      </c>
      <c r="C15" s="107" t="s">
        <v>2478</v>
      </c>
      <c r="D15" s="260" t="s">
        <v>2479</v>
      </c>
      <c r="E15" s="95" t="s">
        <v>2480</v>
      </c>
      <c r="F15" s="93" t="s">
        <v>2471</v>
      </c>
      <c r="G15" s="59" t="n">
        <v>24</v>
      </c>
      <c r="H15" s="59" t="n">
        <v>18</v>
      </c>
      <c r="I15" s="55" t="n">
        <f aca="false">G15+H15-1</f>
        <v>41</v>
      </c>
      <c r="J15" s="60" t="s">
        <v>2427</v>
      </c>
      <c r="K15" s="285" t="n">
        <v>0</v>
      </c>
      <c r="L15" s="95" t="s">
        <v>2481</v>
      </c>
      <c r="M15" s="95" t="s">
        <v>2449</v>
      </c>
      <c r="N15" s="286" t="str">
        <f aca="false">IF(AND($G15&lt;=3,$I15&gt;=1),"■","")</f>
        <v/>
      </c>
      <c r="O15" s="286" t="str">
        <f aca="false">IF(AND($G15&lt;=6,$I15&gt;=4),"■","")</f>
        <v/>
      </c>
      <c r="P15" s="286" t="str">
        <f aca="false">IF(AND($G15&lt;=9,$I15&gt;=7),"■","")</f>
        <v/>
      </c>
      <c r="Q15" s="286" t="str">
        <f aca="false">IF(AND($G15&lt;=12,$I15&gt;=10),"■","")</f>
        <v/>
      </c>
      <c r="R15" s="286" t="str">
        <f aca="false">IF(AND($G15&lt;=15,$I15&gt;=13),"■","")</f>
        <v/>
      </c>
      <c r="S15" s="286" t="str">
        <f aca="false">IF(AND($G15&lt;=18,$I15&gt;=16),"■","")</f>
        <v/>
      </c>
      <c r="T15" s="286" t="str">
        <f aca="false">IF(AND($G15&lt;=21,$I15&gt;=19),"■","")</f>
        <v/>
      </c>
      <c r="U15" s="286" t="str">
        <f aca="false">IF(AND($G15&lt;=24,$I15&gt;=22),"■","")</f>
        <v>■</v>
      </c>
      <c r="V15" s="286" t="str">
        <f aca="false">IF(AND($G15&lt;=27,$I15&gt;=25),"■","")</f>
        <v>■</v>
      </c>
      <c r="W15" s="286" t="str">
        <f aca="false">IF(AND($G15&lt;=30,$I15&gt;=28),"■","")</f>
        <v>■</v>
      </c>
      <c r="X15" s="286" t="str">
        <f aca="false">IF(AND($G15&lt;=33,$I15&gt;=31),"■","")</f>
        <v>■</v>
      </c>
      <c r="Y15" s="286" t="str">
        <f aca="false">IF(AND($G15&lt;=36,$I15&gt;=34),"■","")</f>
        <v>■</v>
      </c>
      <c r="Z15" s="286" t="str">
        <f aca="false">IF(AND($G15&lt;=39,$I15&gt;=37),"■","")</f>
        <v>■</v>
      </c>
      <c r="AA15" s="286" t="str">
        <f aca="false">IF(AND($G15&lt;=42,$I15&gt;=40),"■","")</f>
        <v>■</v>
      </c>
      <c r="AB15" s="286" t="str">
        <f aca="false">IF(AND($G15&lt;=45,$I15&gt;=43),"■","")</f>
        <v/>
      </c>
      <c r="AC15" s="286" t="str">
        <f aca="false">IF(AND($G15&lt;=48,$I15&gt;=46),"■","")</f>
        <v/>
      </c>
      <c r="AD15" s="286" t="str">
        <f aca="false">IF(AND($G15&lt;=51,$I15&gt;=49),"■","")</f>
        <v/>
      </c>
      <c r="AE15" s="286" t="str">
        <f aca="false">IF(AND($G15&lt;=54,$I15&gt;=52),"■","")</f>
        <v/>
      </c>
      <c r="AF15" s="286" t="str">
        <f aca="false">IF(AND($G15&lt;=57,$I15&gt;=55),"■","")</f>
        <v/>
      </c>
      <c r="AG15" s="286" t="str">
        <f aca="false">IF(AND($G15&lt;=60,$I15&gt;=58),"■","")</f>
        <v/>
      </c>
    </row>
    <row r="16" customFormat="false" ht="30" hidden="false" customHeight="true" outlineLevel="0" collapsed="false">
      <c r="A16" s="93" t="s">
        <v>2482</v>
      </c>
      <c r="B16" s="260" t="s">
        <v>302</v>
      </c>
      <c r="C16" s="95" t="s">
        <v>2483</v>
      </c>
      <c r="D16" s="96" t="s">
        <v>1989</v>
      </c>
      <c r="E16" s="95" t="s">
        <v>2484</v>
      </c>
      <c r="F16" s="93" t="s">
        <v>2471</v>
      </c>
      <c r="G16" s="59" t="n">
        <v>26</v>
      </c>
      <c r="H16" s="59" t="n">
        <v>14</v>
      </c>
      <c r="I16" s="55" t="n">
        <f aca="false">G16+H16-1</f>
        <v>39</v>
      </c>
      <c r="J16" s="60" t="s">
        <v>2427</v>
      </c>
      <c r="K16" s="285" t="n">
        <v>0</v>
      </c>
      <c r="L16" s="95" t="s">
        <v>2485</v>
      </c>
      <c r="M16" s="95" t="s">
        <v>2486</v>
      </c>
      <c r="N16" s="286" t="str">
        <f aca="false">IF(AND($G16&lt;=3,$I16&gt;=1),"■","")</f>
        <v/>
      </c>
      <c r="O16" s="286" t="str">
        <f aca="false">IF(AND($G16&lt;=6,$I16&gt;=4),"■","")</f>
        <v/>
      </c>
      <c r="P16" s="286" t="str">
        <f aca="false">IF(AND($G16&lt;=9,$I16&gt;=7),"■","")</f>
        <v/>
      </c>
      <c r="Q16" s="286" t="str">
        <f aca="false">IF(AND($G16&lt;=12,$I16&gt;=10),"■","")</f>
        <v/>
      </c>
      <c r="R16" s="286" t="str">
        <f aca="false">IF(AND($G16&lt;=15,$I16&gt;=13),"■","")</f>
        <v/>
      </c>
      <c r="S16" s="286" t="str">
        <f aca="false">IF(AND($G16&lt;=18,$I16&gt;=16),"■","")</f>
        <v/>
      </c>
      <c r="T16" s="286" t="str">
        <f aca="false">IF(AND($G16&lt;=21,$I16&gt;=19),"■","")</f>
        <v/>
      </c>
      <c r="U16" s="286" t="str">
        <f aca="false">IF(AND($G16&lt;=24,$I16&gt;=22),"■","")</f>
        <v/>
      </c>
      <c r="V16" s="286" t="str">
        <f aca="false">IF(AND($G16&lt;=27,$I16&gt;=25),"■","")</f>
        <v>■</v>
      </c>
      <c r="W16" s="286" t="str">
        <f aca="false">IF(AND($G16&lt;=30,$I16&gt;=28),"■","")</f>
        <v>■</v>
      </c>
      <c r="X16" s="286" t="str">
        <f aca="false">IF(AND($G16&lt;=33,$I16&gt;=31),"■","")</f>
        <v>■</v>
      </c>
      <c r="Y16" s="286" t="str">
        <f aca="false">IF(AND($G16&lt;=36,$I16&gt;=34),"■","")</f>
        <v>■</v>
      </c>
      <c r="Z16" s="286" t="str">
        <f aca="false">IF(AND($G16&lt;=39,$I16&gt;=37),"■","")</f>
        <v>■</v>
      </c>
      <c r="AA16" s="286" t="str">
        <f aca="false">IF(AND($G16&lt;=42,$I16&gt;=40),"■","")</f>
        <v/>
      </c>
      <c r="AB16" s="286" t="str">
        <f aca="false">IF(AND($G16&lt;=45,$I16&gt;=43),"■","")</f>
        <v/>
      </c>
      <c r="AC16" s="286" t="str">
        <f aca="false">IF(AND($G16&lt;=48,$I16&gt;=46),"■","")</f>
        <v/>
      </c>
      <c r="AD16" s="286" t="str">
        <f aca="false">IF(AND($G16&lt;=51,$I16&gt;=49),"■","")</f>
        <v/>
      </c>
      <c r="AE16" s="286" t="str">
        <f aca="false">IF(AND($G16&lt;=54,$I16&gt;=52),"■","")</f>
        <v/>
      </c>
      <c r="AF16" s="286" t="str">
        <f aca="false">IF(AND($G16&lt;=57,$I16&gt;=55),"■","")</f>
        <v/>
      </c>
      <c r="AG16" s="286" t="str">
        <f aca="false">IF(AND($G16&lt;=60,$I16&gt;=58),"■","")</f>
        <v/>
      </c>
    </row>
    <row r="17" customFormat="false" ht="30" hidden="false" customHeight="true" outlineLevel="0" collapsed="false">
      <c r="A17" s="93" t="s">
        <v>2487</v>
      </c>
      <c r="B17" s="260" t="s">
        <v>302</v>
      </c>
      <c r="C17" s="107" t="s">
        <v>2488</v>
      </c>
      <c r="D17" s="260" t="s">
        <v>2489</v>
      </c>
      <c r="E17" s="95" t="s">
        <v>2490</v>
      </c>
      <c r="F17" s="93" t="s">
        <v>2491</v>
      </c>
      <c r="G17" s="59" t="n">
        <v>28</v>
      </c>
      <c r="H17" s="59" t="n">
        <v>14</v>
      </c>
      <c r="I17" s="55" t="n">
        <f aca="false">G17+H17-1</f>
        <v>41</v>
      </c>
      <c r="J17" s="60" t="s">
        <v>2427</v>
      </c>
      <c r="K17" s="285" t="n">
        <v>0</v>
      </c>
      <c r="L17" s="95" t="s">
        <v>2492</v>
      </c>
      <c r="M17" s="95" t="s">
        <v>2493</v>
      </c>
      <c r="N17" s="286" t="str">
        <f aca="false">IF(AND($G17&lt;=3,$I17&gt;=1),"■","")</f>
        <v/>
      </c>
      <c r="O17" s="286" t="str">
        <f aca="false">IF(AND($G17&lt;=6,$I17&gt;=4),"■","")</f>
        <v/>
      </c>
      <c r="P17" s="286" t="str">
        <f aca="false">IF(AND($G17&lt;=9,$I17&gt;=7),"■","")</f>
        <v/>
      </c>
      <c r="Q17" s="286" t="str">
        <f aca="false">IF(AND($G17&lt;=12,$I17&gt;=10),"■","")</f>
        <v/>
      </c>
      <c r="R17" s="286" t="str">
        <f aca="false">IF(AND($G17&lt;=15,$I17&gt;=13),"■","")</f>
        <v/>
      </c>
      <c r="S17" s="286" t="str">
        <f aca="false">IF(AND($G17&lt;=18,$I17&gt;=16),"■","")</f>
        <v/>
      </c>
      <c r="T17" s="286" t="str">
        <f aca="false">IF(AND($G17&lt;=21,$I17&gt;=19),"■","")</f>
        <v/>
      </c>
      <c r="U17" s="286" t="str">
        <f aca="false">IF(AND($G17&lt;=24,$I17&gt;=22),"■","")</f>
        <v/>
      </c>
      <c r="V17" s="286" t="str">
        <f aca="false">IF(AND($G17&lt;=27,$I17&gt;=25),"■","")</f>
        <v/>
      </c>
      <c r="W17" s="286" t="str">
        <f aca="false">IF(AND($G17&lt;=30,$I17&gt;=28),"■","")</f>
        <v>■</v>
      </c>
      <c r="X17" s="286" t="str">
        <f aca="false">IF(AND($G17&lt;=33,$I17&gt;=31),"■","")</f>
        <v>■</v>
      </c>
      <c r="Y17" s="286" t="str">
        <f aca="false">IF(AND($G17&lt;=36,$I17&gt;=34),"■","")</f>
        <v>■</v>
      </c>
      <c r="Z17" s="286" t="str">
        <f aca="false">IF(AND($G17&lt;=39,$I17&gt;=37),"■","")</f>
        <v>■</v>
      </c>
      <c r="AA17" s="286" t="str">
        <f aca="false">IF(AND($G17&lt;=42,$I17&gt;=40),"■","")</f>
        <v>■</v>
      </c>
      <c r="AB17" s="286" t="str">
        <f aca="false">IF(AND($G17&lt;=45,$I17&gt;=43),"■","")</f>
        <v/>
      </c>
      <c r="AC17" s="286" t="str">
        <f aca="false">IF(AND($G17&lt;=48,$I17&gt;=46),"■","")</f>
        <v/>
      </c>
      <c r="AD17" s="286" t="str">
        <f aca="false">IF(AND($G17&lt;=51,$I17&gt;=49),"■","")</f>
        <v/>
      </c>
      <c r="AE17" s="286" t="str">
        <f aca="false">IF(AND($G17&lt;=54,$I17&gt;=52),"■","")</f>
        <v/>
      </c>
      <c r="AF17" s="286" t="str">
        <f aca="false">IF(AND($G17&lt;=57,$I17&gt;=55),"■","")</f>
        <v/>
      </c>
      <c r="AG17" s="286" t="str">
        <f aca="false">IF(AND($G17&lt;=60,$I17&gt;=58),"■","")</f>
        <v/>
      </c>
    </row>
    <row r="18" customFormat="false" ht="30" hidden="false" customHeight="true" outlineLevel="0" collapsed="false">
      <c r="A18" s="93" t="s">
        <v>2494</v>
      </c>
      <c r="B18" s="260" t="s">
        <v>302</v>
      </c>
      <c r="C18" s="95" t="s">
        <v>2495</v>
      </c>
      <c r="D18" s="260" t="s">
        <v>487</v>
      </c>
      <c r="E18" s="95" t="s">
        <v>2496</v>
      </c>
      <c r="F18" s="93" t="s">
        <v>2497</v>
      </c>
      <c r="G18" s="59" t="n">
        <v>26</v>
      </c>
      <c r="H18" s="59" t="n">
        <v>16</v>
      </c>
      <c r="I18" s="55" t="n">
        <f aca="false">G18+H18-1</f>
        <v>41</v>
      </c>
      <c r="J18" s="60" t="s">
        <v>2427</v>
      </c>
      <c r="K18" s="285" t="n">
        <v>0</v>
      </c>
      <c r="L18" s="95" t="s">
        <v>2498</v>
      </c>
      <c r="M18" s="95" t="s">
        <v>2499</v>
      </c>
      <c r="N18" s="286" t="str">
        <f aca="false">IF(AND($G18&lt;=3,$I18&gt;=1),"■","")</f>
        <v/>
      </c>
      <c r="O18" s="286" t="str">
        <f aca="false">IF(AND($G18&lt;=6,$I18&gt;=4),"■","")</f>
        <v/>
      </c>
      <c r="P18" s="286" t="str">
        <f aca="false">IF(AND($G18&lt;=9,$I18&gt;=7),"■","")</f>
        <v/>
      </c>
      <c r="Q18" s="286" t="str">
        <f aca="false">IF(AND($G18&lt;=12,$I18&gt;=10),"■","")</f>
        <v/>
      </c>
      <c r="R18" s="286" t="str">
        <f aca="false">IF(AND($G18&lt;=15,$I18&gt;=13),"■","")</f>
        <v/>
      </c>
      <c r="S18" s="286" t="str">
        <f aca="false">IF(AND($G18&lt;=18,$I18&gt;=16),"■","")</f>
        <v/>
      </c>
      <c r="T18" s="286" t="str">
        <f aca="false">IF(AND($G18&lt;=21,$I18&gt;=19),"■","")</f>
        <v/>
      </c>
      <c r="U18" s="286" t="str">
        <f aca="false">IF(AND($G18&lt;=24,$I18&gt;=22),"■","")</f>
        <v/>
      </c>
      <c r="V18" s="286" t="str">
        <f aca="false">IF(AND($G18&lt;=27,$I18&gt;=25),"■","")</f>
        <v>■</v>
      </c>
      <c r="W18" s="286" t="str">
        <f aca="false">IF(AND($G18&lt;=30,$I18&gt;=28),"■","")</f>
        <v>■</v>
      </c>
      <c r="X18" s="286" t="str">
        <f aca="false">IF(AND($G18&lt;=33,$I18&gt;=31),"■","")</f>
        <v>■</v>
      </c>
      <c r="Y18" s="286" t="str">
        <f aca="false">IF(AND($G18&lt;=36,$I18&gt;=34),"■","")</f>
        <v>■</v>
      </c>
      <c r="Z18" s="286" t="str">
        <f aca="false">IF(AND($G18&lt;=39,$I18&gt;=37),"■","")</f>
        <v>■</v>
      </c>
      <c r="AA18" s="286" t="str">
        <f aca="false">IF(AND($G18&lt;=42,$I18&gt;=40),"■","")</f>
        <v>■</v>
      </c>
      <c r="AB18" s="286" t="str">
        <f aca="false">IF(AND($G18&lt;=45,$I18&gt;=43),"■","")</f>
        <v/>
      </c>
      <c r="AC18" s="286" t="str">
        <f aca="false">IF(AND($G18&lt;=48,$I18&gt;=46),"■","")</f>
        <v/>
      </c>
      <c r="AD18" s="286" t="str">
        <f aca="false">IF(AND($G18&lt;=51,$I18&gt;=49),"■","")</f>
        <v/>
      </c>
      <c r="AE18" s="286" t="str">
        <f aca="false">IF(AND($G18&lt;=54,$I18&gt;=52),"■","")</f>
        <v/>
      </c>
      <c r="AF18" s="286" t="str">
        <f aca="false">IF(AND($G18&lt;=57,$I18&gt;=55),"■","")</f>
        <v/>
      </c>
      <c r="AG18" s="286" t="str">
        <f aca="false">IF(AND($G18&lt;=60,$I18&gt;=58),"■","")</f>
        <v/>
      </c>
    </row>
    <row r="19" customFormat="false" ht="30" hidden="false" customHeight="true" outlineLevel="0" collapsed="false">
      <c r="A19" s="93" t="s">
        <v>2500</v>
      </c>
      <c r="B19" s="260" t="s">
        <v>302</v>
      </c>
      <c r="C19" s="107" t="s">
        <v>2501</v>
      </c>
      <c r="D19" s="260" t="s">
        <v>785</v>
      </c>
      <c r="E19" s="95" t="s">
        <v>2502</v>
      </c>
      <c r="F19" s="93" t="s">
        <v>2503</v>
      </c>
      <c r="G19" s="59" t="n">
        <v>22</v>
      </c>
      <c r="H19" s="59" t="n">
        <v>18</v>
      </c>
      <c r="I19" s="55" t="n">
        <f aca="false">G19+H19-1</f>
        <v>39</v>
      </c>
      <c r="J19" s="60" t="s">
        <v>2427</v>
      </c>
      <c r="K19" s="285" t="n">
        <v>0</v>
      </c>
      <c r="L19" s="95" t="s">
        <v>2504</v>
      </c>
      <c r="M19" s="95" t="s">
        <v>2505</v>
      </c>
      <c r="N19" s="286" t="str">
        <f aca="false">IF(AND($G19&lt;=3,$I19&gt;=1),"■","")</f>
        <v/>
      </c>
      <c r="O19" s="286" t="str">
        <f aca="false">IF(AND($G19&lt;=6,$I19&gt;=4),"■","")</f>
        <v/>
      </c>
      <c r="P19" s="286" t="str">
        <f aca="false">IF(AND($G19&lt;=9,$I19&gt;=7),"■","")</f>
        <v/>
      </c>
      <c r="Q19" s="286" t="str">
        <f aca="false">IF(AND($G19&lt;=12,$I19&gt;=10),"■","")</f>
        <v/>
      </c>
      <c r="R19" s="286" t="str">
        <f aca="false">IF(AND($G19&lt;=15,$I19&gt;=13),"■","")</f>
        <v/>
      </c>
      <c r="S19" s="286" t="str">
        <f aca="false">IF(AND($G19&lt;=18,$I19&gt;=16),"■","")</f>
        <v/>
      </c>
      <c r="T19" s="286" t="str">
        <f aca="false">IF(AND($G19&lt;=21,$I19&gt;=19),"■","")</f>
        <v/>
      </c>
      <c r="U19" s="286" t="str">
        <f aca="false">IF(AND($G19&lt;=24,$I19&gt;=22),"■","")</f>
        <v>■</v>
      </c>
      <c r="V19" s="286" t="str">
        <f aca="false">IF(AND($G19&lt;=27,$I19&gt;=25),"■","")</f>
        <v>■</v>
      </c>
      <c r="W19" s="286" t="str">
        <f aca="false">IF(AND($G19&lt;=30,$I19&gt;=28),"■","")</f>
        <v>■</v>
      </c>
      <c r="X19" s="286" t="str">
        <f aca="false">IF(AND($G19&lt;=33,$I19&gt;=31),"■","")</f>
        <v>■</v>
      </c>
      <c r="Y19" s="286" t="str">
        <f aca="false">IF(AND($G19&lt;=36,$I19&gt;=34),"■","")</f>
        <v>■</v>
      </c>
      <c r="Z19" s="286" t="str">
        <f aca="false">IF(AND($G19&lt;=39,$I19&gt;=37),"■","")</f>
        <v>■</v>
      </c>
      <c r="AA19" s="286" t="str">
        <f aca="false">IF(AND($G19&lt;=42,$I19&gt;=40),"■","")</f>
        <v/>
      </c>
      <c r="AB19" s="286" t="str">
        <f aca="false">IF(AND($G19&lt;=45,$I19&gt;=43),"■","")</f>
        <v/>
      </c>
      <c r="AC19" s="286" t="str">
        <f aca="false">IF(AND($G19&lt;=48,$I19&gt;=46),"■","")</f>
        <v/>
      </c>
      <c r="AD19" s="286" t="str">
        <f aca="false">IF(AND($G19&lt;=51,$I19&gt;=49),"■","")</f>
        <v/>
      </c>
      <c r="AE19" s="286" t="str">
        <f aca="false">IF(AND($G19&lt;=54,$I19&gt;=52),"■","")</f>
        <v/>
      </c>
      <c r="AF19" s="286" t="str">
        <f aca="false">IF(AND($G19&lt;=57,$I19&gt;=55),"■","")</f>
        <v/>
      </c>
      <c r="AG19" s="286" t="str">
        <f aca="false">IF(AND($G19&lt;=60,$I19&gt;=58),"■","")</f>
        <v/>
      </c>
    </row>
    <row r="20" customFormat="false" ht="30" hidden="false" customHeight="true" outlineLevel="0" collapsed="false">
      <c r="A20" s="93" t="s">
        <v>2506</v>
      </c>
      <c r="B20" s="260" t="s">
        <v>302</v>
      </c>
      <c r="C20" s="107" t="s">
        <v>2507</v>
      </c>
      <c r="D20" s="260" t="s">
        <v>785</v>
      </c>
      <c r="E20" s="95" t="s">
        <v>2508</v>
      </c>
      <c r="F20" s="93" t="s">
        <v>2509</v>
      </c>
      <c r="G20" s="59" t="n">
        <v>24</v>
      </c>
      <c r="H20" s="59" t="n">
        <v>18</v>
      </c>
      <c r="I20" s="55" t="n">
        <f aca="false">G20+H20-1</f>
        <v>41</v>
      </c>
      <c r="J20" s="60" t="s">
        <v>2427</v>
      </c>
      <c r="K20" s="285" t="n">
        <v>0</v>
      </c>
      <c r="L20" s="95" t="s">
        <v>2510</v>
      </c>
      <c r="M20" s="95" t="s">
        <v>2511</v>
      </c>
      <c r="N20" s="286" t="str">
        <f aca="false">IF(AND($G20&lt;=3,$I20&gt;=1),"■","")</f>
        <v/>
      </c>
      <c r="O20" s="286" t="str">
        <f aca="false">IF(AND($G20&lt;=6,$I20&gt;=4),"■","")</f>
        <v/>
      </c>
      <c r="P20" s="286" t="str">
        <f aca="false">IF(AND($G20&lt;=9,$I20&gt;=7),"■","")</f>
        <v/>
      </c>
      <c r="Q20" s="286" t="str">
        <f aca="false">IF(AND($G20&lt;=12,$I20&gt;=10),"■","")</f>
        <v/>
      </c>
      <c r="R20" s="286" t="str">
        <f aca="false">IF(AND($G20&lt;=15,$I20&gt;=13),"■","")</f>
        <v/>
      </c>
      <c r="S20" s="286" t="str">
        <f aca="false">IF(AND($G20&lt;=18,$I20&gt;=16),"■","")</f>
        <v/>
      </c>
      <c r="T20" s="286" t="str">
        <f aca="false">IF(AND($G20&lt;=21,$I20&gt;=19),"■","")</f>
        <v/>
      </c>
      <c r="U20" s="286" t="str">
        <f aca="false">IF(AND($G20&lt;=24,$I20&gt;=22),"■","")</f>
        <v>■</v>
      </c>
      <c r="V20" s="286" t="str">
        <f aca="false">IF(AND($G20&lt;=27,$I20&gt;=25),"■","")</f>
        <v>■</v>
      </c>
      <c r="W20" s="286" t="str">
        <f aca="false">IF(AND($G20&lt;=30,$I20&gt;=28),"■","")</f>
        <v>■</v>
      </c>
      <c r="X20" s="286" t="str">
        <f aca="false">IF(AND($G20&lt;=33,$I20&gt;=31),"■","")</f>
        <v>■</v>
      </c>
      <c r="Y20" s="286" t="str">
        <f aca="false">IF(AND($G20&lt;=36,$I20&gt;=34),"■","")</f>
        <v>■</v>
      </c>
      <c r="Z20" s="286" t="str">
        <f aca="false">IF(AND($G20&lt;=39,$I20&gt;=37),"■","")</f>
        <v>■</v>
      </c>
      <c r="AA20" s="286" t="str">
        <f aca="false">IF(AND($G20&lt;=42,$I20&gt;=40),"■","")</f>
        <v>■</v>
      </c>
      <c r="AB20" s="286" t="str">
        <f aca="false">IF(AND($G20&lt;=45,$I20&gt;=43),"■","")</f>
        <v/>
      </c>
      <c r="AC20" s="286" t="str">
        <f aca="false">IF(AND($G20&lt;=48,$I20&gt;=46),"■","")</f>
        <v/>
      </c>
      <c r="AD20" s="286" t="str">
        <f aca="false">IF(AND($G20&lt;=51,$I20&gt;=49),"■","")</f>
        <v/>
      </c>
      <c r="AE20" s="286" t="str">
        <f aca="false">IF(AND($G20&lt;=54,$I20&gt;=52),"■","")</f>
        <v/>
      </c>
      <c r="AF20" s="286" t="str">
        <f aca="false">IF(AND($G20&lt;=57,$I20&gt;=55),"■","")</f>
        <v/>
      </c>
      <c r="AG20" s="286" t="str">
        <f aca="false">IF(AND($G20&lt;=60,$I20&gt;=58),"■","")</f>
        <v/>
      </c>
    </row>
    <row r="21" customFormat="false" ht="30" hidden="false" customHeight="true" outlineLevel="0" collapsed="false">
      <c r="A21" s="93" t="s">
        <v>2512</v>
      </c>
      <c r="B21" s="260" t="s">
        <v>302</v>
      </c>
      <c r="C21" s="107" t="s">
        <v>2513</v>
      </c>
      <c r="D21" s="260" t="s">
        <v>2514</v>
      </c>
      <c r="E21" s="95" t="s">
        <v>2515</v>
      </c>
      <c r="F21" s="93" t="s">
        <v>2516</v>
      </c>
      <c r="G21" s="59" t="n">
        <v>30</v>
      </c>
      <c r="H21" s="59" t="n">
        <v>12</v>
      </c>
      <c r="I21" s="55" t="n">
        <f aca="false">G21+H21-1</f>
        <v>41</v>
      </c>
      <c r="J21" s="60" t="s">
        <v>2427</v>
      </c>
      <c r="K21" s="285" t="n">
        <v>0</v>
      </c>
      <c r="L21" s="95" t="s">
        <v>2517</v>
      </c>
      <c r="M21" s="95" t="s">
        <v>2518</v>
      </c>
      <c r="N21" s="286" t="str">
        <f aca="false">IF(AND($G21&lt;=3,$I21&gt;=1),"■","")</f>
        <v/>
      </c>
      <c r="O21" s="286" t="str">
        <f aca="false">IF(AND($G21&lt;=6,$I21&gt;=4),"■","")</f>
        <v/>
      </c>
      <c r="P21" s="286" t="str">
        <f aca="false">IF(AND($G21&lt;=9,$I21&gt;=7),"■","")</f>
        <v/>
      </c>
      <c r="Q21" s="286" t="str">
        <f aca="false">IF(AND($G21&lt;=12,$I21&gt;=10),"■","")</f>
        <v/>
      </c>
      <c r="R21" s="286" t="str">
        <f aca="false">IF(AND($G21&lt;=15,$I21&gt;=13),"■","")</f>
        <v/>
      </c>
      <c r="S21" s="286" t="str">
        <f aca="false">IF(AND($G21&lt;=18,$I21&gt;=16),"■","")</f>
        <v/>
      </c>
      <c r="T21" s="286" t="str">
        <f aca="false">IF(AND($G21&lt;=21,$I21&gt;=19),"■","")</f>
        <v/>
      </c>
      <c r="U21" s="286" t="str">
        <f aca="false">IF(AND($G21&lt;=24,$I21&gt;=22),"■","")</f>
        <v/>
      </c>
      <c r="V21" s="286" t="str">
        <f aca="false">IF(AND($G21&lt;=27,$I21&gt;=25),"■","")</f>
        <v/>
      </c>
      <c r="W21" s="286" t="str">
        <f aca="false">IF(AND($G21&lt;=30,$I21&gt;=28),"■","")</f>
        <v>■</v>
      </c>
      <c r="X21" s="286" t="str">
        <f aca="false">IF(AND($G21&lt;=33,$I21&gt;=31),"■","")</f>
        <v>■</v>
      </c>
      <c r="Y21" s="286" t="str">
        <f aca="false">IF(AND($G21&lt;=36,$I21&gt;=34),"■","")</f>
        <v>■</v>
      </c>
      <c r="Z21" s="286" t="str">
        <f aca="false">IF(AND($G21&lt;=39,$I21&gt;=37),"■","")</f>
        <v>■</v>
      </c>
      <c r="AA21" s="286" t="str">
        <f aca="false">IF(AND($G21&lt;=42,$I21&gt;=40),"■","")</f>
        <v>■</v>
      </c>
      <c r="AB21" s="286" t="str">
        <f aca="false">IF(AND($G21&lt;=45,$I21&gt;=43),"■","")</f>
        <v/>
      </c>
      <c r="AC21" s="286" t="str">
        <f aca="false">IF(AND($G21&lt;=48,$I21&gt;=46),"■","")</f>
        <v/>
      </c>
      <c r="AD21" s="286" t="str">
        <f aca="false">IF(AND($G21&lt;=51,$I21&gt;=49),"■","")</f>
        <v/>
      </c>
      <c r="AE21" s="286" t="str">
        <f aca="false">IF(AND($G21&lt;=54,$I21&gt;=52),"■","")</f>
        <v/>
      </c>
      <c r="AF21" s="286" t="str">
        <f aca="false">IF(AND($G21&lt;=57,$I21&gt;=55),"■","")</f>
        <v/>
      </c>
      <c r="AG21" s="286" t="str">
        <f aca="false">IF(AND($G21&lt;=60,$I21&gt;=58),"■","")</f>
        <v/>
      </c>
    </row>
    <row r="22" customFormat="false" ht="30" hidden="false" customHeight="true" outlineLevel="0" collapsed="false">
      <c r="A22" s="93" t="s">
        <v>2519</v>
      </c>
      <c r="B22" s="260" t="s">
        <v>344</v>
      </c>
      <c r="C22" s="107" t="s">
        <v>2520</v>
      </c>
      <c r="D22" s="260" t="s">
        <v>2521</v>
      </c>
      <c r="E22" s="95" t="s">
        <v>2522</v>
      </c>
      <c r="F22" s="93" t="s">
        <v>2523</v>
      </c>
      <c r="G22" s="59" t="n">
        <v>39</v>
      </c>
      <c r="H22" s="59" t="n">
        <v>4</v>
      </c>
      <c r="I22" s="55" t="n">
        <f aca="false">G22+H22-1</f>
        <v>42</v>
      </c>
      <c r="J22" s="60" t="s">
        <v>2427</v>
      </c>
      <c r="K22" s="285" t="n">
        <v>0</v>
      </c>
      <c r="L22" s="95" t="s">
        <v>2524</v>
      </c>
      <c r="M22" s="95" t="s">
        <v>2525</v>
      </c>
      <c r="N22" s="286" t="str">
        <f aca="false">IF(AND($G22&lt;=3,$I22&gt;=1),"■","")</f>
        <v/>
      </c>
      <c r="O22" s="286" t="str">
        <f aca="false">IF(AND($G22&lt;=6,$I22&gt;=4),"■","")</f>
        <v/>
      </c>
      <c r="P22" s="286" t="str">
        <f aca="false">IF(AND($G22&lt;=9,$I22&gt;=7),"■","")</f>
        <v/>
      </c>
      <c r="Q22" s="286" t="str">
        <f aca="false">IF(AND($G22&lt;=12,$I22&gt;=10),"■","")</f>
        <v/>
      </c>
      <c r="R22" s="286" t="str">
        <f aca="false">IF(AND($G22&lt;=15,$I22&gt;=13),"■","")</f>
        <v/>
      </c>
      <c r="S22" s="286" t="str">
        <f aca="false">IF(AND($G22&lt;=18,$I22&gt;=16),"■","")</f>
        <v/>
      </c>
      <c r="T22" s="286" t="str">
        <f aca="false">IF(AND($G22&lt;=21,$I22&gt;=19),"■","")</f>
        <v/>
      </c>
      <c r="U22" s="286" t="str">
        <f aca="false">IF(AND($G22&lt;=24,$I22&gt;=22),"■","")</f>
        <v/>
      </c>
      <c r="V22" s="286" t="str">
        <f aca="false">IF(AND($G22&lt;=27,$I22&gt;=25),"■","")</f>
        <v/>
      </c>
      <c r="W22" s="286" t="str">
        <f aca="false">IF(AND($G22&lt;=30,$I22&gt;=28),"■","")</f>
        <v/>
      </c>
      <c r="X22" s="286" t="str">
        <f aca="false">IF(AND($G22&lt;=33,$I22&gt;=31),"■","")</f>
        <v/>
      </c>
      <c r="Y22" s="286" t="str">
        <f aca="false">IF(AND($G22&lt;=36,$I22&gt;=34),"■","")</f>
        <v/>
      </c>
      <c r="Z22" s="286" t="str">
        <f aca="false">IF(AND($G22&lt;=39,$I22&gt;=37),"■","")</f>
        <v>■</v>
      </c>
      <c r="AA22" s="286" t="str">
        <f aca="false">IF(AND($G22&lt;=42,$I22&gt;=40),"■","")</f>
        <v>■</v>
      </c>
      <c r="AB22" s="286" t="str">
        <f aca="false">IF(AND($G22&lt;=45,$I22&gt;=43),"■","")</f>
        <v/>
      </c>
      <c r="AC22" s="286" t="str">
        <f aca="false">IF(AND($G22&lt;=48,$I22&gt;=46),"■","")</f>
        <v/>
      </c>
      <c r="AD22" s="286" t="str">
        <f aca="false">IF(AND($G22&lt;=51,$I22&gt;=49),"■","")</f>
        <v/>
      </c>
      <c r="AE22" s="286" t="str">
        <f aca="false">IF(AND($G22&lt;=54,$I22&gt;=52),"■","")</f>
        <v/>
      </c>
      <c r="AF22" s="286" t="str">
        <f aca="false">IF(AND($G22&lt;=57,$I22&gt;=55),"■","")</f>
        <v/>
      </c>
      <c r="AG22" s="286" t="str">
        <f aca="false">IF(AND($G22&lt;=60,$I22&gt;=58),"■","")</f>
        <v/>
      </c>
    </row>
    <row r="23" customFormat="false" ht="30" hidden="false" customHeight="true" outlineLevel="0" collapsed="false">
      <c r="A23" s="93" t="s">
        <v>2526</v>
      </c>
      <c r="B23" s="260" t="s">
        <v>344</v>
      </c>
      <c r="C23" s="107" t="s">
        <v>2527</v>
      </c>
      <c r="D23" s="260" t="s">
        <v>785</v>
      </c>
      <c r="E23" s="95" t="s">
        <v>2528</v>
      </c>
      <c r="F23" s="93" t="s">
        <v>2519</v>
      </c>
      <c r="G23" s="59" t="n">
        <v>43</v>
      </c>
      <c r="H23" s="59" t="n">
        <v>6</v>
      </c>
      <c r="I23" s="55" t="n">
        <f aca="false">G23+H23-1</f>
        <v>48</v>
      </c>
      <c r="J23" s="60" t="s">
        <v>2427</v>
      </c>
      <c r="K23" s="285" t="n">
        <v>0</v>
      </c>
      <c r="L23" s="95" t="s">
        <v>2529</v>
      </c>
      <c r="M23" s="95" t="s">
        <v>2530</v>
      </c>
      <c r="N23" s="286" t="str">
        <f aca="false">IF(AND($G23&lt;=3,$I23&gt;=1),"■","")</f>
        <v/>
      </c>
      <c r="O23" s="286" t="str">
        <f aca="false">IF(AND($G23&lt;=6,$I23&gt;=4),"■","")</f>
        <v/>
      </c>
      <c r="P23" s="286" t="str">
        <f aca="false">IF(AND($G23&lt;=9,$I23&gt;=7),"■","")</f>
        <v/>
      </c>
      <c r="Q23" s="286" t="str">
        <f aca="false">IF(AND($G23&lt;=12,$I23&gt;=10),"■","")</f>
        <v/>
      </c>
      <c r="R23" s="286" t="str">
        <f aca="false">IF(AND($G23&lt;=15,$I23&gt;=13),"■","")</f>
        <v/>
      </c>
      <c r="S23" s="286" t="str">
        <f aca="false">IF(AND($G23&lt;=18,$I23&gt;=16),"■","")</f>
        <v/>
      </c>
      <c r="T23" s="286" t="str">
        <f aca="false">IF(AND($G23&lt;=21,$I23&gt;=19),"■","")</f>
        <v/>
      </c>
      <c r="U23" s="286" t="str">
        <f aca="false">IF(AND($G23&lt;=24,$I23&gt;=22),"■","")</f>
        <v/>
      </c>
      <c r="V23" s="286" t="str">
        <f aca="false">IF(AND($G23&lt;=27,$I23&gt;=25),"■","")</f>
        <v/>
      </c>
      <c r="W23" s="286" t="str">
        <f aca="false">IF(AND($G23&lt;=30,$I23&gt;=28),"■","")</f>
        <v/>
      </c>
      <c r="X23" s="286" t="str">
        <f aca="false">IF(AND($G23&lt;=33,$I23&gt;=31),"■","")</f>
        <v/>
      </c>
      <c r="Y23" s="286" t="str">
        <f aca="false">IF(AND($G23&lt;=36,$I23&gt;=34),"■","")</f>
        <v/>
      </c>
      <c r="Z23" s="286" t="str">
        <f aca="false">IF(AND($G23&lt;=39,$I23&gt;=37),"■","")</f>
        <v/>
      </c>
      <c r="AA23" s="286" t="str">
        <f aca="false">IF(AND($G23&lt;=42,$I23&gt;=40),"■","")</f>
        <v/>
      </c>
      <c r="AB23" s="286" t="str">
        <f aca="false">IF(AND($G23&lt;=45,$I23&gt;=43),"■","")</f>
        <v>■</v>
      </c>
      <c r="AC23" s="286" t="str">
        <f aca="false">IF(AND($G23&lt;=48,$I23&gt;=46),"■","")</f>
        <v>■</v>
      </c>
      <c r="AD23" s="286" t="str">
        <f aca="false">IF(AND($G23&lt;=51,$I23&gt;=49),"■","")</f>
        <v/>
      </c>
      <c r="AE23" s="286" t="str">
        <f aca="false">IF(AND($G23&lt;=54,$I23&gt;=52),"■","")</f>
        <v/>
      </c>
      <c r="AF23" s="286" t="str">
        <f aca="false">IF(AND($G23&lt;=57,$I23&gt;=55),"■","")</f>
        <v/>
      </c>
      <c r="AG23" s="286" t="str">
        <f aca="false">IF(AND($G23&lt;=60,$I23&gt;=58),"■","")</f>
        <v/>
      </c>
    </row>
    <row r="24" customFormat="false" ht="30" hidden="false" customHeight="true" outlineLevel="0" collapsed="false">
      <c r="A24" s="93" t="s">
        <v>2531</v>
      </c>
      <c r="B24" s="260" t="s">
        <v>744</v>
      </c>
      <c r="C24" s="107" t="s">
        <v>2532</v>
      </c>
      <c r="D24" s="260" t="s">
        <v>890</v>
      </c>
      <c r="E24" s="95" t="s">
        <v>2533</v>
      </c>
      <c r="F24" s="93" t="s">
        <v>2526</v>
      </c>
      <c r="G24" s="59" t="n">
        <v>49</v>
      </c>
      <c r="H24" s="59" t="n">
        <v>12</v>
      </c>
      <c r="I24" s="55" t="n">
        <f aca="false">G24+H24-1</f>
        <v>60</v>
      </c>
      <c r="J24" s="60" t="s">
        <v>2427</v>
      </c>
      <c r="K24" s="285" t="n">
        <v>0</v>
      </c>
      <c r="L24" s="95" t="s">
        <v>2534</v>
      </c>
      <c r="M24" s="95" t="s">
        <v>2535</v>
      </c>
      <c r="N24" s="286" t="str">
        <f aca="false">IF(AND($G24&lt;=3,$I24&gt;=1),"■","")</f>
        <v/>
      </c>
      <c r="O24" s="286" t="str">
        <f aca="false">IF(AND($G24&lt;=6,$I24&gt;=4),"■","")</f>
        <v/>
      </c>
      <c r="P24" s="286" t="str">
        <f aca="false">IF(AND($G24&lt;=9,$I24&gt;=7),"■","")</f>
        <v/>
      </c>
      <c r="Q24" s="286" t="str">
        <f aca="false">IF(AND($G24&lt;=12,$I24&gt;=10),"■","")</f>
        <v/>
      </c>
      <c r="R24" s="286" t="str">
        <f aca="false">IF(AND($G24&lt;=15,$I24&gt;=13),"■","")</f>
        <v/>
      </c>
      <c r="S24" s="286" t="str">
        <f aca="false">IF(AND($G24&lt;=18,$I24&gt;=16),"■","")</f>
        <v/>
      </c>
      <c r="T24" s="286" t="str">
        <f aca="false">IF(AND($G24&lt;=21,$I24&gt;=19),"■","")</f>
        <v/>
      </c>
      <c r="U24" s="286" t="str">
        <f aca="false">IF(AND($G24&lt;=24,$I24&gt;=22),"■","")</f>
        <v/>
      </c>
      <c r="V24" s="286" t="str">
        <f aca="false">IF(AND($G24&lt;=27,$I24&gt;=25),"■","")</f>
        <v/>
      </c>
      <c r="W24" s="286" t="str">
        <f aca="false">IF(AND($G24&lt;=30,$I24&gt;=28),"■","")</f>
        <v/>
      </c>
      <c r="X24" s="286" t="str">
        <f aca="false">IF(AND($G24&lt;=33,$I24&gt;=31),"■","")</f>
        <v/>
      </c>
      <c r="Y24" s="286" t="str">
        <f aca="false">IF(AND($G24&lt;=36,$I24&gt;=34),"■","")</f>
        <v/>
      </c>
      <c r="Z24" s="286" t="str">
        <f aca="false">IF(AND($G24&lt;=39,$I24&gt;=37),"■","")</f>
        <v/>
      </c>
      <c r="AA24" s="286" t="str">
        <f aca="false">IF(AND($G24&lt;=42,$I24&gt;=40),"■","")</f>
        <v/>
      </c>
      <c r="AB24" s="286" t="str">
        <f aca="false">IF(AND($G24&lt;=45,$I24&gt;=43),"■","")</f>
        <v/>
      </c>
      <c r="AC24" s="286" t="str">
        <f aca="false">IF(AND($G24&lt;=48,$I24&gt;=46),"■","")</f>
        <v/>
      </c>
      <c r="AD24" s="286" t="str">
        <f aca="false">IF(AND($G24&lt;=51,$I24&gt;=49),"■","")</f>
        <v>■</v>
      </c>
      <c r="AE24" s="286" t="str">
        <f aca="false">IF(AND($G24&lt;=54,$I24&gt;=52),"■","")</f>
        <v>■</v>
      </c>
      <c r="AF24" s="286" t="str">
        <f aca="false">IF(AND($G24&lt;=57,$I24&gt;=55),"■","")</f>
        <v>■</v>
      </c>
      <c r="AG24" s="286" t="str">
        <f aca="false">IF(AND($G24&lt;=60,$I24&gt;=58),"■","")</f>
        <v>■</v>
      </c>
    </row>
    <row r="25" customFormat="false" ht="25.5" hidden="false" customHeight="true" outlineLevel="0" collapsed="false">
      <c r="A25" s="59"/>
      <c r="B25" s="59"/>
      <c r="C25" s="52"/>
      <c r="D25" s="59"/>
      <c r="E25" s="52"/>
      <c r="F25" s="59"/>
      <c r="G25" s="59"/>
      <c r="H25" s="59"/>
      <c r="I25" s="55" t="str">
        <f aca="false">IF($G25="","",$G25+$H25-1)</f>
        <v/>
      </c>
      <c r="J25" s="60"/>
      <c r="K25" s="285"/>
      <c r="L25" s="52"/>
      <c r="M25" s="52"/>
      <c r="N25" s="286" t="str">
        <f aca="false">IF($G25="","",IF(AND($G25&lt;=3,$I25&gt;=1),"■",""))</f>
        <v/>
      </c>
      <c r="O25" s="286" t="str">
        <f aca="false">IF($G25="","",IF(AND($G25&lt;=6,$I25&gt;=4),"■",""))</f>
        <v/>
      </c>
      <c r="P25" s="286" t="str">
        <f aca="false">IF($G25="","",IF(AND($G25&lt;=9,$I25&gt;=7),"■",""))</f>
        <v/>
      </c>
      <c r="Q25" s="286" t="str">
        <f aca="false">IF($G25="","",IF(AND($G25&lt;=12,$I25&gt;=10),"■",""))</f>
        <v/>
      </c>
      <c r="R25" s="286" t="str">
        <f aca="false">IF($G25="","",IF(AND($G25&lt;=15,$I25&gt;=13),"■",""))</f>
        <v/>
      </c>
      <c r="S25" s="286" t="str">
        <f aca="false">IF($G25="","",IF(AND($G25&lt;=18,$I25&gt;=16),"■",""))</f>
        <v/>
      </c>
      <c r="T25" s="286" t="str">
        <f aca="false">IF($G25="","",IF(AND($G25&lt;=21,$I25&gt;=19),"■",""))</f>
        <v/>
      </c>
      <c r="U25" s="286" t="str">
        <f aca="false">IF($G25="","",IF(AND($G25&lt;=24,$I25&gt;=22),"■",""))</f>
        <v/>
      </c>
      <c r="V25" s="286" t="str">
        <f aca="false">IF($G25="","",IF(AND($G25&lt;=27,$I25&gt;=25),"■",""))</f>
        <v/>
      </c>
      <c r="W25" s="286" t="str">
        <f aca="false">IF($G25="","",IF(AND($G25&lt;=30,$I25&gt;=28),"■",""))</f>
        <v/>
      </c>
      <c r="X25" s="286" t="str">
        <f aca="false">IF($G25="","",IF(AND($G25&lt;=33,$I25&gt;=31),"■",""))</f>
        <v/>
      </c>
      <c r="Y25" s="286" t="str">
        <f aca="false">IF($G25="","",IF(AND($G25&lt;=36,$I25&gt;=34),"■",""))</f>
        <v/>
      </c>
      <c r="Z25" s="286" t="str">
        <f aca="false">IF($G25="","",IF(AND($G25&lt;=39,$I25&gt;=37),"■",""))</f>
        <v/>
      </c>
      <c r="AA25" s="286" t="str">
        <f aca="false">IF($G25="","",IF(AND($G25&lt;=42,$I25&gt;=40),"■",""))</f>
        <v/>
      </c>
      <c r="AB25" s="286" t="str">
        <f aca="false">IF($G25="","",IF(AND($G25&lt;=45,$I25&gt;=43),"■",""))</f>
        <v/>
      </c>
      <c r="AC25" s="286" t="str">
        <f aca="false">IF($G25="","",IF(AND($G25&lt;=48,$I25&gt;=46),"■",""))</f>
        <v/>
      </c>
      <c r="AD25" s="286" t="str">
        <f aca="false">IF($G25="","",IF(AND($G25&lt;=51,$I25&gt;=49),"■",""))</f>
        <v/>
      </c>
      <c r="AE25" s="286" t="str">
        <f aca="false">IF($G25="","",IF(AND($G25&lt;=54,$I25&gt;=52),"■",""))</f>
        <v/>
      </c>
      <c r="AF25" s="286" t="str">
        <f aca="false">IF($G25="","",IF(AND($G25&lt;=57,$I25&gt;=55),"■",""))</f>
        <v/>
      </c>
      <c r="AG25" s="286" t="str">
        <f aca="false">IF($G25="","",IF(AND($G25&lt;=60,$I25&gt;=58),"■",""))</f>
        <v/>
      </c>
    </row>
    <row r="26" customFormat="false" ht="25.5" hidden="false" customHeight="true" outlineLevel="0" collapsed="false">
      <c r="A26" s="59"/>
      <c r="B26" s="59"/>
      <c r="C26" s="52"/>
      <c r="D26" s="59"/>
      <c r="E26" s="52"/>
      <c r="F26" s="59"/>
      <c r="G26" s="59"/>
      <c r="H26" s="59"/>
      <c r="I26" s="55" t="str">
        <f aca="false">IF($G26="","",$G26+$H26-1)</f>
        <v/>
      </c>
      <c r="J26" s="60"/>
      <c r="K26" s="285"/>
      <c r="L26" s="52"/>
      <c r="M26" s="52"/>
      <c r="N26" s="286" t="str">
        <f aca="false">IF($G26="","",IF(AND($G26&lt;=3,$I26&gt;=1),"■",""))</f>
        <v/>
      </c>
      <c r="O26" s="286" t="str">
        <f aca="false">IF($G26="","",IF(AND($G26&lt;=6,$I26&gt;=4),"■",""))</f>
        <v/>
      </c>
      <c r="P26" s="286" t="str">
        <f aca="false">IF($G26="","",IF(AND($G26&lt;=9,$I26&gt;=7),"■",""))</f>
        <v/>
      </c>
      <c r="Q26" s="286" t="str">
        <f aca="false">IF($G26="","",IF(AND($G26&lt;=12,$I26&gt;=10),"■",""))</f>
        <v/>
      </c>
      <c r="R26" s="286" t="str">
        <f aca="false">IF($G26="","",IF(AND($G26&lt;=15,$I26&gt;=13),"■",""))</f>
        <v/>
      </c>
      <c r="S26" s="286" t="str">
        <f aca="false">IF($G26="","",IF(AND($G26&lt;=18,$I26&gt;=16),"■",""))</f>
        <v/>
      </c>
      <c r="T26" s="286" t="str">
        <f aca="false">IF($G26="","",IF(AND($G26&lt;=21,$I26&gt;=19),"■",""))</f>
        <v/>
      </c>
      <c r="U26" s="286" t="str">
        <f aca="false">IF($G26="","",IF(AND($G26&lt;=24,$I26&gt;=22),"■",""))</f>
        <v/>
      </c>
      <c r="V26" s="286" t="str">
        <f aca="false">IF($G26="","",IF(AND($G26&lt;=27,$I26&gt;=25),"■",""))</f>
        <v/>
      </c>
      <c r="W26" s="286" t="str">
        <f aca="false">IF($G26="","",IF(AND($G26&lt;=30,$I26&gt;=28),"■",""))</f>
        <v/>
      </c>
      <c r="X26" s="286" t="str">
        <f aca="false">IF($G26="","",IF(AND($G26&lt;=33,$I26&gt;=31),"■",""))</f>
        <v/>
      </c>
      <c r="Y26" s="286" t="str">
        <f aca="false">IF($G26="","",IF(AND($G26&lt;=36,$I26&gt;=34),"■",""))</f>
        <v/>
      </c>
      <c r="Z26" s="286" t="str">
        <f aca="false">IF($G26="","",IF(AND($G26&lt;=39,$I26&gt;=37),"■",""))</f>
        <v/>
      </c>
      <c r="AA26" s="286" t="str">
        <f aca="false">IF($G26="","",IF(AND($G26&lt;=42,$I26&gt;=40),"■",""))</f>
        <v/>
      </c>
      <c r="AB26" s="286" t="str">
        <f aca="false">IF($G26="","",IF(AND($G26&lt;=45,$I26&gt;=43),"■",""))</f>
        <v/>
      </c>
      <c r="AC26" s="286" t="str">
        <f aca="false">IF($G26="","",IF(AND($G26&lt;=48,$I26&gt;=46),"■",""))</f>
        <v/>
      </c>
      <c r="AD26" s="286" t="str">
        <f aca="false">IF($G26="","",IF(AND($G26&lt;=51,$I26&gt;=49),"■",""))</f>
        <v/>
      </c>
      <c r="AE26" s="286" t="str">
        <f aca="false">IF($G26="","",IF(AND($G26&lt;=54,$I26&gt;=52),"■",""))</f>
        <v/>
      </c>
      <c r="AF26" s="286" t="str">
        <f aca="false">IF($G26="","",IF(AND($G26&lt;=57,$I26&gt;=55),"■",""))</f>
        <v/>
      </c>
      <c r="AG26" s="286" t="str">
        <f aca="false">IF($G26="","",IF(AND($G26&lt;=60,$I26&gt;=58),"■",""))</f>
        <v/>
      </c>
    </row>
    <row r="27" customFormat="false" ht="25.5" hidden="false" customHeight="true" outlineLevel="0" collapsed="false">
      <c r="A27" s="59"/>
      <c r="B27" s="59"/>
      <c r="C27" s="52"/>
      <c r="D27" s="59"/>
      <c r="E27" s="52"/>
      <c r="F27" s="59"/>
      <c r="G27" s="59"/>
      <c r="H27" s="59"/>
      <c r="I27" s="55" t="str">
        <f aca="false">IF($G27="","",$G27+$H27-1)</f>
        <v/>
      </c>
      <c r="J27" s="60"/>
      <c r="K27" s="285"/>
      <c r="L27" s="52"/>
      <c r="M27" s="52"/>
      <c r="N27" s="286" t="str">
        <f aca="false">IF($G27="","",IF(AND($G27&lt;=3,$I27&gt;=1),"■",""))</f>
        <v/>
      </c>
      <c r="O27" s="286" t="str">
        <f aca="false">IF($G27="","",IF(AND($G27&lt;=6,$I27&gt;=4),"■",""))</f>
        <v/>
      </c>
      <c r="P27" s="286" t="str">
        <f aca="false">IF($G27="","",IF(AND($G27&lt;=9,$I27&gt;=7),"■",""))</f>
        <v/>
      </c>
      <c r="Q27" s="286" t="str">
        <f aca="false">IF($G27="","",IF(AND($G27&lt;=12,$I27&gt;=10),"■",""))</f>
        <v/>
      </c>
      <c r="R27" s="286" t="str">
        <f aca="false">IF($G27="","",IF(AND($G27&lt;=15,$I27&gt;=13),"■",""))</f>
        <v/>
      </c>
      <c r="S27" s="286" t="str">
        <f aca="false">IF($G27="","",IF(AND($G27&lt;=18,$I27&gt;=16),"■",""))</f>
        <v/>
      </c>
      <c r="T27" s="286" t="str">
        <f aca="false">IF($G27="","",IF(AND($G27&lt;=21,$I27&gt;=19),"■",""))</f>
        <v/>
      </c>
      <c r="U27" s="286" t="str">
        <f aca="false">IF($G27="","",IF(AND($G27&lt;=24,$I27&gt;=22),"■",""))</f>
        <v/>
      </c>
      <c r="V27" s="286" t="str">
        <f aca="false">IF($G27="","",IF(AND($G27&lt;=27,$I27&gt;=25),"■",""))</f>
        <v/>
      </c>
      <c r="W27" s="286" t="str">
        <f aca="false">IF($G27="","",IF(AND($G27&lt;=30,$I27&gt;=28),"■",""))</f>
        <v/>
      </c>
      <c r="X27" s="286" t="str">
        <f aca="false">IF($G27="","",IF(AND($G27&lt;=33,$I27&gt;=31),"■",""))</f>
        <v/>
      </c>
      <c r="Y27" s="286" t="str">
        <f aca="false">IF($G27="","",IF(AND($G27&lt;=36,$I27&gt;=34),"■",""))</f>
        <v/>
      </c>
      <c r="Z27" s="286" t="str">
        <f aca="false">IF($G27="","",IF(AND($G27&lt;=39,$I27&gt;=37),"■",""))</f>
        <v/>
      </c>
      <c r="AA27" s="286" t="str">
        <f aca="false">IF($G27="","",IF(AND($G27&lt;=42,$I27&gt;=40),"■",""))</f>
        <v/>
      </c>
      <c r="AB27" s="286" t="str">
        <f aca="false">IF($G27="","",IF(AND($G27&lt;=45,$I27&gt;=43),"■",""))</f>
        <v/>
      </c>
      <c r="AC27" s="286" t="str">
        <f aca="false">IF($G27="","",IF(AND($G27&lt;=48,$I27&gt;=46),"■",""))</f>
        <v/>
      </c>
      <c r="AD27" s="286" t="str">
        <f aca="false">IF($G27="","",IF(AND($G27&lt;=51,$I27&gt;=49),"■",""))</f>
        <v/>
      </c>
      <c r="AE27" s="286" t="str">
        <f aca="false">IF($G27="","",IF(AND($G27&lt;=54,$I27&gt;=52),"■",""))</f>
        <v/>
      </c>
      <c r="AF27" s="286" t="str">
        <f aca="false">IF($G27="","",IF(AND($G27&lt;=57,$I27&gt;=55),"■",""))</f>
        <v/>
      </c>
      <c r="AG27" s="286" t="str">
        <f aca="false">IF($G27="","",IF(AND($G27&lt;=60,$I27&gt;=58),"■",""))</f>
        <v/>
      </c>
    </row>
    <row r="28" customFormat="false" ht="25.5" hidden="false" customHeight="true" outlineLevel="0" collapsed="false">
      <c r="A28" s="59"/>
      <c r="B28" s="59"/>
      <c r="C28" s="52"/>
      <c r="D28" s="59"/>
      <c r="E28" s="52"/>
      <c r="F28" s="59"/>
      <c r="G28" s="59"/>
      <c r="H28" s="59"/>
      <c r="I28" s="55" t="str">
        <f aca="false">IF($G28="","",$G28+$H28-1)</f>
        <v/>
      </c>
      <c r="J28" s="60"/>
      <c r="K28" s="285"/>
      <c r="L28" s="52"/>
      <c r="M28" s="52"/>
      <c r="N28" s="286" t="str">
        <f aca="false">IF($G28="","",IF(AND($G28&lt;=3,$I28&gt;=1),"■",""))</f>
        <v/>
      </c>
      <c r="O28" s="286" t="str">
        <f aca="false">IF($G28="","",IF(AND($G28&lt;=6,$I28&gt;=4),"■",""))</f>
        <v/>
      </c>
      <c r="P28" s="286" t="str">
        <f aca="false">IF($G28="","",IF(AND($G28&lt;=9,$I28&gt;=7),"■",""))</f>
        <v/>
      </c>
      <c r="Q28" s="286" t="str">
        <f aca="false">IF($G28="","",IF(AND($G28&lt;=12,$I28&gt;=10),"■",""))</f>
        <v/>
      </c>
      <c r="R28" s="286" t="str">
        <f aca="false">IF($G28="","",IF(AND($G28&lt;=15,$I28&gt;=13),"■",""))</f>
        <v/>
      </c>
      <c r="S28" s="286" t="str">
        <f aca="false">IF($G28="","",IF(AND($G28&lt;=18,$I28&gt;=16),"■",""))</f>
        <v/>
      </c>
      <c r="T28" s="286" t="str">
        <f aca="false">IF($G28="","",IF(AND($G28&lt;=21,$I28&gt;=19),"■",""))</f>
        <v/>
      </c>
      <c r="U28" s="286" t="str">
        <f aca="false">IF($G28="","",IF(AND($G28&lt;=24,$I28&gt;=22),"■",""))</f>
        <v/>
      </c>
      <c r="V28" s="286" t="str">
        <f aca="false">IF($G28="","",IF(AND($G28&lt;=27,$I28&gt;=25),"■",""))</f>
        <v/>
      </c>
      <c r="W28" s="286" t="str">
        <f aca="false">IF($G28="","",IF(AND($G28&lt;=30,$I28&gt;=28),"■",""))</f>
        <v/>
      </c>
      <c r="X28" s="286" t="str">
        <f aca="false">IF($G28="","",IF(AND($G28&lt;=33,$I28&gt;=31),"■",""))</f>
        <v/>
      </c>
      <c r="Y28" s="286" t="str">
        <f aca="false">IF($G28="","",IF(AND($G28&lt;=36,$I28&gt;=34),"■",""))</f>
        <v/>
      </c>
      <c r="Z28" s="286" t="str">
        <f aca="false">IF($G28="","",IF(AND($G28&lt;=39,$I28&gt;=37),"■",""))</f>
        <v/>
      </c>
      <c r="AA28" s="286" t="str">
        <f aca="false">IF($G28="","",IF(AND($G28&lt;=42,$I28&gt;=40),"■",""))</f>
        <v/>
      </c>
      <c r="AB28" s="286" t="str">
        <f aca="false">IF($G28="","",IF(AND($G28&lt;=45,$I28&gt;=43),"■",""))</f>
        <v/>
      </c>
      <c r="AC28" s="286" t="str">
        <f aca="false">IF($G28="","",IF(AND($G28&lt;=48,$I28&gt;=46),"■",""))</f>
        <v/>
      </c>
      <c r="AD28" s="286" t="str">
        <f aca="false">IF($G28="","",IF(AND($G28&lt;=51,$I28&gt;=49),"■",""))</f>
        <v/>
      </c>
      <c r="AE28" s="286" t="str">
        <f aca="false">IF($G28="","",IF(AND($G28&lt;=54,$I28&gt;=52),"■",""))</f>
        <v/>
      </c>
      <c r="AF28" s="286" t="str">
        <f aca="false">IF($G28="","",IF(AND($G28&lt;=57,$I28&gt;=55),"■",""))</f>
        <v/>
      </c>
      <c r="AG28" s="286" t="str">
        <f aca="false">IF($G28="","",IF(AND($G28&lt;=60,$I28&gt;=58),"■",""))</f>
        <v/>
      </c>
    </row>
    <row r="29" customFormat="false" ht="25.5" hidden="false" customHeight="true" outlineLevel="0" collapsed="false">
      <c r="A29" s="59"/>
      <c r="B29" s="59"/>
      <c r="C29" s="52"/>
      <c r="D29" s="59"/>
      <c r="E29" s="52"/>
      <c r="F29" s="59"/>
      <c r="G29" s="59"/>
      <c r="H29" s="59"/>
      <c r="I29" s="55" t="str">
        <f aca="false">IF($G29="","",$G29+$H29-1)</f>
        <v/>
      </c>
      <c r="J29" s="60"/>
      <c r="K29" s="285"/>
      <c r="L29" s="52"/>
      <c r="M29" s="52"/>
      <c r="N29" s="286" t="str">
        <f aca="false">IF($G29="","",IF(AND($G29&lt;=3,$I29&gt;=1),"■",""))</f>
        <v/>
      </c>
      <c r="O29" s="286" t="str">
        <f aca="false">IF($G29="","",IF(AND($G29&lt;=6,$I29&gt;=4),"■",""))</f>
        <v/>
      </c>
      <c r="P29" s="286" t="str">
        <f aca="false">IF($G29="","",IF(AND($G29&lt;=9,$I29&gt;=7),"■",""))</f>
        <v/>
      </c>
      <c r="Q29" s="286" t="str">
        <f aca="false">IF($G29="","",IF(AND($G29&lt;=12,$I29&gt;=10),"■",""))</f>
        <v/>
      </c>
      <c r="R29" s="286" t="str">
        <f aca="false">IF($G29="","",IF(AND($G29&lt;=15,$I29&gt;=13),"■",""))</f>
        <v/>
      </c>
      <c r="S29" s="286" t="str">
        <f aca="false">IF($G29="","",IF(AND($G29&lt;=18,$I29&gt;=16),"■",""))</f>
        <v/>
      </c>
      <c r="T29" s="286" t="str">
        <f aca="false">IF($G29="","",IF(AND($G29&lt;=21,$I29&gt;=19),"■",""))</f>
        <v/>
      </c>
      <c r="U29" s="286" t="str">
        <f aca="false">IF($G29="","",IF(AND($G29&lt;=24,$I29&gt;=22),"■",""))</f>
        <v/>
      </c>
      <c r="V29" s="286" t="str">
        <f aca="false">IF($G29="","",IF(AND($G29&lt;=27,$I29&gt;=25),"■",""))</f>
        <v/>
      </c>
      <c r="W29" s="286" t="str">
        <f aca="false">IF($G29="","",IF(AND($G29&lt;=30,$I29&gt;=28),"■",""))</f>
        <v/>
      </c>
      <c r="X29" s="286" t="str">
        <f aca="false">IF($G29="","",IF(AND($G29&lt;=33,$I29&gt;=31),"■",""))</f>
        <v/>
      </c>
      <c r="Y29" s="286" t="str">
        <f aca="false">IF($G29="","",IF(AND($G29&lt;=36,$I29&gt;=34),"■",""))</f>
        <v/>
      </c>
      <c r="Z29" s="286" t="str">
        <f aca="false">IF($G29="","",IF(AND($G29&lt;=39,$I29&gt;=37),"■",""))</f>
        <v/>
      </c>
      <c r="AA29" s="286" t="str">
        <f aca="false">IF($G29="","",IF(AND($G29&lt;=42,$I29&gt;=40),"■",""))</f>
        <v/>
      </c>
      <c r="AB29" s="286" t="str">
        <f aca="false">IF($G29="","",IF(AND($G29&lt;=45,$I29&gt;=43),"■",""))</f>
        <v/>
      </c>
      <c r="AC29" s="286" t="str">
        <f aca="false">IF($G29="","",IF(AND($G29&lt;=48,$I29&gt;=46),"■",""))</f>
        <v/>
      </c>
      <c r="AD29" s="286" t="str">
        <f aca="false">IF($G29="","",IF(AND($G29&lt;=51,$I29&gt;=49),"■",""))</f>
        <v/>
      </c>
      <c r="AE29" s="286" t="str">
        <f aca="false">IF($G29="","",IF(AND($G29&lt;=54,$I29&gt;=52),"■",""))</f>
        <v/>
      </c>
      <c r="AF29" s="286" t="str">
        <f aca="false">IF($G29="","",IF(AND($G29&lt;=57,$I29&gt;=55),"■",""))</f>
        <v/>
      </c>
      <c r="AG29" s="286" t="str">
        <f aca="false">IF($G29="","",IF(AND($G29&lt;=60,$I29&gt;=58),"■",""))</f>
        <v/>
      </c>
    </row>
    <row r="30" customFormat="false" ht="25.5" hidden="false" customHeight="true" outlineLevel="0" collapsed="false">
      <c r="A30" s="59"/>
      <c r="B30" s="59"/>
      <c r="C30" s="52"/>
      <c r="D30" s="59"/>
      <c r="E30" s="52"/>
      <c r="F30" s="59"/>
      <c r="G30" s="59"/>
      <c r="H30" s="59"/>
      <c r="I30" s="55" t="str">
        <f aca="false">IF($G30="","",$G30+$H30-1)</f>
        <v/>
      </c>
      <c r="J30" s="60"/>
      <c r="K30" s="285"/>
      <c r="L30" s="52"/>
      <c r="M30" s="52"/>
      <c r="N30" s="286" t="str">
        <f aca="false">IF($G30="","",IF(AND($G30&lt;=3,$I30&gt;=1),"■",""))</f>
        <v/>
      </c>
      <c r="O30" s="286" t="str">
        <f aca="false">IF($G30="","",IF(AND($G30&lt;=6,$I30&gt;=4),"■",""))</f>
        <v/>
      </c>
      <c r="P30" s="286" t="str">
        <f aca="false">IF($G30="","",IF(AND($G30&lt;=9,$I30&gt;=7),"■",""))</f>
        <v/>
      </c>
      <c r="Q30" s="286" t="str">
        <f aca="false">IF($G30="","",IF(AND($G30&lt;=12,$I30&gt;=10),"■",""))</f>
        <v/>
      </c>
      <c r="R30" s="286" t="str">
        <f aca="false">IF($G30="","",IF(AND($G30&lt;=15,$I30&gt;=13),"■",""))</f>
        <v/>
      </c>
      <c r="S30" s="286" t="str">
        <f aca="false">IF($G30="","",IF(AND($G30&lt;=18,$I30&gt;=16),"■",""))</f>
        <v/>
      </c>
      <c r="T30" s="286" t="str">
        <f aca="false">IF($G30="","",IF(AND($G30&lt;=21,$I30&gt;=19),"■",""))</f>
        <v/>
      </c>
      <c r="U30" s="286" t="str">
        <f aca="false">IF($G30="","",IF(AND($G30&lt;=24,$I30&gt;=22),"■",""))</f>
        <v/>
      </c>
      <c r="V30" s="286" t="str">
        <f aca="false">IF($G30="","",IF(AND($G30&lt;=27,$I30&gt;=25),"■",""))</f>
        <v/>
      </c>
      <c r="W30" s="286" t="str">
        <f aca="false">IF($G30="","",IF(AND($G30&lt;=30,$I30&gt;=28),"■",""))</f>
        <v/>
      </c>
      <c r="X30" s="286" t="str">
        <f aca="false">IF($G30="","",IF(AND($G30&lt;=33,$I30&gt;=31),"■",""))</f>
        <v/>
      </c>
      <c r="Y30" s="286" t="str">
        <f aca="false">IF($G30="","",IF(AND($G30&lt;=36,$I30&gt;=34),"■",""))</f>
        <v/>
      </c>
      <c r="Z30" s="286" t="str">
        <f aca="false">IF($G30="","",IF(AND($G30&lt;=39,$I30&gt;=37),"■",""))</f>
        <v/>
      </c>
      <c r="AA30" s="286" t="str">
        <f aca="false">IF($G30="","",IF(AND($G30&lt;=42,$I30&gt;=40),"■",""))</f>
        <v/>
      </c>
      <c r="AB30" s="286" t="str">
        <f aca="false">IF($G30="","",IF(AND($G30&lt;=45,$I30&gt;=43),"■",""))</f>
        <v/>
      </c>
      <c r="AC30" s="286" t="str">
        <f aca="false">IF($G30="","",IF(AND($G30&lt;=48,$I30&gt;=46),"■",""))</f>
        <v/>
      </c>
      <c r="AD30" s="286" t="str">
        <f aca="false">IF($G30="","",IF(AND($G30&lt;=51,$I30&gt;=49),"■",""))</f>
        <v/>
      </c>
      <c r="AE30" s="286" t="str">
        <f aca="false">IF($G30="","",IF(AND($G30&lt;=54,$I30&gt;=52),"■",""))</f>
        <v/>
      </c>
      <c r="AF30" s="286" t="str">
        <f aca="false">IF($G30="","",IF(AND($G30&lt;=57,$I30&gt;=55),"■",""))</f>
        <v/>
      </c>
      <c r="AG30" s="286" t="str">
        <f aca="false">IF($G30="","",IF(AND($G30&lt;=60,$I30&gt;=58),"■",""))</f>
        <v/>
      </c>
    </row>
    <row r="31" customFormat="false" ht="25.5" hidden="false" customHeight="true" outlineLevel="0" collapsed="false">
      <c r="A31" s="59"/>
      <c r="B31" s="59"/>
      <c r="C31" s="52"/>
      <c r="D31" s="59"/>
      <c r="E31" s="52"/>
      <c r="F31" s="59"/>
      <c r="G31" s="59"/>
      <c r="H31" s="59"/>
      <c r="I31" s="55" t="str">
        <f aca="false">IF($G31="","",$G31+$H31-1)</f>
        <v/>
      </c>
      <c r="J31" s="60"/>
      <c r="K31" s="285"/>
      <c r="L31" s="52"/>
      <c r="M31" s="52"/>
      <c r="N31" s="286" t="str">
        <f aca="false">IF($G31="","",IF(AND($G31&lt;=3,$I31&gt;=1),"■",""))</f>
        <v/>
      </c>
      <c r="O31" s="286" t="str">
        <f aca="false">IF($G31="","",IF(AND($G31&lt;=6,$I31&gt;=4),"■",""))</f>
        <v/>
      </c>
      <c r="P31" s="286" t="str">
        <f aca="false">IF($G31="","",IF(AND($G31&lt;=9,$I31&gt;=7),"■",""))</f>
        <v/>
      </c>
      <c r="Q31" s="286" t="str">
        <f aca="false">IF($G31="","",IF(AND($G31&lt;=12,$I31&gt;=10),"■",""))</f>
        <v/>
      </c>
      <c r="R31" s="286" t="str">
        <f aca="false">IF($G31="","",IF(AND($G31&lt;=15,$I31&gt;=13),"■",""))</f>
        <v/>
      </c>
      <c r="S31" s="286" t="str">
        <f aca="false">IF($G31="","",IF(AND($G31&lt;=18,$I31&gt;=16),"■",""))</f>
        <v/>
      </c>
      <c r="T31" s="286" t="str">
        <f aca="false">IF($G31="","",IF(AND($G31&lt;=21,$I31&gt;=19),"■",""))</f>
        <v/>
      </c>
      <c r="U31" s="286" t="str">
        <f aca="false">IF($G31="","",IF(AND($G31&lt;=24,$I31&gt;=22),"■",""))</f>
        <v/>
      </c>
      <c r="V31" s="286" t="str">
        <f aca="false">IF($G31="","",IF(AND($G31&lt;=27,$I31&gt;=25),"■",""))</f>
        <v/>
      </c>
      <c r="W31" s="286" t="str">
        <f aca="false">IF($G31="","",IF(AND($G31&lt;=30,$I31&gt;=28),"■",""))</f>
        <v/>
      </c>
      <c r="X31" s="286" t="str">
        <f aca="false">IF($G31="","",IF(AND($G31&lt;=33,$I31&gt;=31),"■",""))</f>
        <v/>
      </c>
      <c r="Y31" s="286" t="str">
        <f aca="false">IF($G31="","",IF(AND($G31&lt;=36,$I31&gt;=34),"■",""))</f>
        <v/>
      </c>
      <c r="Z31" s="286" t="str">
        <f aca="false">IF($G31="","",IF(AND($G31&lt;=39,$I31&gt;=37),"■",""))</f>
        <v/>
      </c>
      <c r="AA31" s="286" t="str">
        <f aca="false">IF($G31="","",IF(AND($G31&lt;=42,$I31&gt;=40),"■",""))</f>
        <v/>
      </c>
      <c r="AB31" s="286" t="str">
        <f aca="false">IF($G31="","",IF(AND($G31&lt;=45,$I31&gt;=43),"■",""))</f>
        <v/>
      </c>
      <c r="AC31" s="286" t="str">
        <f aca="false">IF($G31="","",IF(AND($G31&lt;=48,$I31&gt;=46),"■",""))</f>
        <v/>
      </c>
      <c r="AD31" s="286" t="str">
        <f aca="false">IF($G31="","",IF(AND($G31&lt;=51,$I31&gt;=49),"■",""))</f>
        <v/>
      </c>
      <c r="AE31" s="286" t="str">
        <f aca="false">IF($G31="","",IF(AND($G31&lt;=54,$I31&gt;=52),"■",""))</f>
        <v/>
      </c>
      <c r="AF31" s="286" t="str">
        <f aca="false">IF($G31="","",IF(AND($G31&lt;=57,$I31&gt;=55),"■",""))</f>
        <v/>
      </c>
      <c r="AG31" s="286" t="str">
        <f aca="false">IF($G31="","",IF(AND($G31&lt;=60,$I31&gt;=58),"■",""))</f>
        <v/>
      </c>
    </row>
    <row r="32" customFormat="false" ht="25.5" hidden="false" customHeight="true" outlineLevel="0" collapsed="false">
      <c r="A32" s="59"/>
      <c r="B32" s="59"/>
      <c r="C32" s="52"/>
      <c r="D32" s="59"/>
      <c r="E32" s="52"/>
      <c r="F32" s="59"/>
      <c r="G32" s="59"/>
      <c r="H32" s="59"/>
      <c r="I32" s="55" t="str">
        <f aca="false">IF($G32="","",$G32+$H32-1)</f>
        <v/>
      </c>
      <c r="J32" s="60"/>
      <c r="K32" s="285"/>
      <c r="L32" s="52"/>
      <c r="M32" s="52"/>
      <c r="N32" s="286" t="str">
        <f aca="false">IF($G32="","",IF(AND($G32&lt;=3,$I32&gt;=1),"■",""))</f>
        <v/>
      </c>
      <c r="O32" s="286" t="str">
        <f aca="false">IF($G32="","",IF(AND($G32&lt;=6,$I32&gt;=4),"■",""))</f>
        <v/>
      </c>
      <c r="P32" s="286" t="str">
        <f aca="false">IF($G32="","",IF(AND($G32&lt;=9,$I32&gt;=7),"■",""))</f>
        <v/>
      </c>
      <c r="Q32" s="286" t="str">
        <f aca="false">IF($G32="","",IF(AND($G32&lt;=12,$I32&gt;=10),"■",""))</f>
        <v/>
      </c>
      <c r="R32" s="286" t="str">
        <f aca="false">IF($G32="","",IF(AND($G32&lt;=15,$I32&gt;=13),"■",""))</f>
        <v/>
      </c>
      <c r="S32" s="286" t="str">
        <f aca="false">IF($G32="","",IF(AND($G32&lt;=18,$I32&gt;=16),"■",""))</f>
        <v/>
      </c>
      <c r="T32" s="286" t="str">
        <f aca="false">IF($G32="","",IF(AND($G32&lt;=21,$I32&gt;=19),"■",""))</f>
        <v/>
      </c>
      <c r="U32" s="286" t="str">
        <f aca="false">IF($G32="","",IF(AND($G32&lt;=24,$I32&gt;=22),"■",""))</f>
        <v/>
      </c>
      <c r="V32" s="286" t="str">
        <f aca="false">IF($G32="","",IF(AND($G32&lt;=27,$I32&gt;=25),"■",""))</f>
        <v/>
      </c>
      <c r="W32" s="286" t="str">
        <f aca="false">IF($G32="","",IF(AND($G32&lt;=30,$I32&gt;=28),"■",""))</f>
        <v/>
      </c>
      <c r="X32" s="286" t="str">
        <f aca="false">IF($G32="","",IF(AND($G32&lt;=33,$I32&gt;=31),"■",""))</f>
        <v/>
      </c>
      <c r="Y32" s="286" t="str">
        <f aca="false">IF($G32="","",IF(AND($G32&lt;=36,$I32&gt;=34),"■",""))</f>
        <v/>
      </c>
      <c r="Z32" s="286" t="str">
        <f aca="false">IF($G32="","",IF(AND($G32&lt;=39,$I32&gt;=37),"■",""))</f>
        <v/>
      </c>
      <c r="AA32" s="286" t="str">
        <f aca="false">IF($G32="","",IF(AND($G32&lt;=42,$I32&gt;=40),"■",""))</f>
        <v/>
      </c>
      <c r="AB32" s="286" t="str">
        <f aca="false">IF($G32="","",IF(AND($G32&lt;=45,$I32&gt;=43),"■",""))</f>
        <v/>
      </c>
      <c r="AC32" s="286" t="str">
        <f aca="false">IF($G32="","",IF(AND($G32&lt;=48,$I32&gt;=46),"■",""))</f>
        <v/>
      </c>
      <c r="AD32" s="286" t="str">
        <f aca="false">IF($G32="","",IF(AND($G32&lt;=51,$I32&gt;=49),"■",""))</f>
        <v/>
      </c>
      <c r="AE32" s="286" t="str">
        <f aca="false">IF($G32="","",IF(AND($G32&lt;=54,$I32&gt;=52),"■",""))</f>
        <v/>
      </c>
      <c r="AF32" s="286" t="str">
        <f aca="false">IF($G32="","",IF(AND($G32&lt;=57,$I32&gt;=55),"■",""))</f>
        <v/>
      </c>
      <c r="AG32" s="286" t="str">
        <f aca="false">IF($G32="","",IF(AND($G32&lt;=60,$I32&gt;=58),"■",""))</f>
        <v/>
      </c>
    </row>
  </sheetData>
  <sheetProtection sheet="true" formatColumns="false" formatRows="false" autoFilter="false"/>
  <mergeCells count="2">
    <mergeCell ref="A1:AG1"/>
    <mergeCell ref="A2:AG2"/>
  </mergeCells>
  <conditionalFormatting sqref="N5:AG32">
    <cfRule type="cellIs" priority="2" operator="equal" aboveAverage="0" equalAverage="0" bottom="0" percent="0" rank="0" text="" dxfId="71">
      <formula>"■"</formula>
    </cfRule>
  </conditionalFormatting>
  <conditionalFormatting sqref="J5:J32">
    <cfRule type="expression" priority="3" aboveAverage="0" equalAverage="0" bottom="0" percent="0" rank="0" text="" dxfId="33">
      <formula>ISNUMBER(SEARCH("進行中",J5))</formula>
    </cfRule>
    <cfRule type="expression" priority="4" aboveAverage="0" equalAverage="0" bottom="0" percent="0" rank="0" text="" dxfId="70">
      <formula>ISNUMBER(SEARCH("完成",J5))</formula>
    </cfRule>
    <cfRule type="expression" priority="5" aboveAverage="0" equalAverage="0" bottom="0" percent="0" rank="0" text="" dxfId="32">
      <formula>ISNUMBER(SEARCH("延遲",J5))</formula>
    </cfRule>
  </conditionalFormatting>
  <dataValidations count="3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B5:B32" type="list">
      <formula1>L_Stage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D5:D32" type="list">
      <formula1>L_Lead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J5:J32" type="list">
      <formula1>L_WP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44"/>
    <col collapsed="false" customWidth="true" hidden="false" outlineLevel="0" max="8" min="5" style="0" width="8"/>
    <col collapsed="false" customWidth="true" hidden="false" outlineLevel="0" max="9" min="9" style="0" width="34"/>
  </cols>
  <sheetData>
    <row r="1" customFormat="false" ht="30" hidden="false" customHeight="true" outlineLevel="0" collapsed="false">
      <c r="A1" s="1" t="s">
        <v>2536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4" t="s">
        <v>2537</v>
      </c>
      <c r="B2" s="4"/>
      <c r="C2" s="4"/>
      <c r="D2" s="4"/>
      <c r="E2" s="4"/>
      <c r="F2" s="4"/>
      <c r="G2" s="4"/>
      <c r="H2" s="4"/>
      <c r="I2" s="4"/>
    </row>
    <row r="3" customFormat="false" ht="15" hidden="false" customHeight="false" outlineLevel="0" collapsed="false">
      <c r="A3" s="5" t="s">
        <v>946</v>
      </c>
    </row>
    <row r="4" customFormat="false" ht="17.15" hidden="false" customHeight="false" outlineLevel="0" collapsed="false">
      <c r="A4" s="35" t="s">
        <v>2538</v>
      </c>
    </row>
    <row r="5" customFormat="false" ht="19.5" hidden="false" customHeight="true" outlineLevel="0" collapsed="false">
      <c r="A5" s="36" t="s">
        <v>2539</v>
      </c>
      <c r="B5" s="36" t="s">
        <v>2540</v>
      </c>
      <c r="C5" s="36" t="s">
        <v>2541</v>
      </c>
      <c r="D5" s="36" t="s">
        <v>2542</v>
      </c>
    </row>
    <row r="6" customFormat="false" ht="15" hidden="false" customHeight="false" outlineLevel="0" collapsed="false">
      <c r="A6" s="244" t="s">
        <v>2543</v>
      </c>
      <c r="B6" s="245" t="n">
        <v>300</v>
      </c>
      <c r="C6" s="258" t="s">
        <v>2544</v>
      </c>
      <c r="D6" s="246" t="s">
        <v>2545</v>
      </c>
    </row>
    <row r="7" customFormat="false" ht="26.85" hidden="false" customHeight="false" outlineLevel="0" collapsed="false">
      <c r="A7" s="244" t="s">
        <v>2546</v>
      </c>
      <c r="B7" s="245" t="n">
        <v>50</v>
      </c>
      <c r="C7" s="258" t="s">
        <v>2547</v>
      </c>
      <c r="D7" s="246" t="s">
        <v>2548</v>
      </c>
    </row>
    <row r="8" customFormat="false" ht="15" hidden="false" customHeight="false" outlineLevel="0" collapsed="false">
      <c r="A8" s="244" t="s">
        <v>2549</v>
      </c>
      <c r="B8" s="287" t="n">
        <f aca="false">B6*B7</f>
        <v>15000</v>
      </c>
      <c r="C8" s="258" t="s">
        <v>2550</v>
      </c>
      <c r="D8" s="246" t="s">
        <v>2551</v>
      </c>
    </row>
    <row r="9" customFormat="false" ht="29.85" hidden="false" customHeight="false" outlineLevel="0" collapsed="false">
      <c r="A9" s="244" t="s">
        <v>2552</v>
      </c>
      <c r="B9" s="245" t="n">
        <v>1460</v>
      </c>
      <c r="C9" s="258" t="s">
        <v>2553</v>
      </c>
      <c r="D9" s="288" t="s">
        <v>2554</v>
      </c>
    </row>
    <row r="10" customFormat="false" ht="26.85" hidden="false" customHeight="false" outlineLevel="0" collapsed="false">
      <c r="A10" s="244" t="s">
        <v>2555</v>
      </c>
      <c r="B10" s="245"/>
      <c r="C10" s="258" t="s">
        <v>2556</v>
      </c>
      <c r="D10" s="289" t="s">
        <v>2557</v>
      </c>
    </row>
    <row r="11" customFormat="false" ht="26.85" hidden="false" customHeight="false" outlineLevel="0" collapsed="false">
      <c r="A11" s="244" t="s">
        <v>2558</v>
      </c>
      <c r="B11" s="245"/>
      <c r="C11" s="258" t="s">
        <v>2559</v>
      </c>
      <c r="D11" s="246" t="s">
        <v>2560</v>
      </c>
    </row>
    <row r="12" customFormat="false" ht="29.85" hidden="false" customHeight="false" outlineLevel="0" collapsed="false">
      <c r="A12" s="244" t="s">
        <v>2561</v>
      </c>
      <c r="B12" s="245"/>
      <c r="C12" s="258" t="s">
        <v>2562</v>
      </c>
      <c r="D12" s="246" t="s">
        <v>2563</v>
      </c>
    </row>
    <row r="13" customFormat="false" ht="15" hidden="false" customHeight="false" outlineLevel="0" collapsed="false">
      <c r="A13" s="244" t="s">
        <v>2564</v>
      </c>
      <c r="B13" s="245" t="n">
        <v>0.15</v>
      </c>
      <c r="C13" s="258" t="s">
        <v>2565</v>
      </c>
      <c r="D13" s="246" t="s">
        <v>2566</v>
      </c>
    </row>
    <row r="14" customFormat="false" ht="15" hidden="false" customHeight="false" outlineLevel="0" collapsed="false">
      <c r="A14" s="244" t="s">
        <v>2567</v>
      </c>
      <c r="B14" s="245" t="n">
        <v>10</v>
      </c>
      <c r="C14" s="258" t="s">
        <v>2568</v>
      </c>
      <c r="D14" s="246" t="s">
        <v>2569</v>
      </c>
    </row>
    <row r="16" customFormat="false" ht="17.15" hidden="false" customHeight="false" outlineLevel="0" collapsed="false">
      <c r="A16" s="35" t="s">
        <v>2570</v>
      </c>
    </row>
    <row r="17" customFormat="false" ht="19.5" hidden="false" customHeight="true" outlineLevel="0" collapsed="false">
      <c r="A17" s="36" t="s">
        <v>2571</v>
      </c>
      <c r="B17" s="36" t="s">
        <v>2572</v>
      </c>
      <c r="D17" s="36" t="s">
        <v>2573</v>
      </c>
    </row>
    <row r="18" customFormat="false" ht="26.85" hidden="false" customHeight="false" outlineLevel="0" collapsed="false">
      <c r="A18" s="290" t="s">
        <v>2574</v>
      </c>
      <c r="B18" s="291" t="n">
        <f aca="false">IF(B9="","",B8*B9)</f>
        <v>21900000</v>
      </c>
      <c r="D18" s="289" t="s">
        <v>2575</v>
      </c>
    </row>
    <row r="19" customFormat="false" ht="15" hidden="false" customHeight="false" outlineLevel="0" collapsed="false">
      <c r="A19" s="290" t="s">
        <v>2576</v>
      </c>
      <c r="B19" s="291" t="str">
        <f aca="false">IF(B10="","",B6*B10)</f>
        <v/>
      </c>
      <c r="D19" s="289" t="s">
        <v>2577</v>
      </c>
    </row>
    <row r="20" customFormat="false" ht="15" hidden="false" customHeight="false" outlineLevel="0" collapsed="false">
      <c r="A20" s="290" t="s">
        <v>2578</v>
      </c>
      <c r="B20" s="291" t="str">
        <f aca="false">IF(OR(B18="",B11=""),"",B18*B11)</f>
        <v/>
      </c>
      <c r="D20" s="289" t="s">
        <v>2579</v>
      </c>
    </row>
    <row r="21" customFormat="false" ht="15" hidden="false" customHeight="false" outlineLevel="0" collapsed="false">
      <c r="A21" s="290" t="s">
        <v>2580</v>
      </c>
      <c r="B21" s="291" t="str">
        <f aca="false">IF(B12="","",B12)</f>
        <v/>
      </c>
      <c r="D21" s="289" t="s">
        <v>2581</v>
      </c>
    </row>
    <row r="22" customFormat="false" ht="15" hidden="false" customHeight="false" outlineLevel="0" collapsed="false">
      <c r="A22" s="290" t="s">
        <v>2582</v>
      </c>
      <c r="B22" s="291" t="str">
        <f aca="false">IF(COUNTA(B9:B12)&lt;4,"",SUM(B18:B21))</f>
        <v/>
      </c>
      <c r="D22" s="289" t="s">
        <v>2583</v>
      </c>
    </row>
    <row r="23" customFormat="false" ht="15" hidden="false" customHeight="false" outlineLevel="0" collapsed="false">
      <c r="A23" s="290" t="s">
        <v>2584</v>
      </c>
      <c r="B23" s="291" t="str">
        <f aca="false">IF(B22="","",B22*B13)</f>
        <v/>
      </c>
      <c r="D23" s="289" t="s">
        <v>2585</v>
      </c>
    </row>
    <row r="24" customFormat="false" ht="15" hidden="false" customHeight="false" outlineLevel="0" collapsed="false">
      <c r="A24" s="292" t="s">
        <v>2586</v>
      </c>
      <c r="B24" s="293" t="str">
        <f aca="false">IF(B22="","",B22+B23)</f>
        <v/>
      </c>
      <c r="D24" s="289" t="s">
        <v>2587</v>
      </c>
    </row>
    <row r="26" customFormat="false" ht="17.15" hidden="false" customHeight="false" outlineLevel="0" collapsed="false">
      <c r="A26" s="35" t="s">
        <v>2588</v>
      </c>
    </row>
    <row r="27" customFormat="false" ht="27.75" hidden="false" customHeight="true" outlineLevel="0" collapsed="false">
      <c r="A27" s="36" t="s">
        <v>2589</v>
      </c>
      <c r="B27" s="36" t="s">
        <v>2590</v>
      </c>
      <c r="C27" s="36" t="s">
        <v>2591</v>
      </c>
      <c r="D27" s="36" t="s">
        <v>2592</v>
      </c>
      <c r="E27" s="36" t="s">
        <v>2593</v>
      </c>
      <c r="F27" s="36" t="s">
        <v>2594</v>
      </c>
      <c r="G27" s="36" t="s">
        <v>2595</v>
      </c>
      <c r="H27" s="36" t="s">
        <v>2596</v>
      </c>
      <c r="I27" s="36" t="s">
        <v>2597</v>
      </c>
    </row>
    <row r="28" customFormat="false" ht="15" hidden="false" customHeight="false" outlineLevel="0" collapsed="false">
      <c r="A28" s="172" t="s">
        <v>2598</v>
      </c>
      <c r="B28" s="255" t="n">
        <v>5</v>
      </c>
      <c r="C28" s="255" t="n">
        <v>3</v>
      </c>
      <c r="D28" s="275" t="n">
        <f aca="false">ROUND(AVERAGE(B28:C28,E28:H28),1)</f>
        <v>2.8</v>
      </c>
      <c r="E28" s="255" t="n">
        <v>1</v>
      </c>
      <c r="F28" s="255" t="n">
        <v>2</v>
      </c>
      <c r="G28" s="255" t="n">
        <v>2</v>
      </c>
      <c r="H28" s="255" t="n">
        <v>4</v>
      </c>
      <c r="I28" s="289" t="s">
        <v>2599</v>
      </c>
    </row>
    <row r="29" customFormat="false" ht="15" hidden="false" customHeight="false" outlineLevel="0" collapsed="false">
      <c r="A29" s="172" t="s">
        <v>2600</v>
      </c>
      <c r="B29" s="255" t="n">
        <v>4</v>
      </c>
      <c r="C29" s="255" t="n">
        <v>3</v>
      </c>
      <c r="D29" s="275" t="n">
        <f aca="false">ROUND(AVERAGE(B29:C29,E29:H29),1)</f>
        <v>3.5</v>
      </c>
      <c r="E29" s="255" t="n">
        <v>4</v>
      </c>
      <c r="F29" s="255" t="n">
        <v>3</v>
      </c>
      <c r="G29" s="255" t="n">
        <v>3</v>
      </c>
      <c r="H29" s="255" t="n">
        <v>4</v>
      </c>
      <c r="I29" s="289" t="s">
        <v>2601</v>
      </c>
    </row>
    <row r="30" customFormat="false" ht="26.85" hidden="false" customHeight="false" outlineLevel="0" collapsed="false">
      <c r="A30" s="172" t="s">
        <v>2602</v>
      </c>
      <c r="B30" s="255" t="n">
        <v>3</v>
      </c>
      <c r="C30" s="255" t="n">
        <v>4</v>
      </c>
      <c r="D30" s="275" t="n">
        <f aca="false">ROUND(AVERAGE(B30:C30,E30:H30),1)</f>
        <v>3.8</v>
      </c>
      <c r="E30" s="255" t="n">
        <v>4</v>
      </c>
      <c r="F30" s="255" t="n">
        <v>4</v>
      </c>
      <c r="G30" s="255" t="n">
        <v>4</v>
      </c>
      <c r="H30" s="255" t="n">
        <v>4</v>
      </c>
      <c r="I30" s="289" t="s">
        <v>2603</v>
      </c>
    </row>
    <row r="31" customFormat="false" ht="15" hidden="false" customHeight="false" outlineLevel="0" collapsed="false">
      <c r="A31" s="172" t="s">
        <v>2604</v>
      </c>
      <c r="B31" s="255" t="n">
        <v>2</v>
      </c>
      <c r="C31" s="255" t="n">
        <v>4</v>
      </c>
      <c r="D31" s="275" t="n">
        <f aca="false">ROUND(AVERAGE(B31:C31,E31:H31),1)</f>
        <v>3.8</v>
      </c>
      <c r="E31" s="255" t="n">
        <v>5</v>
      </c>
      <c r="F31" s="255" t="n">
        <v>5</v>
      </c>
      <c r="G31" s="255" t="n">
        <v>4</v>
      </c>
      <c r="H31" s="255" t="n">
        <v>3</v>
      </c>
      <c r="I31" s="289" t="s">
        <v>2605</v>
      </c>
    </row>
    <row r="32" customFormat="false" ht="26.85" hidden="false" customHeight="false" outlineLevel="0" collapsed="false">
      <c r="A32" s="172" t="s">
        <v>2606</v>
      </c>
      <c r="B32" s="255" t="n">
        <v>4</v>
      </c>
      <c r="C32" s="255" t="n">
        <v>5</v>
      </c>
      <c r="D32" s="275" t="n">
        <f aca="false">ROUND(AVERAGE(B32:C32,E32:H32),1)</f>
        <v>3.5</v>
      </c>
      <c r="E32" s="255" t="n">
        <v>2</v>
      </c>
      <c r="F32" s="255" t="n">
        <v>3</v>
      </c>
      <c r="G32" s="255" t="n">
        <v>3</v>
      </c>
      <c r="H32" s="255" t="n">
        <v>4</v>
      </c>
      <c r="I32" s="289" t="s">
        <v>2607</v>
      </c>
    </row>
    <row r="34" customFormat="false" ht="15" hidden="false" customHeight="true" outlineLevel="0" collapsed="false">
      <c r="A34" s="182" t="s">
        <v>2608</v>
      </c>
      <c r="B34" s="182"/>
      <c r="C34" s="182"/>
      <c r="D34" s="182"/>
      <c r="E34" s="182"/>
      <c r="F34" s="182"/>
      <c r="G34" s="182"/>
      <c r="H34" s="182"/>
      <c r="I34" s="182"/>
    </row>
    <row r="35" customFormat="false" ht="15" hidden="false" customHeight="false" outlineLevel="0" collapsed="false">
      <c r="A35" s="182"/>
      <c r="B35" s="182"/>
      <c r="C35" s="182"/>
      <c r="D35" s="182"/>
      <c r="E35" s="182"/>
      <c r="F35" s="182"/>
      <c r="G35" s="182"/>
      <c r="H35" s="182"/>
      <c r="I35" s="182"/>
    </row>
  </sheetData>
  <sheetProtection sheet="true" formatColumns="false" formatRows="false" autoFilter="false"/>
  <mergeCells count="3">
    <mergeCell ref="A1:I1"/>
    <mergeCell ref="A2:I2"/>
    <mergeCell ref="A34:I35"/>
  </mergeCell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6" min="4" style="0" width="6"/>
    <col collapsed="false" customWidth="true" hidden="false" outlineLevel="0" max="7" min="7" style="0" width="9"/>
    <col collapsed="false" customWidth="true" hidden="false" outlineLevel="0" max="8" min="8" style="0" width="3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1" t="s">
        <v>2609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5.5" hidden="false" customHeight="true" outlineLevel="0" collapsed="false">
      <c r="A2" s="4" t="s">
        <v>2610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5" hidden="false" customHeight="false" outlineLevel="0" collapsed="false">
      <c r="A3" s="5" t="s">
        <v>946</v>
      </c>
    </row>
    <row r="4" customFormat="false" ht="27.75" hidden="false" customHeight="true" outlineLevel="0" collapsed="false">
      <c r="A4" s="36" t="s">
        <v>2611</v>
      </c>
      <c r="B4" s="36" t="s">
        <v>2187</v>
      </c>
      <c r="C4" s="36" t="s">
        <v>2612</v>
      </c>
      <c r="D4" s="36" t="s">
        <v>2613</v>
      </c>
      <c r="E4" s="36" t="s">
        <v>2614</v>
      </c>
      <c r="F4" s="36" t="s">
        <v>2615</v>
      </c>
      <c r="G4" s="36" t="s">
        <v>2616</v>
      </c>
      <c r="H4" s="36" t="s">
        <v>2617</v>
      </c>
      <c r="I4" s="36" t="s">
        <v>2192</v>
      </c>
      <c r="J4" s="36" t="s">
        <v>1975</v>
      </c>
      <c r="K4" s="36" t="s">
        <v>2618</v>
      </c>
      <c r="L4" s="36" t="s">
        <v>2619</v>
      </c>
    </row>
    <row r="5" customFormat="false" ht="33.75" hidden="false" customHeight="true" outlineLevel="0" collapsed="false">
      <c r="A5" s="93" t="s">
        <v>2620</v>
      </c>
      <c r="B5" s="260" t="s">
        <v>2621</v>
      </c>
      <c r="C5" s="95" t="s">
        <v>2622</v>
      </c>
      <c r="D5" s="59" t="n">
        <v>4</v>
      </c>
      <c r="E5" s="59" t="n">
        <v>5</v>
      </c>
      <c r="F5" s="55" t="n">
        <f aca="false">D5*E5</f>
        <v>20</v>
      </c>
      <c r="G5" s="261" t="str">
        <f aca="false">IF(F5&gt;=20,"極高",IF(F5&gt;=12,"高",IF(F5&gt;=6,"中","低")))</f>
        <v>極高</v>
      </c>
      <c r="H5" s="52" t="s">
        <v>2623</v>
      </c>
      <c r="I5" s="59" t="s">
        <v>890</v>
      </c>
      <c r="J5" s="60" t="s">
        <v>2427</v>
      </c>
      <c r="K5" s="52" t="s">
        <v>2624</v>
      </c>
      <c r="L5" s="93" t="s">
        <v>1425</v>
      </c>
    </row>
    <row r="6" customFormat="false" ht="33.75" hidden="false" customHeight="true" outlineLevel="0" collapsed="false">
      <c r="A6" s="93" t="s">
        <v>2625</v>
      </c>
      <c r="B6" s="260" t="s">
        <v>2621</v>
      </c>
      <c r="C6" s="95" t="s">
        <v>2626</v>
      </c>
      <c r="D6" s="59" t="n">
        <v>3</v>
      </c>
      <c r="E6" s="59" t="n">
        <v>5</v>
      </c>
      <c r="F6" s="55" t="n">
        <f aca="false">D6*E6</f>
        <v>15</v>
      </c>
      <c r="G6" s="261" t="str">
        <f aca="false">IF(F6&gt;=20,"極高",IF(F6&gt;=12,"高",IF(F6&gt;=6,"中","低")))</f>
        <v>高</v>
      </c>
      <c r="H6" s="52" t="s">
        <v>2627</v>
      </c>
      <c r="I6" s="59" t="s">
        <v>231</v>
      </c>
      <c r="J6" s="60" t="s">
        <v>2427</v>
      </c>
      <c r="K6" s="52" t="s">
        <v>2628</v>
      </c>
      <c r="L6" s="93" t="s">
        <v>1451</v>
      </c>
    </row>
    <row r="7" customFormat="false" ht="33.75" hidden="false" customHeight="true" outlineLevel="0" collapsed="false">
      <c r="A7" s="93" t="s">
        <v>2629</v>
      </c>
      <c r="B7" s="260" t="s">
        <v>2630</v>
      </c>
      <c r="C7" s="95" t="s">
        <v>2631</v>
      </c>
      <c r="D7" s="59" t="n">
        <v>4</v>
      </c>
      <c r="E7" s="59" t="n">
        <v>4</v>
      </c>
      <c r="F7" s="55" t="n">
        <f aca="false">D7*E7</f>
        <v>16</v>
      </c>
      <c r="G7" s="261" t="str">
        <f aca="false">IF(F7&gt;=20,"極高",IF(F7&gt;=12,"高",IF(F7&gt;=6,"中","低")))</f>
        <v>高</v>
      </c>
      <c r="H7" s="52" t="s">
        <v>2632</v>
      </c>
      <c r="I7" s="59" t="s">
        <v>246</v>
      </c>
      <c r="J7" s="60" t="s">
        <v>2427</v>
      </c>
      <c r="K7" s="52" t="s">
        <v>2633</v>
      </c>
      <c r="L7" s="93" t="s">
        <v>1493</v>
      </c>
    </row>
    <row r="8" customFormat="false" ht="33.75" hidden="false" customHeight="true" outlineLevel="0" collapsed="false">
      <c r="A8" s="93" t="s">
        <v>2634</v>
      </c>
      <c r="B8" s="260" t="s">
        <v>2635</v>
      </c>
      <c r="C8" s="95" t="s">
        <v>2636</v>
      </c>
      <c r="D8" s="59" t="n">
        <v>4</v>
      </c>
      <c r="E8" s="59" t="n">
        <v>5</v>
      </c>
      <c r="F8" s="55" t="n">
        <f aca="false">D8*E8</f>
        <v>20</v>
      </c>
      <c r="G8" s="261" t="str">
        <f aca="false">IF(F8&gt;=20,"極高",IF(F8&gt;=12,"高",IF(F8&gt;=6,"中","低")))</f>
        <v>極高</v>
      </c>
      <c r="H8" s="52" t="s">
        <v>2637</v>
      </c>
      <c r="I8" s="59" t="s">
        <v>2521</v>
      </c>
      <c r="J8" s="60" t="s">
        <v>2427</v>
      </c>
      <c r="K8" s="52" t="s">
        <v>2638</v>
      </c>
      <c r="L8" s="93" t="s">
        <v>2639</v>
      </c>
    </row>
    <row r="9" customFormat="false" ht="33.75" hidden="false" customHeight="true" outlineLevel="0" collapsed="false">
      <c r="A9" s="93" t="s">
        <v>2640</v>
      </c>
      <c r="B9" s="260" t="s">
        <v>2641</v>
      </c>
      <c r="C9" s="95" t="s">
        <v>2642</v>
      </c>
      <c r="D9" s="59" t="n">
        <v>4</v>
      </c>
      <c r="E9" s="59" t="n">
        <v>5</v>
      </c>
      <c r="F9" s="55" t="n">
        <f aca="false">D9*E9</f>
        <v>20</v>
      </c>
      <c r="G9" s="261" t="str">
        <f aca="false">IF(F9&gt;=20,"極高",IF(F9&gt;=12,"高",IF(F9&gt;=6,"中","低")))</f>
        <v>極高</v>
      </c>
      <c r="H9" s="52" t="s">
        <v>2643</v>
      </c>
      <c r="I9" s="59" t="s">
        <v>2644</v>
      </c>
      <c r="J9" s="60" t="s">
        <v>2427</v>
      </c>
      <c r="K9" s="52" t="s">
        <v>2645</v>
      </c>
      <c r="L9" s="93" t="s">
        <v>2646</v>
      </c>
    </row>
    <row r="10" customFormat="false" ht="33.75" hidden="false" customHeight="true" outlineLevel="0" collapsed="false">
      <c r="A10" s="93" t="s">
        <v>2647</v>
      </c>
      <c r="B10" s="260" t="s">
        <v>2648</v>
      </c>
      <c r="C10" s="95" t="s">
        <v>2649</v>
      </c>
      <c r="D10" s="59" t="n">
        <v>4</v>
      </c>
      <c r="E10" s="59" t="n">
        <v>5</v>
      </c>
      <c r="F10" s="55" t="n">
        <f aca="false">D10*E10</f>
        <v>20</v>
      </c>
      <c r="G10" s="261" t="str">
        <f aca="false">IF(F10&gt;=20,"極高",IF(F10&gt;=12,"高",IF(F10&gt;=6,"中","低")))</f>
        <v>極高</v>
      </c>
      <c r="H10" s="52" t="s">
        <v>2650</v>
      </c>
      <c r="I10" s="59" t="s">
        <v>2651</v>
      </c>
      <c r="J10" s="60" t="s">
        <v>2427</v>
      </c>
      <c r="K10" s="52" t="s">
        <v>2652</v>
      </c>
      <c r="L10" s="93" t="s">
        <v>1520</v>
      </c>
    </row>
    <row r="11" customFormat="false" ht="33.75" hidden="false" customHeight="true" outlineLevel="0" collapsed="false">
      <c r="A11" s="93" t="s">
        <v>2653</v>
      </c>
      <c r="B11" s="260" t="s">
        <v>2654</v>
      </c>
      <c r="C11" s="95" t="s">
        <v>2655</v>
      </c>
      <c r="D11" s="59" t="n">
        <v>4</v>
      </c>
      <c r="E11" s="59" t="n">
        <v>4</v>
      </c>
      <c r="F11" s="55" t="n">
        <f aca="false">D11*E11</f>
        <v>16</v>
      </c>
      <c r="G11" s="261" t="str">
        <f aca="false">IF(F11&gt;=20,"極高",IF(F11&gt;=12,"高",IF(F11&gt;=6,"中","低")))</f>
        <v>高</v>
      </c>
      <c r="H11" s="52" t="s">
        <v>2656</v>
      </c>
      <c r="I11" s="59" t="s">
        <v>473</v>
      </c>
      <c r="J11" s="60" t="s">
        <v>2427</v>
      </c>
      <c r="K11" s="52" t="s">
        <v>2657</v>
      </c>
      <c r="L11" s="93" t="s">
        <v>2658</v>
      </c>
    </row>
    <row r="12" customFormat="false" ht="33.75" hidden="false" customHeight="true" outlineLevel="0" collapsed="false">
      <c r="A12" s="93" t="s">
        <v>2659</v>
      </c>
      <c r="B12" s="260" t="s">
        <v>2660</v>
      </c>
      <c r="C12" s="95" t="s">
        <v>2661</v>
      </c>
      <c r="D12" s="59" t="n">
        <v>3</v>
      </c>
      <c r="E12" s="59" t="n">
        <v>5</v>
      </c>
      <c r="F12" s="55" t="n">
        <f aca="false">D12*E12</f>
        <v>15</v>
      </c>
      <c r="G12" s="261" t="str">
        <f aca="false">IF(F12&gt;=20,"極高",IF(F12&gt;=12,"高",IF(F12&gt;=6,"中","低")))</f>
        <v>高</v>
      </c>
      <c r="H12" s="52" t="s">
        <v>2662</v>
      </c>
      <c r="I12" s="59" t="s">
        <v>2219</v>
      </c>
      <c r="J12" s="60" t="s">
        <v>2427</v>
      </c>
      <c r="K12" s="52" t="s">
        <v>2663</v>
      </c>
      <c r="L12" s="93" t="s">
        <v>2664</v>
      </c>
    </row>
    <row r="13" customFormat="false" ht="33.75" hidden="false" customHeight="true" outlineLevel="0" collapsed="false">
      <c r="A13" s="93" t="s">
        <v>2665</v>
      </c>
      <c r="B13" s="260" t="s">
        <v>2666</v>
      </c>
      <c r="C13" s="95" t="s">
        <v>2667</v>
      </c>
      <c r="D13" s="59" t="n">
        <v>4</v>
      </c>
      <c r="E13" s="59" t="n">
        <v>4</v>
      </c>
      <c r="F13" s="55" t="n">
        <f aca="false">D13*E13</f>
        <v>16</v>
      </c>
      <c r="G13" s="261" t="str">
        <f aca="false">IF(F13&gt;=20,"極高",IF(F13&gt;=12,"高",IF(F13&gt;=6,"中","低")))</f>
        <v>高</v>
      </c>
      <c r="H13" s="52" t="s">
        <v>2668</v>
      </c>
      <c r="I13" s="59" t="s">
        <v>2242</v>
      </c>
      <c r="J13" s="60" t="s">
        <v>2427</v>
      </c>
      <c r="K13" s="52" t="s">
        <v>2669</v>
      </c>
      <c r="L13" s="93" t="s">
        <v>1722</v>
      </c>
    </row>
    <row r="14" customFormat="false" ht="33.75" hidden="false" customHeight="true" outlineLevel="0" collapsed="false">
      <c r="A14" s="93" t="s">
        <v>2670</v>
      </c>
      <c r="B14" s="260" t="s">
        <v>2671</v>
      </c>
      <c r="C14" s="95" t="s">
        <v>2672</v>
      </c>
      <c r="D14" s="59" t="n">
        <v>3</v>
      </c>
      <c r="E14" s="59" t="n">
        <v>5</v>
      </c>
      <c r="F14" s="55" t="n">
        <f aca="false">D14*E14</f>
        <v>15</v>
      </c>
      <c r="G14" s="261" t="str">
        <f aca="false">IF(F14&gt;=20,"極高",IF(F14&gt;=12,"高",IF(F14&gt;=6,"中","低")))</f>
        <v>高</v>
      </c>
      <c r="H14" s="52" t="s">
        <v>2673</v>
      </c>
      <c r="I14" s="59" t="s">
        <v>2314</v>
      </c>
      <c r="J14" s="60" t="s">
        <v>2427</v>
      </c>
      <c r="K14" s="52" t="s">
        <v>2674</v>
      </c>
      <c r="L14" s="93" t="s">
        <v>2675</v>
      </c>
    </row>
    <row r="15" customFormat="false" ht="33.75" hidden="false" customHeight="true" outlineLevel="0" collapsed="false">
      <c r="A15" s="93" t="s">
        <v>2676</v>
      </c>
      <c r="B15" s="260" t="s">
        <v>2677</v>
      </c>
      <c r="C15" s="95" t="s">
        <v>2678</v>
      </c>
      <c r="D15" s="59" t="n">
        <v>4</v>
      </c>
      <c r="E15" s="59" t="n">
        <v>4</v>
      </c>
      <c r="F15" s="55" t="n">
        <f aca="false">D15*E15</f>
        <v>16</v>
      </c>
      <c r="G15" s="261" t="str">
        <f aca="false">IF(F15&gt;=20,"極高",IF(F15&gt;=12,"高",IF(F15&gt;=6,"中","低")))</f>
        <v>高</v>
      </c>
      <c r="H15" s="52" t="s">
        <v>2679</v>
      </c>
      <c r="I15" s="59" t="s">
        <v>1838</v>
      </c>
      <c r="J15" s="60" t="s">
        <v>2427</v>
      </c>
      <c r="K15" s="52" t="s">
        <v>2680</v>
      </c>
      <c r="L15" s="93" t="s">
        <v>1834</v>
      </c>
    </row>
    <row r="16" customFormat="false" ht="33.75" hidden="false" customHeight="true" outlineLevel="0" collapsed="false">
      <c r="A16" s="93" t="s">
        <v>2681</v>
      </c>
      <c r="B16" s="260" t="s">
        <v>2682</v>
      </c>
      <c r="C16" s="95" t="s">
        <v>2683</v>
      </c>
      <c r="D16" s="59" t="n">
        <v>4</v>
      </c>
      <c r="E16" s="59" t="n">
        <v>4</v>
      </c>
      <c r="F16" s="55" t="n">
        <f aca="false">D16*E16</f>
        <v>16</v>
      </c>
      <c r="G16" s="261" t="str">
        <f aca="false">IF(F16&gt;=20,"極高",IF(F16&gt;=12,"高",IF(F16&gt;=6,"中","低")))</f>
        <v>高</v>
      </c>
      <c r="H16" s="52" t="s">
        <v>2684</v>
      </c>
      <c r="I16" s="59" t="s">
        <v>658</v>
      </c>
      <c r="J16" s="60" t="s">
        <v>2427</v>
      </c>
      <c r="K16" s="52" t="s">
        <v>2685</v>
      </c>
      <c r="L16" s="93" t="s">
        <v>1894</v>
      </c>
    </row>
    <row r="17" customFormat="false" ht="33.75" hidden="false" customHeight="true" outlineLevel="0" collapsed="false">
      <c r="A17" s="93" t="s">
        <v>2686</v>
      </c>
      <c r="B17" s="260" t="s">
        <v>2687</v>
      </c>
      <c r="C17" s="95" t="s">
        <v>2688</v>
      </c>
      <c r="D17" s="59" t="n">
        <v>4</v>
      </c>
      <c r="E17" s="59" t="n">
        <v>5</v>
      </c>
      <c r="F17" s="55" t="n">
        <f aca="false">D17*E17</f>
        <v>20</v>
      </c>
      <c r="G17" s="261" t="str">
        <f aca="false">IF(F17&gt;=20,"極高",IF(F17&gt;=12,"高",IF(F17&gt;=6,"中","低")))</f>
        <v>極高</v>
      </c>
      <c r="H17" s="52" t="s">
        <v>2689</v>
      </c>
      <c r="I17" s="59" t="s">
        <v>890</v>
      </c>
      <c r="J17" s="60" t="s">
        <v>2427</v>
      </c>
      <c r="K17" s="52" t="s">
        <v>2690</v>
      </c>
      <c r="L17" s="93" t="s">
        <v>2691</v>
      </c>
    </row>
    <row r="18" customFormat="false" ht="33.75" hidden="false" customHeight="true" outlineLevel="0" collapsed="false">
      <c r="A18" s="93" t="s">
        <v>2692</v>
      </c>
      <c r="B18" s="260" t="s">
        <v>2693</v>
      </c>
      <c r="C18" s="95" t="s">
        <v>2694</v>
      </c>
      <c r="D18" s="59" t="n">
        <v>3</v>
      </c>
      <c r="E18" s="59" t="n">
        <v>5</v>
      </c>
      <c r="F18" s="55" t="n">
        <f aca="false">D18*E18</f>
        <v>15</v>
      </c>
      <c r="G18" s="261" t="str">
        <f aca="false">IF(F18&gt;=20,"極高",IF(F18&gt;=12,"高",IF(F18&gt;=6,"中","低")))</f>
        <v>高</v>
      </c>
      <c r="H18" s="52" t="s">
        <v>2695</v>
      </c>
      <c r="I18" s="59" t="s">
        <v>785</v>
      </c>
      <c r="J18" s="60" t="s">
        <v>2427</v>
      </c>
      <c r="K18" s="52" t="s">
        <v>2696</v>
      </c>
      <c r="L18" s="93" t="s">
        <v>1806</v>
      </c>
    </row>
    <row r="19" customFormat="false" ht="33.75" hidden="false" customHeight="true" outlineLevel="0" collapsed="false">
      <c r="A19" s="93" t="s">
        <v>2697</v>
      </c>
      <c r="B19" s="260" t="s">
        <v>2698</v>
      </c>
      <c r="C19" s="95" t="s">
        <v>2699</v>
      </c>
      <c r="D19" s="59" t="n">
        <v>3</v>
      </c>
      <c r="E19" s="59" t="n">
        <v>4</v>
      </c>
      <c r="F19" s="55" t="n">
        <f aca="false">D19*E19</f>
        <v>12</v>
      </c>
      <c r="G19" s="261" t="str">
        <f aca="false">IF(F19&gt;=20,"極高",IF(F19&gt;=12,"高",IF(F19&gt;=6,"中","低")))</f>
        <v>高</v>
      </c>
      <c r="H19" s="52" t="s">
        <v>2700</v>
      </c>
      <c r="I19" s="59" t="s">
        <v>890</v>
      </c>
      <c r="J19" s="60" t="s">
        <v>2427</v>
      </c>
      <c r="K19" s="52" t="s">
        <v>2701</v>
      </c>
      <c r="L19" s="93" t="s">
        <v>2702</v>
      </c>
    </row>
    <row r="20" customFormat="false" ht="33.75" hidden="false" customHeight="true" outlineLevel="0" collapsed="false">
      <c r="A20" s="93" t="s">
        <v>2703</v>
      </c>
      <c r="B20" s="260" t="s">
        <v>2635</v>
      </c>
      <c r="C20" s="107" t="s">
        <v>2704</v>
      </c>
      <c r="D20" s="59" t="n">
        <v>3</v>
      </c>
      <c r="E20" s="59" t="n">
        <v>4</v>
      </c>
      <c r="F20" s="55" t="n">
        <f aca="false">D20*E20</f>
        <v>12</v>
      </c>
      <c r="G20" s="261" t="str">
        <f aca="false">IF(F20&gt;=20,"極高",IF(F20&gt;=12,"高",IF(F20&gt;=6,"中","低")))</f>
        <v>高</v>
      </c>
      <c r="H20" s="53" t="s">
        <v>2705</v>
      </c>
      <c r="I20" s="59" t="s">
        <v>1908</v>
      </c>
      <c r="J20" s="60" t="s">
        <v>2427</v>
      </c>
      <c r="K20" s="52" t="s">
        <v>2706</v>
      </c>
      <c r="L20" s="93" t="s">
        <v>2707</v>
      </c>
    </row>
    <row r="21" customFormat="false" ht="33.75" hidden="false" customHeight="true" outlineLevel="0" collapsed="false">
      <c r="A21" s="93" t="s">
        <v>2708</v>
      </c>
      <c r="B21" s="260" t="s">
        <v>2635</v>
      </c>
      <c r="C21" s="95" t="s">
        <v>2709</v>
      </c>
      <c r="D21" s="59" t="n">
        <v>3</v>
      </c>
      <c r="E21" s="59" t="n">
        <v>4</v>
      </c>
      <c r="F21" s="55" t="n">
        <f aca="false">D21*E21</f>
        <v>12</v>
      </c>
      <c r="G21" s="261" t="str">
        <f aca="false">IF(F21&gt;=20,"極高",IF(F21&gt;=12,"高",IF(F21&gt;=6,"中","低")))</f>
        <v>高</v>
      </c>
      <c r="H21" s="53" t="s">
        <v>2710</v>
      </c>
      <c r="I21" s="59" t="s">
        <v>646</v>
      </c>
      <c r="J21" s="60" t="s">
        <v>2427</v>
      </c>
      <c r="K21" s="53" t="s">
        <v>2711</v>
      </c>
      <c r="L21" s="93" t="s">
        <v>2712</v>
      </c>
    </row>
    <row r="22" customFormat="false" ht="33.75" hidden="false" customHeight="true" outlineLevel="0" collapsed="false">
      <c r="A22" s="93" t="s">
        <v>2713</v>
      </c>
      <c r="B22" s="260" t="s">
        <v>2654</v>
      </c>
      <c r="C22" s="95" t="s">
        <v>2714</v>
      </c>
      <c r="D22" s="59" t="n">
        <v>3</v>
      </c>
      <c r="E22" s="59" t="n">
        <v>4</v>
      </c>
      <c r="F22" s="55" t="n">
        <f aca="false">D22*E22</f>
        <v>12</v>
      </c>
      <c r="G22" s="261" t="str">
        <f aca="false">IF(F22&gt;=20,"極高",IF(F22&gt;=12,"高",IF(F22&gt;=6,"中","低")))</f>
        <v>高</v>
      </c>
      <c r="H22" s="53" t="s">
        <v>2715</v>
      </c>
      <c r="I22" s="59" t="s">
        <v>424</v>
      </c>
      <c r="J22" s="60" t="s">
        <v>2427</v>
      </c>
      <c r="K22" s="53" t="s">
        <v>2716</v>
      </c>
      <c r="L22" s="93" t="s">
        <v>2717</v>
      </c>
    </row>
    <row r="23" customFormat="false" ht="33.75" hidden="false" customHeight="true" outlineLevel="0" collapsed="false">
      <c r="A23" s="93" t="s">
        <v>2718</v>
      </c>
      <c r="B23" s="260" t="s">
        <v>2635</v>
      </c>
      <c r="C23" s="107" t="s">
        <v>2719</v>
      </c>
      <c r="D23" s="59" t="n">
        <v>3</v>
      </c>
      <c r="E23" s="59" t="n">
        <v>3</v>
      </c>
      <c r="F23" s="55" t="n">
        <f aca="false">D23*E23</f>
        <v>9</v>
      </c>
      <c r="G23" s="261" t="str">
        <f aca="false">IF(F23&gt;=20,"極高",IF(F23&gt;=12,"高",IF(F23&gt;=6,"中","低")))</f>
        <v>中</v>
      </c>
      <c r="H23" s="53" t="s">
        <v>2720</v>
      </c>
      <c r="I23" s="59" t="s">
        <v>890</v>
      </c>
      <c r="J23" s="60" t="s">
        <v>2427</v>
      </c>
      <c r="K23" s="52" t="s">
        <v>2721</v>
      </c>
      <c r="L23" s="93" t="s">
        <v>2722</v>
      </c>
    </row>
    <row r="24" customFormat="false" ht="33.75" hidden="false" customHeight="true" outlineLevel="0" collapsed="false">
      <c r="A24" s="93" t="s">
        <v>2723</v>
      </c>
      <c r="B24" s="260" t="s">
        <v>2621</v>
      </c>
      <c r="C24" s="107" t="s">
        <v>2724</v>
      </c>
      <c r="D24" s="59" t="n">
        <v>3</v>
      </c>
      <c r="E24" s="59" t="n">
        <v>5</v>
      </c>
      <c r="F24" s="55" t="n">
        <f aca="false">D24*E24</f>
        <v>15</v>
      </c>
      <c r="G24" s="261" t="str">
        <f aca="false">IF(F24&gt;=20,"極高",IF(F24&gt;=12,"高",IF(F24&gt;=6,"中","低")))</f>
        <v>高</v>
      </c>
      <c r="H24" s="53" t="s">
        <v>2725</v>
      </c>
      <c r="I24" s="59" t="s">
        <v>273</v>
      </c>
      <c r="J24" s="60" t="s">
        <v>2427</v>
      </c>
      <c r="K24" s="53" t="s">
        <v>2726</v>
      </c>
      <c r="L24" s="93" t="s">
        <v>2727</v>
      </c>
    </row>
    <row r="25" customFormat="false" ht="33.75" hidden="false" customHeight="true" outlineLevel="0" collapsed="false">
      <c r="A25" s="93" t="s">
        <v>2728</v>
      </c>
      <c r="B25" s="260" t="s">
        <v>2698</v>
      </c>
      <c r="C25" s="95" t="s">
        <v>2729</v>
      </c>
      <c r="D25" s="59" t="n">
        <v>4</v>
      </c>
      <c r="E25" s="59" t="n">
        <v>3</v>
      </c>
      <c r="F25" s="55" t="n">
        <f aca="false">D25*E25</f>
        <v>12</v>
      </c>
      <c r="G25" s="261" t="str">
        <f aca="false">IF(F25&gt;=20,"極高",IF(F25&gt;=12,"高",IF(F25&gt;=6,"中","低")))</f>
        <v>高</v>
      </c>
      <c r="H25" s="53" t="s">
        <v>2730</v>
      </c>
      <c r="I25" s="59" t="s">
        <v>259</v>
      </c>
      <c r="J25" s="60" t="s">
        <v>2427</v>
      </c>
      <c r="K25" s="53" t="s">
        <v>2731</v>
      </c>
      <c r="L25" s="93" t="s">
        <v>2732</v>
      </c>
    </row>
    <row r="26" customFormat="false" ht="25.5" hidden="false" customHeight="true" outlineLevel="0" collapsed="false">
      <c r="A26" s="59"/>
      <c r="B26" s="59"/>
      <c r="C26" s="52"/>
      <c r="D26" s="59"/>
      <c r="E26" s="59"/>
      <c r="F26" s="55" t="str">
        <f aca="false">IF($D26="","",$D26*$E26)</f>
        <v/>
      </c>
      <c r="G26" s="261" t="str">
        <f aca="false">IF($F26="","",IF($F26&gt;=20,"極高",IF($F26&gt;=12,"高",IF($F26&gt;=6,"中","低"))))</f>
        <v/>
      </c>
      <c r="H26" s="52"/>
      <c r="I26" s="59"/>
      <c r="J26" s="60"/>
      <c r="K26" s="52"/>
      <c r="L26" s="59"/>
    </row>
    <row r="27" customFormat="false" ht="25.5" hidden="false" customHeight="true" outlineLevel="0" collapsed="false">
      <c r="A27" s="59"/>
      <c r="B27" s="59"/>
      <c r="C27" s="52"/>
      <c r="D27" s="59"/>
      <c r="E27" s="59"/>
      <c r="F27" s="55" t="str">
        <f aca="false">IF($D27="","",$D27*$E27)</f>
        <v/>
      </c>
      <c r="G27" s="261" t="str">
        <f aca="false">IF($F27="","",IF($F27&gt;=20,"極高",IF($F27&gt;=12,"高",IF($F27&gt;=6,"中","低"))))</f>
        <v/>
      </c>
      <c r="H27" s="52"/>
      <c r="I27" s="59"/>
      <c r="J27" s="60"/>
      <c r="K27" s="52"/>
      <c r="L27" s="59"/>
    </row>
    <row r="28" customFormat="false" ht="25.5" hidden="false" customHeight="true" outlineLevel="0" collapsed="false">
      <c r="A28" s="59"/>
      <c r="B28" s="59"/>
      <c r="C28" s="52"/>
      <c r="D28" s="59"/>
      <c r="E28" s="59"/>
      <c r="F28" s="55" t="str">
        <f aca="false">IF($D28="","",$D28*$E28)</f>
        <v/>
      </c>
      <c r="G28" s="261" t="str">
        <f aca="false">IF($F28="","",IF($F28&gt;=20,"極高",IF($F28&gt;=12,"高",IF($F28&gt;=6,"中","低"))))</f>
        <v/>
      </c>
      <c r="H28" s="52"/>
      <c r="I28" s="59"/>
      <c r="J28" s="60"/>
      <c r="K28" s="52"/>
      <c r="L28" s="59"/>
    </row>
    <row r="29" customFormat="false" ht="25.5" hidden="false" customHeight="true" outlineLevel="0" collapsed="false">
      <c r="A29" s="59"/>
      <c r="B29" s="59"/>
      <c r="C29" s="52"/>
      <c r="D29" s="59"/>
      <c r="E29" s="59"/>
      <c r="F29" s="55" t="str">
        <f aca="false">IF($D29="","",$D29*$E29)</f>
        <v/>
      </c>
      <c r="G29" s="261" t="str">
        <f aca="false">IF($F29="","",IF($F29&gt;=20,"極高",IF($F29&gt;=12,"高",IF($F29&gt;=6,"中","低"))))</f>
        <v/>
      </c>
      <c r="H29" s="52"/>
      <c r="I29" s="59"/>
      <c r="J29" s="60"/>
      <c r="K29" s="52"/>
      <c r="L29" s="59"/>
    </row>
    <row r="30" customFormat="false" ht="25.5" hidden="false" customHeight="true" outlineLevel="0" collapsed="false">
      <c r="A30" s="59"/>
      <c r="B30" s="59"/>
      <c r="C30" s="52"/>
      <c r="D30" s="59"/>
      <c r="E30" s="59"/>
      <c r="F30" s="55" t="str">
        <f aca="false">IF($D30="","",$D30*$E30)</f>
        <v/>
      </c>
      <c r="G30" s="261" t="str">
        <f aca="false">IF($F30="","",IF($F30&gt;=20,"極高",IF($F30&gt;=12,"高",IF($F30&gt;=6,"中","低"))))</f>
        <v/>
      </c>
      <c r="H30" s="52"/>
      <c r="I30" s="59"/>
      <c r="J30" s="60"/>
      <c r="K30" s="52"/>
      <c r="L30" s="59"/>
    </row>
    <row r="31" customFormat="false" ht="25.5" hidden="false" customHeight="true" outlineLevel="0" collapsed="false">
      <c r="A31" s="59"/>
      <c r="B31" s="59"/>
      <c r="C31" s="52"/>
      <c r="D31" s="59"/>
      <c r="E31" s="59"/>
      <c r="F31" s="55" t="str">
        <f aca="false">IF($D31="","",$D31*$E31)</f>
        <v/>
      </c>
      <c r="G31" s="261" t="str">
        <f aca="false">IF($F31="","",IF($F31&gt;=20,"極高",IF($F31&gt;=12,"高",IF($F31&gt;=6,"中","低"))))</f>
        <v/>
      </c>
      <c r="H31" s="52"/>
      <c r="I31" s="59"/>
      <c r="J31" s="60"/>
      <c r="K31" s="52"/>
      <c r="L31" s="59"/>
    </row>
    <row r="32" customFormat="false" ht="25.5" hidden="false" customHeight="true" outlineLevel="0" collapsed="false">
      <c r="A32" s="59"/>
      <c r="B32" s="59"/>
      <c r="C32" s="52"/>
      <c r="D32" s="59"/>
      <c r="E32" s="59"/>
      <c r="F32" s="55" t="str">
        <f aca="false">IF($D32="","",$D32*$E32)</f>
        <v/>
      </c>
      <c r="G32" s="261" t="str">
        <f aca="false">IF($F32="","",IF($F32&gt;=20,"極高",IF($F32&gt;=12,"高",IF($F32&gt;=6,"中","低"))))</f>
        <v/>
      </c>
      <c r="H32" s="52"/>
      <c r="I32" s="59"/>
      <c r="J32" s="60"/>
      <c r="K32" s="52"/>
      <c r="L32" s="59"/>
    </row>
    <row r="33" customFormat="false" ht="25.5" hidden="false" customHeight="true" outlineLevel="0" collapsed="false">
      <c r="A33" s="59"/>
      <c r="B33" s="59"/>
      <c r="C33" s="52"/>
      <c r="D33" s="59"/>
      <c r="E33" s="59"/>
      <c r="F33" s="55" t="str">
        <f aca="false">IF($D33="","",$D33*$E33)</f>
        <v/>
      </c>
      <c r="G33" s="261" t="str">
        <f aca="false">IF($F33="","",IF($F33&gt;=20,"極高",IF($F33&gt;=12,"高",IF($F33&gt;=6,"中","低"))))</f>
        <v/>
      </c>
      <c r="H33" s="52"/>
      <c r="I33" s="59"/>
      <c r="J33" s="60"/>
      <c r="K33" s="52"/>
      <c r="L33" s="59"/>
    </row>
  </sheetData>
  <sheetProtection sheet="true" formatColumns="false" formatRows="false" autoFilter="false"/>
  <autoFilter ref="A4:L33"/>
  <mergeCells count="2">
    <mergeCell ref="A1:L1"/>
    <mergeCell ref="A2:L2"/>
  </mergeCells>
  <conditionalFormatting sqref="G5:G33">
    <cfRule type="expression" priority="2" aboveAverage="0" equalAverage="0" bottom="0" percent="0" rank="0" text="" dxfId="32">
      <formula>ISNUMBER(SEARCH("極高",G5))</formula>
    </cfRule>
    <cfRule type="expression" priority="3" aboveAverage="0" equalAverage="0" bottom="0" percent="0" rank="0" text="" dxfId="33">
      <formula>ISNUMBER(SEARCH("高",G5))</formula>
    </cfRule>
  </conditionalFormatting>
  <dataValidations count="3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B5:B33" type="list">
      <formula1>L_RiskCat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D5:E33" type="list">
      <formula1>L_S15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J5:J33" type="list">
      <formula1>L_WP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6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8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1" min="10" style="0" width="15"/>
    <col collapsed="false" customWidth="true" hidden="false" outlineLevel="0" max="12" min="12" style="0" width="20"/>
    <col collapsed="false" customWidth="true" hidden="false" outlineLevel="0" max="13" min="13" style="0" width="42"/>
    <col collapsed="false" customWidth="true" hidden="false" outlineLevel="0" max="14" min="14" style="0" width="24"/>
    <col collapsed="false" customWidth="true" hidden="false" outlineLevel="0" max="15" min="15" style="0" width="22"/>
    <col collapsed="false" customWidth="true" hidden="false" outlineLevel="0" max="16" min="16" style="0" width="26"/>
    <col collapsed="false" customWidth="true" hidden="false" outlineLevel="0" max="17" min="17" style="0" width="30"/>
    <col collapsed="false" customWidth="true" hidden="true" outlineLevel="0" max="19" min="19" style="0" width="13"/>
  </cols>
  <sheetData>
    <row r="1" customFormat="false" ht="30" hidden="false" customHeight="true" outlineLevel="0" collapsed="false">
      <c r="A1" s="1" t="s">
        <v>2733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5.5" hidden="false" customHeight="true" outlineLevel="0" collapsed="false">
      <c r="A2" s="4" t="s">
        <v>2734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5" hidden="false" customHeight="false" outlineLevel="0" collapsed="false">
      <c r="A3" s="5" t="s">
        <v>946</v>
      </c>
    </row>
    <row r="4" customFormat="false" ht="24" hidden="false" customHeight="true" outlineLevel="0" collapsed="false">
      <c r="A4" s="220" t="s">
        <v>2735</v>
      </c>
      <c r="B4" s="36" t="s">
        <v>2736</v>
      </c>
      <c r="C4" s="36" t="s">
        <v>2737</v>
      </c>
      <c r="D4" s="36" t="s">
        <v>2541</v>
      </c>
      <c r="E4" s="36" t="s">
        <v>2738</v>
      </c>
      <c r="F4" s="36" t="s">
        <v>2739</v>
      </c>
      <c r="G4" s="36" t="s">
        <v>1369</v>
      </c>
      <c r="H4" s="36" t="s">
        <v>2740</v>
      </c>
      <c r="I4" s="36" t="s">
        <v>2741</v>
      </c>
      <c r="J4" s="36" t="s">
        <v>2192</v>
      </c>
      <c r="K4" s="36" t="s">
        <v>2742</v>
      </c>
      <c r="L4" s="36" t="s">
        <v>2194</v>
      </c>
      <c r="M4" s="48" t="s">
        <v>2743</v>
      </c>
      <c r="N4" s="48" t="s">
        <v>2744</v>
      </c>
      <c r="O4" s="48" t="s">
        <v>2745</v>
      </c>
      <c r="P4" s="48" t="s">
        <v>2746</v>
      </c>
      <c r="Q4" s="48" t="s">
        <v>2747</v>
      </c>
      <c r="S4" s="294" t="s">
        <v>2748</v>
      </c>
    </row>
    <row r="5" customFormat="false" ht="26.85" hidden="false" customHeight="false" outlineLevel="0" collapsed="false">
      <c r="A5" s="93" t="s">
        <v>2749</v>
      </c>
      <c r="B5" s="260" t="s">
        <v>2621</v>
      </c>
      <c r="C5" s="95" t="s">
        <v>2750</v>
      </c>
      <c r="D5" s="93" t="s">
        <v>2565</v>
      </c>
      <c r="E5" s="96" t="s">
        <v>2751</v>
      </c>
      <c r="F5" s="295" t="n">
        <v>0</v>
      </c>
      <c r="G5" s="296" t="n">
        <v>100</v>
      </c>
      <c r="H5" s="55" t="n">
        <f aca="false">IF(OR(F5="",G5=""),"",IF(E5="越高越好",G5-F5,F5-G5))</f>
        <v>100</v>
      </c>
      <c r="I5" s="260" t="s">
        <v>2752</v>
      </c>
      <c r="J5" s="260" t="s">
        <v>890</v>
      </c>
      <c r="K5" s="95" t="s">
        <v>2753</v>
      </c>
      <c r="L5" s="95" t="s">
        <v>2754</v>
      </c>
      <c r="M5" s="107" t="s">
        <v>2755</v>
      </c>
      <c r="N5" s="107" t="s">
        <v>2756</v>
      </c>
      <c r="O5" s="107" t="s">
        <v>2757</v>
      </c>
      <c r="P5" s="95" t="s">
        <v>2758</v>
      </c>
      <c r="Q5" s="297" t="s">
        <v>2759</v>
      </c>
      <c r="S5" s="22" t="str">
        <f aca="false">IF($A5="","",$A5&amp;" "&amp;$C5)</f>
        <v>KPI-GOV-01 Formal mandate coverage｜正式授權覆蓋</v>
      </c>
    </row>
    <row r="6" customFormat="false" ht="26.85" hidden="false" customHeight="false" outlineLevel="0" collapsed="false">
      <c r="A6" s="93" t="s">
        <v>2760</v>
      </c>
      <c r="B6" s="260" t="s">
        <v>2621</v>
      </c>
      <c r="C6" s="95" t="s">
        <v>2761</v>
      </c>
      <c r="D6" s="93" t="s">
        <v>2565</v>
      </c>
      <c r="E6" s="96" t="s">
        <v>2751</v>
      </c>
      <c r="F6" s="295" t="n">
        <v>0</v>
      </c>
      <c r="G6" s="296" t="n">
        <v>95</v>
      </c>
      <c r="H6" s="55" t="n">
        <f aca="false">IF(OR(F6="",G6=""),"",IF(E6="越高越好",G6-F6,F6-G6))</f>
        <v>95</v>
      </c>
      <c r="I6" s="260" t="s">
        <v>2762</v>
      </c>
      <c r="J6" s="260" t="s">
        <v>473</v>
      </c>
      <c r="K6" s="95" t="s">
        <v>2763</v>
      </c>
      <c r="L6" s="95" t="s">
        <v>2754</v>
      </c>
      <c r="M6" s="107" t="s">
        <v>2764</v>
      </c>
      <c r="N6" s="107" t="s">
        <v>2765</v>
      </c>
      <c r="O6" s="107" t="s">
        <v>2766</v>
      </c>
      <c r="P6" s="107" t="s">
        <v>2767</v>
      </c>
      <c r="Q6" s="297" t="s">
        <v>2759</v>
      </c>
      <c r="S6" s="22" t="str">
        <f aca="false">IF($A6="","",$A6&amp;" "&amp;$C6)</f>
        <v>KPI-GOV-03 Critical permits on schedule｜關鍵許可準時率</v>
      </c>
    </row>
    <row r="7" customFormat="false" ht="26.85" hidden="false" customHeight="false" outlineLevel="0" collapsed="false">
      <c r="A7" s="93" t="s">
        <v>2768</v>
      </c>
      <c r="B7" s="260" t="s">
        <v>2648</v>
      </c>
      <c r="C7" s="95" t="s">
        <v>2769</v>
      </c>
      <c r="D7" s="93" t="s">
        <v>2565</v>
      </c>
      <c r="E7" s="96" t="s">
        <v>2770</v>
      </c>
      <c r="F7" s="295" t="n">
        <v>30</v>
      </c>
      <c r="G7" s="296" t="n">
        <v>10</v>
      </c>
      <c r="H7" s="55" t="n">
        <f aca="false">IF(OR(F7="",G7=""),"",IF(E7="越高越好",G7-F7,F7-G7))</f>
        <v>20</v>
      </c>
      <c r="I7" s="260" t="s">
        <v>2752</v>
      </c>
      <c r="J7" s="260" t="s">
        <v>246</v>
      </c>
      <c r="K7" s="95" t="s">
        <v>2771</v>
      </c>
      <c r="L7" s="95" t="s">
        <v>2754</v>
      </c>
      <c r="M7" s="95" t="s">
        <v>2772</v>
      </c>
      <c r="N7" s="107" t="s">
        <v>2773</v>
      </c>
      <c r="O7" s="107" t="s">
        <v>2774</v>
      </c>
      <c r="P7" s="95" t="s">
        <v>2775</v>
      </c>
      <c r="Q7" s="297" t="s">
        <v>2759</v>
      </c>
      <c r="S7" s="22" t="str">
        <f aca="false">IF($A7="","",$A7&amp;" "&amp;$C7)</f>
        <v>KPI-CLN-01 Demand forecast variance｜需求預測差異</v>
      </c>
    </row>
    <row r="8" customFormat="false" ht="22.35" hidden="false" customHeight="false" outlineLevel="0" collapsed="false">
      <c r="A8" s="93" t="s">
        <v>2776</v>
      </c>
      <c r="B8" s="260" t="s">
        <v>2648</v>
      </c>
      <c r="C8" s="95" t="s">
        <v>2777</v>
      </c>
      <c r="D8" s="93" t="s">
        <v>2565</v>
      </c>
      <c r="E8" s="96" t="s">
        <v>2751</v>
      </c>
      <c r="F8" s="295" t="n">
        <v>0</v>
      </c>
      <c r="G8" s="296" t="n">
        <v>80</v>
      </c>
      <c r="H8" s="55" t="n">
        <f aca="false">IF(OR(F8="",G8=""),"",IF(E8="越高越好",G8-F8,F8-G8))</f>
        <v>80</v>
      </c>
      <c r="I8" s="260" t="s">
        <v>2762</v>
      </c>
      <c r="J8" s="260" t="s">
        <v>785</v>
      </c>
      <c r="K8" s="95" t="s">
        <v>2778</v>
      </c>
      <c r="L8" s="95" t="s">
        <v>2754</v>
      </c>
      <c r="M8" s="107" t="s">
        <v>2779</v>
      </c>
      <c r="N8" s="107" t="s">
        <v>2780</v>
      </c>
      <c r="O8" s="107" t="s">
        <v>2781</v>
      </c>
      <c r="P8" s="95" t="s">
        <v>2782</v>
      </c>
      <c r="Q8" s="297" t="s">
        <v>2759</v>
      </c>
      <c r="S8" s="22" t="str">
        <f aca="false">IF($A8="","",$A8&amp;" "&amp;$C8)</f>
        <v>KPI-CLN-04 Appropriate referral rate｜適當轉診率</v>
      </c>
    </row>
    <row r="9" customFormat="false" ht="26.85" hidden="false" customHeight="false" outlineLevel="0" collapsed="false">
      <c r="A9" s="93" t="s">
        <v>2783</v>
      </c>
      <c r="B9" s="260" t="s">
        <v>2784</v>
      </c>
      <c r="C9" s="95" t="s">
        <v>2785</v>
      </c>
      <c r="D9" s="93" t="s">
        <v>2565</v>
      </c>
      <c r="E9" s="96" t="s">
        <v>2751</v>
      </c>
      <c r="F9" s="295" t="n">
        <v>0</v>
      </c>
      <c r="G9" s="296" t="n">
        <v>90</v>
      </c>
      <c r="H9" s="55" t="n">
        <f aca="false">IF(OR(F9="",G9=""),"",IF(E9="越高越好",G9-F9,F9-G9))</f>
        <v>90</v>
      </c>
      <c r="I9" s="260" t="s">
        <v>2762</v>
      </c>
      <c r="J9" s="260" t="s">
        <v>2786</v>
      </c>
      <c r="K9" s="95" t="s">
        <v>2787</v>
      </c>
      <c r="L9" s="95" t="s">
        <v>2754</v>
      </c>
      <c r="M9" s="107" t="s">
        <v>2788</v>
      </c>
      <c r="N9" s="107" t="s">
        <v>2789</v>
      </c>
      <c r="O9" s="107" t="s">
        <v>2790</v>
      </c>
      <c r="P9" s="107" t="s">
        <v>2791</v>
      </c>
      <c r="Q9" s="297" t="s">
        <v>2759</v>
      </c>
      <c r="S9" s="22" t="str">
        <f aca="false">IF($A9="","",$A9&amp;" "&amp;$C9)</f>
        <v>KPI-QPS-01 Clinical governance actions closed｜臨床治理事項結案率</v>
      </c>
    </row>
    <row r="10" customFormat="false" ht="24.6" hidden="false" customHeight="false" outlineLevel="0" collapsed="false">
      <c r="A10" s="93" t="s">
        <v>2792</v>
      </c>
      <c r="B10" s="260" t="s">
        <v>2784</v>
      </c>
      <c r="C10" s="95" t="s">
        <v>2793</v>
      </c>
      <c r="D10" s="93" t="s">
        <v>2794</v>
      </c>
      <c r="E10" s="96" t="s">
        <v>2770</v>
      </c>
      <c r="F10" s="295" t="n">
        <v>5</v>
      </c>
      <c r="G10" s="296" t="n">
        <v>2.5</v>
      </c>
      <c r="H10" s="55" t="n">
        <f aca="false">IF(OR(F10="",G10=""),"",IF(E10="越高越好",G10-F10,F10-G10))</f>
        <v>2.5</v>
      </c>
      <c r="I10" s="260" t="s">
        <v>2762</v>
      </c>
      <c r="J10" s="260" t="s">
        <v>1550</v>
      </c>
      <c r="K10" s="95" t="s">
        <v>2795</v>
      </c>
      <c r="L10" s="95" t="s">
        <v>2754</v>
      </c>
      <c r="M10" s="107" t="s">
        <v>2796</v>
      </c>
      <c r="N10" s="95" t="s">
        <v>2797</v>
      </c>
      <c r="O10" s="107" t="s">
        <v>2798</v>
      </c>
      <c r="P10" s="107" t="s">
        <v>2799</v>
      </c>
      <c r="Q10" s="297" t="s">
        <v>2759</v>
      </c>
      <c r="S10" s="22" t="str">
        <f aca="false">IF($A10="","",$A10&amp;" "&amp;$C10)</f>
        <v>KPI-QPS-02 Healthcare-associated infection rate｜醫療照護感染率</v>
      </c>
    </row>
    <row r="11" customFormat="false" ht="26.85" hidden="false" customHeight="false" outlineLevel="0" collapsed="false">
      <c r="A11" s="93" t="s">
        <v>2800</v>
      </c>
      <c r="B11" s="260" t="s">
        <v>2784</v>
      </c>
      <c r="C11" s="95" t="s">
        <v>2801</v>
      </c>
      <c r="D11" s="93" t="s">
        <v>2565</v>
      </c>
      <c r="E11" s="96" t="s">
        <v>2751</v>
      </c>
      <c r="F11" s="295" t="n">
        <v>0</v>
      </c>
      <c r="G11" s="296" t="n">
        <v>95</v>
      </c>
      <c r="H11" s="55" t="n">
        <f aca="false">IF(OR(F11="",G11=""),"",IF(E11="越高越好",G11-F11,F11-G11))</f>
        <v>95</v>
      </c>
      <c r="I11" s="260" t="s">
        <v>2762</v>
      </c>
      <c r="J11" s="260" t="s">
        <v>576</v>
      </c>
      <c r="K11" s="95" t="s">
        <v>2802</v>
      </c>
      <c r="L11" s="95" t="s">
        <v>2754</v>
      </c>
      <c r="M11" s="107" t="s">
        <v>2803</v>
      </c>
      <c r="N11" s="107" t="s">
        <v>2804</v>
      </c>
      <c r="O11" s="107" t="s">
        <v>2805</v>
      </c>
      <c r="P11" s="95" t="s">
        <v>2806</v>
      </c>
      <c r="Q11" s="297" t="s">
        <v>2759</v>
      </c>
      <c r="S11" s="22" t="str">
        <f aca="false">IF($A11="","",$A11&amp;" "&amp;$C11)</f>
        <v>KPI-QPS-03 Closed-loop medication compliance｜閉環用藥符合率</v>
      </c>
    </row>
    <row r="12" customFormat="false" ht="26.85" hidden="false" customHeight="false" outlineLevel="0" collapsed="false">
      <c r="A12" s="93" t="s">
        <v>2807</v>
      </c>
      <c r="B12" s="260" t="s">
        <v>2784</v>
      </c>
      <c r="C12" s="95" t="s">
        <v>2808</v>
      </c>
      <c r="D12" s="93" t="s">
        <v>2809</v>
      </c>
      <c r="E12" s="96" t="s">
        <v>2770</v>
      </c>
      <c r="F12" s="295" t="n">
        <v>20</v>
      </c>
      <c r="G12" s="296" t="n">
        <v>0</v>
      </c>
      <c r="H12" s="55" t="n">
        <f aca="false">IF(OR(F12="",G12=""),"",IF(E12="越高越好",G12-F12,F12-G12))</f>
        <v>20</v>
      </c>
      <c r="I12" s="260" t="s">
        <v>2810</v>
      </c>
      <c r="J12" s="260" t="s">
        <v>2521</v>
      </c>
      <c r="K12" s="95" t="s">
        <v>2811</v>
      </c>
      <c r="L12" s="95" t="s">
        <v>2754</v>
      </c>
      <c r="M12" s="107" t="s">
        <v>2812</v>
      </c>
      <c r="N12" s="107" t="s">
        <v>2813</v>
      </c>
      <c r="O12" s="95" t="s">
        <v>2814</v>
      </c>
      <c r="P12" s="95" t="s">
        <v>2815</v>
      </c>
      <c r="Q12" s="297" t="s">
        <v>2759</v>
      </c>
      <c r="S12" s="22" t="str">
        <f aca="false">IF($A12="","",$A12&amp;" "&amp;$C12)</f>
        <v>KPI-QPS-08 Critical activation risks open｜未關閉重大開院風險</v>
      </c>
    </row>
    <row r="13" customFormat="false" ht="22.35" hidden="false" customHeight="false" outlineLevel="0" collapsed="false">
      <c r="A13" s="93" t="s">
        <v>2816</v>
      </c>
      <c r="B13" s="260" t="s">
        <v>2817</v>
      </c>
      <c r="C13" s="95" t="s">
        <v>2818</v>
      </c>
      <c r="D13" s="93" t="s">
        <v>2819</v>
      </c>
      <c r="E13" s="96" t="s">
        <v>2820</v>
      </c>
      <c r="F13" s="295" t="n">
        <v>7</v>
      </c>
      <c r="G13" s="296" t="n">
        <v>5.5</v>
      </c>
      <c r="H13" s="55" t="n">
        <f aca="false">IF(OR(F13="",G13=""),"",IF(E13="越高越好",G13-F13,F13-G13))</f>
        <v>1.5</v>
      </c>
      <c r="I13" s="260" t="s">
        <v>2762</v>
      </c>
      <c r="J13" s="260" t="s">
        <v>785</v>
      </c>
      <c r="K13" s="95" t="s">
        <v>2821</v>
      </c>
      <c r="L13" s="95" t="s">
        <v>2754</v>
      </c>
      <c r="M13" s="107" t="s">
        <v>2822</v>
      </c>
      <c r="N13" s="107" t="s">
        <v>2823</v>
      </c>
      <c r="O13" s="107" t="s">
        <v>2824</v>
      </c>
      <c r="P13" s="95" t="s">
        <v>2825</v>
      </c>
      <c r="Q13" s="297" t="s">
        <v>2759</v>
      </c>
      <c r="S13" s="22" t="str">
        <f aca="false">IF($A13="","",$A13&amp;" "&amp;$C13)</f>
        <v>KPI-OPS-01 Average length of stay｜平均住院日</v>
      </c>
    </row>
    <row r="14" customFormat="false" ht="26.85" hidden="false" customHeight="false" outlineLevel="0" collapsed="false">
      <c r="A14" s="93" t="s">
        <v>2826</v>
      </c>
      <c r="B14" s="260" t="s">
        <v>2817</v>
      </c>
      <c r="C14" s="95" t="s">
        <v>2827</v>
      </c>
      <c r="D14" s="93" t="s">
        <v>2565</v>
      </c>
      <c r="E14" s="96" t="s">
        <v>2751</v>
      </c>
      <c r="F14" s="295" t="n">
        <v>40</v>
      </c>
      <c r="G14" s="296" t="n">
        <v>75</v>
      </c>
      <c r="H14" s="55" t="n">
        <f aca="false">IF(OR(F14="",G14=""),"",IF(E14="越高越好",G14-F14,F14-G14))</f>
        <v>35</v>
      </c>
      <c r="I14" s="260" t="s">
        <v>2762</v>
      </c>
      <c r="J14" s="260" t="s">
        <v>2514</v>
      </c>
      <c r="K14" s="95" t="s">
        <v>2828</v>
      </c>
      <c r="L14" s="95" t="s">
        <v>2754</v>
      </c>
      <c r="M14" s="107" t="s">
        <v>2829</v>
      </c>
      <c r="N14" s="107" t="s">
        <v>2830</v>
      </c>
      <c r="O14" s="107" t="s">
        <v>2831</v>
      </c>
      <c r="P14" s="95" t="s">
        <v>2832</v>
      </c>
      <c r="Q14" s="297" t="s">
        <v>2759</v>
      </c>
      <c r="S14" s="22" t="str">
        <f aca="false">IF($A14="","",$A14&amp;" "&amp;$C14)</f>
        <v>KPI-OPS-02 Critical asset utilization｜關鍵設備利用率</v>
      </c>
    </row>
    <row r="15" customFormat="false" ht="26.85" hidden="false" customHeight="false" outlineLevel="0" collapsed="false">
      <c r="A15" s="93" t="s">
        <v>2833</v>
      </c>
      <c r="B15" s="260" t="s">
        <v>2817</v>
      </c>
      <c r="C15" s="95" t="s">
        <v>2834</v>
      </c>
      <c r="D15" s="93" t="s">
        <v>2835</v>
      </c>
      <c r="E15" s="96" t="s">
        <v>2770</v>
      </c>
      <c r="F15" s="295" t="n">
        <v>5</v>
      </c>
      <c r="G15" s="296" t="n">
        <v>2</v>
      </c>
      <c r="H15" s="55" t="n">
        <f aca="false">IF(OR(F15="",G15=""),"",IF(E15="越高越好",G15-F15,F15-G15))</f>
        <v>3</v>
      </c>
      <c r="I15" s="260" t="s">
        <v>2762</v>
      </c>
      <c r="J15" s="260" t="s">
        <v>2836</v>
      </c>
      <c r="K15" s="95" t="s">
        <v>2837</v>
      </c>
      <c r="L15" s="95" t="s">
        <v>2754</v>
      </c>
      <c r="M15" s="107" t="s">
        <v>2838</v>
      </c>
      <c r="N15" s="107" t="s">
        <v>2839</v>
      </c>
      <c r="O15" s="107" t="s">
        <v>2840</v>
      </c>
      <c r="P15" s="107" t="s">
        <v>2841</v>
      </c>
      <c r="Q15" s="297" t="s">
        <v>2759</v>
      </c>
      <c r="S15" s="22" t="str">
        <f aca="false">IF($A15="","",$A15&amp;" "&amp;$C15)</f>
        <v>KPI-OPS-03 Nurse-call response time｜護理呼叫回應時間</v>
      </c>
    </row>
    <row r="16" customFormat="false" ht="26.85" hidden="false" customHeight="false" outlineLevel="0" collapsed="false">
      <c r="A16" s="93" t="s">
        <v>2842</v>
      </c>
      <c r="B16" s="260" t="s">
        <v>2843</v>
      </c>
      <c r="C16" s="95" t="s">
        <v>2844</v>
      </c>
      <c r="D16" s="93" t="s">
        <v>2565</v>
      </c>
      <c r="E16" s="96" t="s">
        <v>2751</v>
      </c>
      <c r="F16" s="295" t="n">
        <v>99</v>
      </c>
      <c r="G16" s="296" t="n">
        <v>99.9</v>
      </c>
      <c r="H16" s="55" t="n">
        <f aca="false">IF(OR(F16="",G16=""),"",IF(E16="越高越好",G16-F16,F16-G16))</f>
        <v>0.900000000000006</v>
      </c>
      <c r="I16" s="260" t="s">
        <v>2762</v>
      </c>
      <c r="J16" s="96" t="s">
        <v>1989</v>
      </c>
      <c r="K16" s="95" t="s">
        <v>2845</v>
      </c>
      <c r="L16" s="95" t="s">
        <v>2754</v>
      </c>
      <c r="M16" s="95" t="s">
        <v>2846</v>
      </c>
      <c r="N16" s="107" t="s">
        <v>2847</v>
      </c>
      <c r="O16" s="107" t="s">
        <v>2848</v>
      </c>
      <c r="P16" s="107" t="s">
        <v>2849</v>
      </c>
      <c r="Q16" s="297" t="s">
        <v>2759</v>
      </c>
      <c r="S16" s="22" t="str">
        <f aca="false">IF($A16="","",$A16&amp;" "&amp;$C16)</f>
        <v>KPI-IT-01 IDC service availability｜IDC服務可用率</v>
      </c>
    </row>
    <row r="17" customFormat="false" ht="32.8" hidden="false" customHeight="false" outlineLevel="0" collapsed="false">
      <c r="A17" s="93" t="s">
        <v>2850</v>
      </c>
      <c r="B17" s="260" t="s">
        <v>2843</v>
      </c>
      <c r="C17" s="95" t="s">
        <v>2851</v>
      </c>
      <c r="D17" s="93" t="s">
        <v>2565</v>
      </c>
      <c r="E17" s="96" t="s">
        <v>2751</v>
      </c>
      <c r="F17" s="295" t="n">
        <v>0</v>
      </c>
      <c r="G17" s="296" t="n">
        <v>99</v>
      </c>
      <c r="H17" s="55" t="n">
        <f aca="false">IF(OR(F17="",G17=""),"",IF(E17="越高越好",G17-F17,F17-G17))</f>
        <v>99</v>
      </c>
      <c r="I17" s="260" t="s">
        <v>2852</v>
      </c>
      <c r="J17" s="260" t="s">
        <v>1605</v>
      </c>
      <c r="K17" s="95" t="s">
        <v>2853</v>
      </c>
      <c r="L17" s="95" t="s">
        <v>2754</v>
      </c>
      <c r="M17" s="107" t="s">
        <v>2854</v>
      </c>
      <c r="N17" s="107" t="s">
        <v>2855</v>
      </c>
      <c r="O17" s="107" t="s">
        <v>2856</v>
      </c>
      <c r="P17" s="107" t="s">
        <v>2857</v>
      </c>
      <c r="Q17" s="297" t="s">
        <v>2759</v>
      </c>
      <c r="S17" s="22" t="str">
        <f aca="false">IF($A17="","",$A17&amp;" "&amp;$C17)</f>
        <v>KPI-IT-02 Clinical Wi-Fi coverage acceptance｜臨床無線覆蓋驗收</v>
      </c>
    </row>
    <row r="18" customFormat="false" ht="26.85" hidden="false" customHeight="false" outlineLevel="0" collapsed="false">
      <c r="A18" s="93" t="s">
        <v>2858</v>
      </c>
      <c r="B18" s="260" t="s">
        <v>2843</v>
      </c>
      <c r="C18" s="95" t="s">
        <v>2859</v>
      </c>
      <c r="D18" s="93" t="s">
        <v>2565</v>
      </c>
      <c r="E18" s="96" t="s">
        <v>2751</v>
      </c>
      <c r="F18" s="295" t="n">
        <v>0</v>
      </c>
      <c r="G18" s="296" t="n">
        <v>100</v>
      </c>
      <c r="H18" s="55" t="n">
        <f aca="false">IF(OR(F18="",G18=""),"",IF(E18="越高越好",G18-F18,F18-G18))</f>
        <v>100</v>
      </c>
      <c r="I18" s="260" t="s">
        <v>2860</v>
      </c>
      <c r="J18" s="260" t="s">
        <v>480</v>
      </c>
      <c r="K18" s="95" t="s">
        <v>2861</v>
      </c>
      <c r="L18" s="95" t="s">
        <v>2754</v>
      </c>
      <c r="M18" s="107" t="s">
        <v>2862</v>
      </c>
      <c r="N18" s="107" t="s">
        <v>2863</v>
      </c>
      <c r="O18" s="107" t="s">
        <v>2864</v>
      </c>
      <c r="P18" s="95" t="s">
        <v>2865</v>
      </c>
      <c r="Q18" s="297" t="s">
        <v>2759</v>
      </c>
      <c r="S18" s="22" t="str">
        <f aca="false">IF($A18="","",$A18&amp;" "&amp;$C18)</f>
        <v>KPI-IT-03 DR recovery objective achieved｜災難復原目標達成</v>
      </c>
    </row>
    <row r="19" customFormat="false" ht="26.85" hidden="false" customHeight="false" outlineLevel="0" collapsed="false">
      <c r="A19" s="93" t="s">
        <v>2866</v>
      </c>
      <c r="B19" s="260" t="s">
        <v>2671</v>
      </c>
      <c r="C19" s="95" t="s">
        <v>2867</v>
      </c>
      <c r="D19" s="93" t="s">
        <v>2809</v>
      </c>
      <c r="E19" s="96" t="s">
        <v>2770</v>
      </c>
      <c r="F19" s="295" t="n">
        <v>10</v>
      </c>
      <c r="G19" s="296" t="n">
        <v>0</v>
      </c>
      <c r="H19" s="55" t="n">
        <f aca="false">IF(OR(F19="",G19=""),"",IF(E19="越高越好",G19-F19,F19-G19))</f>
        <v>10</v>
      </c>
      <c r="I19" s="260" t="s">
        <v>2762</v>
      </c>
      <c r="J19" s="260" t="s">
        <v>2314</v>
      </c>
      <c r="K19" s="95" t="s">
        <v>2868</v>
      </c>
      <c r="L19" s="95" t="s">
        <v>2754</v>
      </c>
      <c r="M19" s="107" t="s">
        <v>2869</v>
      </c>
      <c r="N19" s="107" t="s">
        <v>2870</v>
      </c>
      <c r="O19" s="95" t="s">
        <v>2814</v>
      </c>
      <c r="P19" s="107" t="s">
        <v>2871</v>
      </c>
      <c r="Q19" s="297" t="s">
        <v>2759</v>
      </c>
      <c r="S19" s="22" t="str">
        <f aca="false">IF($A19="","",$A19&amp;" "&amp;$C19)</f>
        <v>KPI-CYB-01 Critical vulnerabilities overdue｜逾期重大弱點</v>
      </c>
    </row>
    <row r="20" customFormat="false" ht="26.85" hidden="false" customHeight="false" outlineLevel="0" collapsed="false">
      <c r="A20" s="93" t="s">
        <v>2872</v>
      </c>
      <c r="B20" s="260" t="s">
        <v>2843</v>
      </c>
      <c r="C20" s="95" t="s">
        <v>2873</v>
      </c>
      <c r="D20" s="93" t="s">
        <v>2565</v>
      </c>
      <c r="E20" s="96" t="s">
        <v>2751</v>
      </c>
      <c r="F20" s="295" t="n">
        <v>0</v>
      </c>
      <c r="G20" s="296" t="n">
        <v>95</v>
      </c>
      <c r="H20" s="55" t="n">
        <f aca="false">IF(OR(F20="",G20=""),"",IF(E20="越高越好",G20-F20,F20-G20))</f>
        <v>95</v>
      </c>
      <c r="I20" s="260" t="s">
        <v>2874</v>
      </c>
      <c r="J20" s="260" t="s">
        <v>2875</v>
      </c>
      <c r="K20" s="95" t="s">
        <v>2876</v>
      </c>
      <c r="L20" s="95" t="s">
        <v>2754</v>
      </c>
      <c r="M20" s="107" t="s">
        <v>2877</v>
      </c>
      <c r="N20" s="107" t="s">
        <v>2878</v>
      </c>
      <c r="O20" s="107" t="s">
        <v>2879</v>
      </c>
      <c r="P20" s="95" t="s">
        <v>2880</v>
      </c>
      <c r="Q20" s="297" t="s">
        <v>2759</v>
      </c>
      <c r="S20" s="22" t="str">
        <f aca="false">IF($A20="","",$A20&amp;" "&amp;$C20)</f>
        <v>KPI-DIG-01 EMR active-user adoption｜EMR活躍使用率</v>
      </c>
    </row>
    <row r="21" customFormat="false" ht="24.6" hidden="false" customHeight="false" outlineLevel="0" collapsed="false">
      <c r="A21" s="93" t="s">
        <v>2881</v>
      </c>
      <c r="B21" s="260" t="s">
        <v>2843</v>
      </c>
      <c r="C21" s="95" t="s">
        <v>2882</v>
      </c>
      <c r="D21" s="93" t="s">
        <v>2565</v>
      </c>
      <c r="E21" s="96" t="s">
        <v>2751</v>
      </c>
      <c r="F21" s="295" t="n">
        <v>0</v>
      </c>
      <c r="G21" s="296" t="n">
        <v>100</v>
      </c>
      <c r="H21" s="55" t="n">
        <f aca="false">IF(OR(F21="",G21=""),"",IF(E21="越高越好",G21-F21,F21-G21))</f>
        <v>100</v>
      </c>
      <c r="I21" s="260" t="s">
        <v>2883</v>
      </c>
      <c r="J21" s="260" t="s">
        <v>513</v>
      </c>
      <c r="K21" s="95" t="s">
        <v>2884</v>
      </c>
      <c r="L21" s="95" t="s">
        <v>2754</v>
      </c>
      <c r="M21" s="107" t="s">
        <v>2885</v>
      </c>
      <c r="N21" s="107" t="s">
        <v>2886</v>
      </c>
      <c r="O21" s="107" t="s">
        <v>2887</v>
      </c>
      <c r="P21" s="107" t="s">
        <v>2888</v>
      </c>
      <c r="Q21" s="297" t="s">
        <v>2759</v>
      </c>
      <c r="S21" s="22" t="str">
        <f aca="false">IF($A21="","",$A21&amp;" "&amp;$C21)</f>
        <v>KPI-DIG-02 Interfaces passing conformance tests｜介面符合性通過率</v>
      </c>
    </row>
    <row r="22" customFormat="false" ht="32.8" hidden="false" customHeight="false" outlineLevel="0" collapsed="false">
      <c r="A22" s="93" t="s">
        <v>2889</v>
      </c>
      <c r="B22" s="260" t="s">
        <v>2843</v>
      </c>
      <c r="C22" s="95" t="s">
        <v>2890</v>
      </c>
      <c r="D22" s="93" t="s">
        <v>2565</v>
      </c>
      <c r="E22" s="96" t="s">
        <v>2770</v>
      </c>
      <c r="F22" s="295" t="n">
        <v>5</v>
      </c>
      <c r="G22" s="296" t="n">
        <v>0.5</v>
      </c>
      <c r="H22" s="55" t="n">
        <f aca="false">IF(OR(F22="",G22=""),"",IF(E22="越高越好",G22-F22,F22-G22))</f>
        <v>4.5</v>
      </c>
      <c r="I22" s="260" t="s">
        <v>2762</v>
      </c>
      <c r="J22" s="260" t="s">
        <v>522</v>
      </c>
      <c r="K22" s="95" t="s">
        <v>2891</v>
      </c>
      <c r="L22" s="95" t="s">
        <v>2754</v>
      </c>
      <c r="M22" s="107" t="s">
        <v>2892</v>
      </c>
      <c r="N22" s="107" t="s">
        <v>2893</v>
      </c>
      <c r="O22" s="107" t="s">
        <v>2894</v>
      </c>
      <c r="P22" s="95" t="s">
        <v>2891</v>
      </c>
      <c r="Q22" s="297" t="s">
        <v>2759</v>
      </c>
      <c r="S22" s="22" t="str">
        <f aca="false">IF($A22="","",$A22&amp;" "&amp;$C22)</f>
        <v>KPI-DIG-03 Duplicate patient record rate｜重複病歷率</v>
      </c>
    </row>
    <row r="23" customFormat="false" ht="26.85" hidden="false" customHeight="false" outlineLevel="0" collapsed="false">
      <c r="A23" s="93" t="s">
        <v>2895</v>
      </c>
      <c r="B23" s="260" t="s">
        <v>2677</v>
      </c>
      <c r="C23" s="95" t="s">
        <v>2896</v>
      </c>
      <c r="D23" s="93" t="s">
        <v>2565</v>
      </c>
      <c r="E23" s="96" t="s">
        <v>2751</v>
      </c>
      <c r="F23" s="295" t="n">
        <v>0</v>
      </c>
      <c r="G23" s="296" t="n">
        <v>100</v>
      </c>
      <c r="H23" s="55" t="n">
        <f aca="false">IF(OR(F23="",G23=""),"",IF(E23="越高越好",G23-F23,F23-G23))</f>
        <v>100</v>
      </c>
      <c r="I23" s="260" t="s">
        <v>2897</v>
      </c>
      <c r="J23" s="260" t="s">
        <v>2898</v>
      </c>
      <c r="K23" s="95" t="s">
        <v>2899</v>
      </c>
      <c r="L23" s="95" t="s">
        <v>2754</v>
      </c>
      <c r="M23" s="107" t="s">
        <v>2900</v>
      </c>
      <c r="N23" s="107" t="s">
        <v>2901</v>
      </c>
      <c r="O23" s="107" t="s">
        <v>2902</v>
      </c>
      <c r="P23" s="95" t="s">
        <v>2899</v>
      </c>
      <c r="Q23" s="297" t="s">
        <v>2759</v>
      </c>
      <c r="S23" s="22" t="str">
        <f aca="false">IF($A23="","",$A23&amp;" "&amp;$C23)</f>
        <v>KPI-HR-01 Critical positions filled｜關鍵職缺到位率</v>
      </c>
    </row>
    <row r="24" customFormat="false" ht="24.6" hidden="false" customHeight="false" outlineLevel="0" collapsed="false">
      <c r="A24" s="93" t="s">
        <v>2903</v>
      </c>
      <c r="B24" s="260" t="s">
        <v>2677</v>
      </c>
      <c r="C24" s="95" t="s">
        <v>2904</v>
      </c>
      <c r="D24" s="93" t="s">
        <v>2565</v>
      </c>
      <c r="E24" s="96" t="s">
        <v>2751</v>
      </c>
      <c r="F24" s="295" t="n">
        <v>0</v>
      </c>
      <c r="G24" s="296" t="n">
        <v>80</v>
      </c>
      <c r="H24" s="55" t="n">
        <f aca="false">IF(OR(F24="",G24=""),"",IF(E24="越高越好",G24-F24,F24-G24))</f>
        <v>80</v>
      </c>
      <c r="I24" s="260" t="s">
        <v>2752</v>
      </c>
      <c r="J24" s="260" t="s">
        <v>1838</v>
      </c>
      <c r="K24" s="95" t="s">
        <v>2905</v>
      </c>
      <c r="L24" s="95" t="s">
        <v>2754</v>
      </c>
      <c r="M24" s="107" t="s">
        <v>2906</v>
      </c>
      <c r="N24" s="107" t="s">
        <v>2907</v>
      </c>
      <c r="O24" s="107" t="s">
        <v>2908</v>
      </c>
      <c r="P24" s="107" t="s">
        <v>2909</v>
      </c>
      <c r="Q24" s="297" t="s">
        <v>2759</v>
      </c>
      <c r="S24" s="22" t="str">
        <f aca="false">IF($A24="","",$A24&amp;" "&amp;$C24)</f>
        <v>KPI-HR-03 Local trainers independently certified｜在地教師獨立認證率</v>
      </c>
    </row>
    <row r="25" customFormat="false" ht="26.85" hidden="false" customHeight="false" outlineLevel="0" collapsed="false">
      <c r="A25" s="93" t="s">
        <v>2910</v>
      </c>
      <c r="B25" s="260" t="s">
        <v>2911</v>
      </c>
      <c r="C25" s="95" t="s">
        <v>2912</v>
      </c>
      <c r="D25" s="93" t="s">
        <v>2565</v>
      </c>
      <c r="E25" s="96" t="s">
        <v>2751</v>
      </c>
      <c r="F25" s="295" t="n">
        <v>0</v>
      </c>
      <c r="G25" s="296" t="n">
        <v>95</v>
      </c>
      <c r="H25" s="55" t="n">
        <f aca="false">IF(OR(F25="",G25=""),"",IF(E25="越高越好",G25-F25,F25-G25))</f>
        <v>95</v>
      </c>
      <c r="I25" s="260" t="s">
        <v>2762</v>
      </c>
      <c r="J25" s="260" t="s">
        <v>2340</v>
      </c>
      <c r="K25" s="95" t="s">
        <v>2913</v>
      </c>
      <c r="L25" s="95" t="s">
        <v>2754</v>
      </c>
      <c r="M25" s="107" t="s">
        <v>2914</v>
      </c>
      <c r="N25" s="107" t="s">
        <v>2915</v>
      </c>
      <c r="O25" s="107" t="s">
        <v>2916</v>
      </c>
      <c r="P25" s="95" t="s">
        <v>2913</v>
      </c>
      <c r="Q25" s="297" t="s">
        <v>2759</v>
      </c>
      <c r="S25" s="22" t="str">
        <f aca="false">IF($A25="","",$A25&amp;" "&amp;$C25)</f>
        <v>KPI-MED-06 Preventive maintenance on time｜預防維護準時率</v>
      </c>
    </row>
    <row r="26" customFormat="false" ht="26.85" hidden="false" customHeight="false" outlineLevel="0" collapsed="false">
      <c r="A26" s="93" t="s">
        <v>2917</v>
      </c>
      <c r="B26" s="260" t="s">
        <v>2682</v>
      </c>
      <c r="C26" s="95" t="s">
        <v>2918</v>
      </c>
      <c r="D26" s="93" t="s">
        <v>2565</v>
      </c>
      <c r="E26" s="96" t="s">
        <v>2770</v>
      </c>
      <c r="F26" s="295" t="n">
        <v>5</v>
      </c>
      <c r="G26" s="296" t="n">
        <v>0.5</v>
      </c>
      <c r="H26" s="55" t="n">
        <f aca="false">IF(OR(F26="",G26=""),"",IF(E26="越高越好",G26-F26,F26-G26))</f>
        <v>4.5</v>
      </c>
      <c r="I26" s="260" t="s">
        <v>2762</v>
      </c>
      <c r="J26" s="260" t="s">
        <v>658</v>
      </c>
      <c r="K26" s="95" t="s">
        <v>2919</v>
      </c>
      <c r="L26" s="95" t="s">
        <v>2754</v>
      </c>
      <c r="M26" s="107" t="s">
        <v>2920</v>
      </c>
      <c r="N26" s="107" t="s">
        <v>2921</v>
      </c>
      <c r="O26" s="107" t="s">
        <v>2922</v>
      </c>
      <c r="P26" s="107" t="s">
        <v>2923</v>
      </c>
      <c r="Q26" s="297" t="s">
        <v>2759</v>
      </c>
      <c r="S26" s="22" t="str">
        <f aca="false">IF($A26="","",$A26&amp;" "&amp;$C26)</f>
        <v>KPI-SCM-02 Critical item stockout rate｜關鍵品項缺貨率</v>
      </c>
    </row>
    <row r="27" customFormat="false" ht="26.85" hidden="false" customHeight="false" outlineLevel="0" collapsed="false">
      <c r="A27" s="93" t="s">
        <v>2924</v>
      </c>
      <c r="B27" s="260" t="s">
        <v>2925</v>
      </c>
      <c r="C27" s="95" t="s">
        <v>2926</v>
      </c>
      <c r="D27" s="93" t="s">
        <v>2565</v>
      </c>
      <c r="E27" s="96" t="s">
        <v>2751</v>
      </c>
      <c r="F27" s="295" t="n">
        <v>70</v>
      </c>
      <c r="G27" s="296" t="n">
        <v>95</v>
      </c>
      <c r="H27" s="55" t="n">
        <f aca="false">IF(OR(F27="",G27=""),"",IF(E27="越高越好",G27-F27,F27-G27))</f>
        <v>25</v>
      </c>
      <c r="I27" s="260" t="s">
        <v>2762</v>
      </c>
      <c r="J27" s="260" t="s">
        <v>646</v>
      </c>
      <c r="K27" s="95" t="s">
        <v>2927</v>
      </c>
      <c r="L27" s="95" t="s">
        <v>2754</v>
      </c>
      <c r="M27" s="107" t="s">
        <v>2928</v>
      </c>
      <c r="N27" s="107" t="s">
        <v>2929</v>
      </c>
      <c r="O27" s="107" t="s">
        <v>2930</v>
      </c>
      <c r="P27" s="107" t="s">
        <v>2931</v>
      </c>
      <c r="Q27" s="297" t="s">
        <v>2759</v>
      </c>
      <c r="S27" s="22" t="str">
        <f aca="false">IF($A27="","",$A27&amp;" "&amp;$C27)</f>
        <v>KPI-FIN-03 Claims first-pass acceptance｜理賠首次通過率</v>
      </c>
    </row>
    <row r="28" customFormat="false" ht="24.6" hidden="false" customHeight="false" outlineLevel="0" collapsed="false">
      <c r="A28" s="93" t="s">
        <v>2932</v>
      </c>
      <c r="B28" s="260" t="s">
        <v>2925</v>
      </c>
      <c r="C28" s="95" t="s">
        <v>2933</v>
      </c>
      <c r="D28" s="93" t="s">
        <v>2565</v>
      </c>
      <c r="E28" s="96" t="s">
        <v>2770</v>
      </c>
      <c r="F28" s="295" t="n">
        <v>15</v>
      </c>
      <c r="G28" s="296" t="n">
        <v>5</v>
      </c>
      <c r="H28" s="55" t="n">
        <f aca="false">IF(OR(F28="",G28=""),"",IF(E28="越高越好",G28-F28,F28-G28))</f>
        <v>10</v>
      </c>
      <c r="I28" s="260" t="s">
        <v>2752</v>
      </c>
      <c r="J28" s="260" t="s">
        <v>273</v>
      </c>
      <c r="K28" s="95" t="s">
        <v>2934</v>
      </c>
      <c r="L28" s="95" t="s">
        <v>2754</v>
      </c>
      <c r="M28" s="107" t="s">
        <v>2935</v>
      </c>
      <c r="N28" s="107" t="s">
        <v>2936</v>
      </c>
      <c r="O28" s="107" t="s">
        <v>2937</v>
      </c>
      <c r="P28" s="107" t="s">
        <v>2938</v>
      </c>
      <c r="Q28" s="297" t="s">
        <v>2759</v>
      </c>
      <c r="S28" s="22" t="str">
        <f aca="false">IF($A28="","",$A28&amp;" "&amp;$C28)</f>
        <v>KPI-FIN-05 Contract variations vs approved budget｜契約變更占預算</v>
      </c>
    </row>
    <row r="29" customFormat="false" ht="26.85" hidden="false" customHeight="false" outlineLevel="0" collapsed="false">
      <c r="A29" s="93" t="s">
        <v>2939</v>
      </c>
      <c r="B29" s="260" t="s">
        <v>2940</v>
      </c>
      <c r="C29" s="95" t="s">
        <v>2941</v>
      </c>
      <c r="D29" s="93" t="s">
        <v>2565</v>
      </c>
      <c r="E29" s="96" t="s">
        <v>2751</v>
      </c>
      <c r="F29" s="295" t="n">
        <v>0</v>
      </c>
      <c r="G29" s="296" t="n">
        <v>60</v>
      </c>
      <c r="H29" s="55" t="n">
        <f aca="false">IF(OR(F29="",G29=""),"",IF(E29="越高越好",G29-F29,F29-G29))</f>
        <v>60</v>
      </c>
      <c r="I29" s="260" t="s">
        <v>2762</v>
      </c>
      <c r="J29" s="260" t="s">
        <v>675</v>
      </c>
      <c r="K29" s="95" t="s">
        <v>2942</v>
      </c>
      <c r="L29" s="95" t="s">
        <v>2754</v>
      </c>
      <c r="M29" s="107" t="s">
        <v>2943</v>
      </c>
      <c r="N29" s="107" t="s">
        <v>2944</v>
      </c>
      <c r="O29" s="107" t="s">
        <v>2945</v>
      </c>
      <c r="P29" s="107" t="s">
        <v>2946</v>
      </c>
      <c r="Q29" s="297" t="s">
        <v>2759</v>
      </c>
      <c r="S29" s="22" t="str">
        <f aca="false">IF($A29="","",$A29&amp;" "&amp;$C29)</f>
        <v>KPI-PAT-01 Patient digital service adoption｜病人數位服務採用率</v>
      </c>
    </row>
    <row r="30" customFormat="false" ht="24" hidden="false" customHeight="true" outlineLevel="0" collapsed="false">
      <c r="A30" s="59"/>
      <c r="B30" s="59"/>
      <c r="C30" s="52"/>
      <c r="D30" s="59"/>
      <c r="E30" s="59"/>
      <c r="F30" s="59"/>
      <c r="G30" s="59"/>
      <c r="H30" s="55" t="str">
        <f aca="false">IF(OR($A30="",F30="",G30=""),"",IF(E30="越高越好",G30-F30,F30-G30))</f>
        <v/>
      </c>
      <c r="I30" s="59"/>
      <c r="J30" s="59"/>
      <c r="K30" s="52"/>
      <c r="L30" s="52"/>
      <c r="M30" s="52"/>
      <c r="N30" s="52"/>
      <c r="O30" s="52"/>
      <c r="P30" s="52"/>
      <c r="Q30" s="52"/>
      <c r="S30" s="22" t="str">
        <f aca="false">IF($A30="","",$A30&amp;" "&amp;$C30)</f>
        <v/>
      </c>
    </row>
    <row r="31" customFormat="false" ht="24" hidden="false" customHeight="true" outlineLevel="0" collapsed="false">
      <c r="A31" s="59"/>
      <c r="B31" s="59"/>
      <c r="C31" s="52"/>
      <c r="D31" s="59"/>
      <c r="E31" s="59"/>
      <c r="F31" s="59"/>
      <c r="G31" s="59"/>
      <c r="H31" s="55" t="str">
        <f aca="false">IF(OR($A31="",F31="",G31=""),"",IF(E31="越高越好",G31-F31,F31-G31))</f>
        <v/>
      </c>
      <c r="I31" s="59"/>
      <c r="J31" s="59"/>
      <c r="K31" s="52"/>
      <c r="L31" s="52"/>
      <c r="M31" s="52"/>
      <c r="N31" s="52"/>
      <c r="O31" s="52"/>
      <c r="P31" s="52"/>
      <c r="Q31" s="52"/>
      <c r="S31" s="22" t="str">
        <f aca="false">IF($A31="","",$A31&amp;" "&amp;$C31)</f>
        <v/>
      </c>
    </row>
    <row r="32" customFormat="false" ht="24" hidden="false" customHeight="true" outlineLevel="0" collapsed="false">
      <c r="A32" s="59"/>
      <c r="B32" s="59"/>
      <c r="C32" s="52"/>
      <c r="D32" s="59"/>
      <c r="E32" s="59"/>
      <c r="F32" s="59"/>
      <c r="G32" s="59"/>
      <c r="H32" s="55" t="str">
        <f aca="false">IF(OR($A32="",F32="",G32=""),"",IF(E32="越高越好",G32-F32,F32-G32))</f>
        <v/>
      </c>
      <c r="I32" s="59"/>
      <c r="J32" s="59"/>
      <c r="K32" s="52"/>
      <c r="L32" s="52"/>
      <c r="M32" s="52"/>
      <c r="N32" s="52"/>
      <c r="O32" s="52"/>
      <c r="P32" s="52"/>
      <c r="Q32" s="52"/>
      <c r="S32" s="22" t="str">
        <f aca="false">IF($A32="","",$A32&amp;" "&amp;$C32)</f>
        <v/>
      </c>
    </row>
    <row r="33" customFormat="false" ht="24" hidden="false" customHeight="true" outlineLevel="0" collapsed="false">
      <c r="A33" s="59"/>
      <c r="B33" s="59"/>
      <c r="C33" s="52"/>
      <c r="D33" s="59"/>
      <c r="E33" s="59"/>
      <c r="F33" s="59"/>
      <c r="G33" s="59"/>
      <c r="H33" s="55" t="str">
        <f aca="false">IF(OR($A33="",F33="",G33=""),"",IF(E33="越高越好",G33-F33,F33-G33))</f>
        <v/>
      </c>
      <c r="I33" s="59"/>
      <c r="J33" s="59"/>
      <c r="K33" s="52"/>
      <c r="L33" s="52"/>
      <c r="M33" s="52"/>
      <c r="N33" s="52"/>
      <c r="O33" s="52"/>
      <c r="P33" s="52"/>
      <c r="Q33" s="52"/>
      <c r="S33" s="22" t="str">
        <f aca="false">IF($A33="","",$A33&amp;" "&amp;$C33)</f>
        <v/>
      </c>
    </row>
    <row r="34" customFormat="false" ht="24" hidden="false" customHeight="true" outlineLevel="0" collapsed="false">
      <c r="A34" s="59"/>
      <c r="B34" s="59"/>
      <c r="C34" s="52"/>
      <c r="D34" s="59"/>
      <c r="E34" s="59"/>
      <c r="F34" s="59"/>
      <c r="G34" s="59"/>
      <c r="H34" s="55" t="str">
        <f aca="false">IF(OR($A34="",F34="",G34=""),"",IF(E34="越高越好",G34-F34,F34-G34))</f>
        <v/>
      </c>
      <c r="I34" s="59"/>
      <c r="J34" s="59"/>
      <c r="K34" s="52"/>
      <c r="L34" s="52"/>
      <c r="M34" s="52"/>
      <c r="N34" s="52"/>
      <c r="O34" s="52"/>
      <c r="P34" s="52"/>
      <c r="Q34" s="52"/>
      <c r="S34" s="22" t="str">
        <f aca="false">IF($A34="","",$A34&amp;" "&amp;$C34)</f>
        <v/>
      </c>
    </row>
    <row r="35" customFormat="false" ht="24" hidden="false" customHeight="true" outlineLevel="0" collapsed="false">
      <c r="A35" s="59"/>
      <c r="B35" s="59"/>
      <c r="C35" s="52"/>
      <c r="D35" s="59"/>
      <c r="E35" s="59"/>
      <c r="F35" s="59"/>
      <c r="G35" s="59"/>
      <c r="H35" s="55" t="str">
        <f aca="false">IF(OR($A35="",F35="",G35=""),"",IF(E35="越高越好",G35-F35,F35-G35))</f>
        <v/>
      </c>
      <c r="I35" s="59"/>
      <c r="J35" s="59"/>
      <c r="K35" s="52"/>
      <c r="L35" s="52"/>
      <c r="M35" s="52"/>
      <c r="N35" s="52"/>
      <c r="O35" s="52"/>
      <c r="P35" s="52"/>
      <c r="Q35" s="52"/>
      <c r="S35" s="22" t="str">
        <f aca="false">IF($A35="","",$A35&amp;" "&amp;$C35)</f>
        <v/>
      </c>
    </row>
    <row r="36" customFormat="false" ht="24" hidden="false" customHeight="true" outlineLevel="0" collapsed="false">
      <c r="A36" s="59"/>
      <c r="B36" s="59"/>
      <c r="C36" s="52"/>
      <c r="D36" s="59"/>
      <c r="E36" s="59"/>
      <c r="F36" s="59"/>
      <c r="G36" s="59"/>
      <c r="H36" s="55" t="str">
        <f aca="false">IF(OR($A36="",F36="",G36=""),"",IF(E36="越高越好",G36-F36,F36-G36))</f>
        <v/>
      </c>
      <c r="I36" s="59"/>
      <c r="J36" s="59"/>
      <c r="K36" s="52"/>
      <c r="L36" s="52"/>
      <c r="M36" s="52"/>
      <c r="N36" s="52"/>
      <c r="O36" s="52"/>
      <c r="P36" s="52"/>
      <c r="Q36" s="52"/>
      <c r="S36" s="22" t="str">
        <f aca="false">IF($A36="","",$A36&amp;" "&amp;$C36)</f>
        <v/>
      </c>
    </row>
    <row r="37" customFormat="false" ht="24" hidden="false" customHeight="true" outlineLevel="0" collapsed="false">
      <c r="A37" s="59"/>
      <c r="B37" s="59"/>
      <c r="C37" s="52"/>
      <c r="D37" s="59"/>
      <c r="E37" s="59"/>
      <c r="F37" s="59"/>
      <c r="G37" s="59"/>
      <c r="H37" s="55" t="str">
        <f aca="false">IF(OR($A37="",F37="",G37=""),"",IF(E37="越高越好",G37-F37,F37-G37))</f>
        <v/>
      </c>
      <c r="I37" s="59"/>
      <c r="J37" s="59"/>
      <c r="K37" s="52"/>
      <c r="L37" s="52"/>
      <c r="M37" s="52"/>
      <c r="N37" s="52"/>
      <c r="O37" s="52"/>
      <c r="P37" s="52"/>
      <c r="Q37" s="52"/>
      <c r="S37" s="22" t="str">
        <f aca="false">IF($A37="","",$A37&amp;" "&amp;$C37)</f>
        <v/>
      </c>
    </row>
    <row r="39" customFormat="false" ht="17.15" hidden="false" customHeight="false" outlineLevel="0" collapsed="false">
      <c r="A39" s="6" t="s">
        <v>2947</v>
      </c>
    </row>
    <row r="40" customFormat="false" ht="19.5" hidden="false" customHeight="true" outlineLevel="0" collapsed="false">
      <c r="A40" s="36" t="s">
        <v>921</v>
      </c>
      <c r="C40" s="36" t="s">
        <v>1368</v>
      </c>
      <c r="D40" s="36" t="s">
        <v>1369</v>
      </c>
      <c r="E40" s="36" t="s">
        <v>1370</v>
      </c>
    </row>
    <row r="41" customFormat="false" ht="15" hidden="false" customHeight="false" outlineLevel="0" collapsed="false">
      <c r="A41" s="258" t="str">
        <f aca="false">02_情境權重_Scenario!A34</f>
        <v>D01 治理與投資</v>
      </c>
      <c r="B41" s="258"/>
      <c r="C41" s="275" t="n">
        <f aca="false">02_情境權重_Scenario!E34</f>
        <v>1</v>
      </c>
      <c r="D41" s="275" t="n">
        <f aca="false">02_情境權重_Scenario!F34</f>
        <v>4</v>
      </c>
      <c r="E41" s="298" t="n">
        <f aca="false">02_情境權重_Scenario!G34</f>
        <v>3</v>
      </c>
    </row>
    <row r="42" customFormat="false" ht="15" hidden="false" customHeight="false" outlineLevel="0" collapsed="false">
      <c r="A42" s="258" t="str">
        <f aca="false">02_情境權重_Scenario!A35</f>
        <v>D02 臨床服務模式</v>
      </c>
      <c r="B42" s="258"/>
      <c r="C42" s="275" t="n">
        <f aca="false">02_情境權重_Scenario!E35</f>
        <v>1</v>
      </c>
      <c r="D42" s="275" t="n">
        <f aca="false">02_情境權重_Scenario!F35</f>
        <v>4</v>
      </c>
      <c r="E42" s="298" t="n">
        <f aca="false">02_情境權重_Scenario!G35</f>
        <v>3</v>
      </c>
    </row>
    <row r="43" customFormat="false" ht="15" hidden="false" customHeight="false" outlineLevel="0" collapsed="false">
      <c r="A43" s="258" t="str">
        <f aca="false">02_情境權重_Scenario!A36</f>
        <v>D03 醫院設施與機電</v>
      </c>
      <c r="B43" s="258"/>
      <c r="C43" s="275" t="n">
        <f aca="false">02_情境權重_Scenario!E36</f>
        <v>1</v>
      </c>
      <c r="D43" s="275" t="n">
        <f aca="false">02_情境權重_Scenario!F36</f>
        <v>4</v>
      </c>
      <c r="E43" s="298" t="n">
        <f aca="false">02_情境權重_Scenario!G36</f>
        <v>3</v>
      </c>
    </row>
    <row r="44" customFormat="false" ht="15" hidden="false" customHeight="false" outlineLevel="0" collapsed="false">
      <c r="A44" s="258" t="str">
        <f aca="false">02_情境權重_Scenario!A37</f>
        <v>D04 數位基建與物聯網</v>
      </c>
      <c r="B44" s="258"/>
      <c r="C44" s="275" t="n">
        <f aca="false">02_情境權重_Scenario!E37</f>
        <v>1</v>
      </c>
      <c r="D44" s="275" t="n">
        <f aca="false">02_情境權重_Scenario!F37</f>
        <v>4</v>
      </c>
      <c r="E44" s="298" t="n">
        <f aca="false">02_情境權重_Scenario!G37</f>
        <v>3</v>
      </c>
    </row>
    <row r="45" customFormat="false" ht="15" hidden="false" customHeight="false" outlineLevel="0" collapsed="false">
      <c r="A45" s="258" t="str">
        <f aca="false">02_情境權重_Scenario!A38</f>
        <v>D05 醫材與診斷</v>
      </c>
      <c r="B45" s="258"/>
      <c r="C45" s="275" t="n">
        <f aca="false">02_情境權重_Scenario!E38</f>
        <v>1</v>
      </c>
      <c r="D45" s="275" t="n">
        <f aca="false">02_情境權重_Scenario!F38</f>
        <v>4</v>
      </c>
      <c r="E45" s="298" t="n">
        <f aca="false">02_情境權重_Scenario!G38</f>
        <v>3</v>
      </c>
    </row>
    <row r="46" customFormat="false" ht="15" hidden="false" customHeight="false" outlineLevel="0" collapsed="false">
      <c r="A46" s="258" t="str">
        <f aca="false">02_情境權重_Scenario!A39</f>
        <v>D06 醫療資訊與資料</v>
      </c>
      <c r="B46" s="258"/>
      <c r="C46" s="275" t="n">
        <f aca="false">02_情境權重_Scenario!E39</f>
        <v>1</v>
      </c>
      <c r="D46" s="275" t="n">
        <f aca="false">02_情境權重_Scenario!F39</f>
        <v>4</v>
      </c>
      <c r="E46" s="298" t="n">
        <f aca="false">02_情境權重_Scenario!G39</f>
        <v>3</v>
      </c>
    </row>
    <row r="47" customFormat="false" ht="15" hidden="false" customHeight="false" outlineLevel="0" collapsed="false">
      <c r="A47" s="258" t="str">
        <f aca="false">02_情境權重_Scenario!A40</f>
        <v>D07 品質與病安</v>
      </c>
      <c r="B47" s="258"/>
      <c r="C47" s="275" t="n">
        <f aca="false">02_情境權重_Scenario!E40</f>
        <v>1</v>
      </c>
      <c r="D47" s="275" t="n">
        <f aca="false">02_情境權重_Scenario!F40</f>
        <v>4</v>
      </c>
      <c r="E47" s="298" t="n">
        <f aca="false">02_情境權重_Scenario!G40</f>
        <v>3</v>
      </c>
    </row>
    <row r="48" customFormat="false" ht="15" hidden="false" customHeight="false" outlineLevel="0" collapsed="false">
      <c r="A48" s="258" t="str">
        <f aca="false">02_情境權重_Scenario!A41</f>
        <v>D08 人才與技轉</v>
      </c>
      <c r="B48" s="258"/>
      <c r="C48" s="275" t="n">
        <f aca="false">02_情境權重_Scenario!E41</f>
        <v>1</v>
      </c>
      <c r="D48" s="275" t="n">
        <f aca="false">02_情境權重_Scenario!F41</f>
        <v>4</v>
      </c>
      <c r="E48" s="298" t="n">
        <f aca="false">02_情境權重_Scenario!G41</f>
        <v>3</v>
      </c>
    </row>
    <row r="49" customFormat="false" ht="15" hidden="false" customHeight="false" outlineLevel="0" collapsed="false">
      <c r="A49" s="258" t="str">
        <f aca="false">02_情境權重_Scenario!A42</f>
        <v>D09 供應鏈與維運</v>
      </c>
      <c r="B49" s="258"/>
      <c r="C49" s="275" t="n">
        <f aca="false">02_情境權重_Scenario!E42</f>
        <v>1</v>
      </c>
      <c r="D49" s="275" t="n">
        <f aca="false">02_情境權重_Scenario!F42</f>
        <v>4</v>
      </c>
      <c r="E49" s="298" t="n">
        <f aca="false">02_情境權重_Scenario!G42</f>
        <v>3</v>
      </c>
    </row>
    <row r="50" customFormat="false" ht="15" hidden="false" customHeight="false" outlineLevel="0" collapsed="false">
      <c r="A50" s="258" t="str">
        <f aca="false">02_情境權重_Scenario!A43</f>
        <v>D10 商模與病人生態</v>
      </c>
      <c r="B50" s="258"/>
      <c r="C50" s="275" t="n">
        <f aca="false">02_情境權重_Scenario!E43</f>
        <v>1</v>
      </c>
      <c r="D50" s="275" t="n">
        <f aca="false">02_情境權重_Scenario!F43</f>
        <v>4</v>
      </c>
      <c r="E50" s="298" t="n">
        <f aca="false">02_情境權重_Scenario!G43</f>
        <v>3</v>
      </c>
    </row>
    <row r="52" customFormat="false" ht="17.15" hidden="false" customHeight="false" outlineLevel="0" collapsed="false">
      <c r="A52" s="299" t="s">
        <v>2948</v>
      </c>
    </row>
    <row r="53" customFormat="false" ht="19.5" hidden="false" customHeight="true" outlineLevel="0" collapsed="false">
      <c r="A53" s="259" t="s">
        <v>2949</v>
      </c>
      <c r="B53" s="259" t="s">
        <v>2950</v>
      </c>
      <c r="D53" s="259" t="s">
        <v>2951</v>
      </c>
      <c r="E53" s="259" t="s">
        <v>1369</v>
      </c>
      <c r="F53" s="259" t="s">
        <v>2952</v>
      </c>
      <c r="G53" s="259" t="s">
        <v>2542</v>
      </c>
    </row>
    <row r="54" customFormat="false" ht="24" hidden="false" customHeight="true" outlineLevel="0" collapsed="false">
      <c r="A54" s="300" t="s">
        <v>2953</v>
      </c>
      <c r="B54" s="301" t="s">
        <v>2954</v>
      </c>
      <c r="C54" s="301"/>
      <c r="D54" s="302" t="n">
        <f aca="false">COUNTIF(14_商機清單_Pipeline!$A$5:$A$24,"&lt;&gt;")</f>
        <v>8</v>
      </c>
      <c r="E54" s="303" t="n">
        <v>10</v>
      </c>
      <c r="F54" s="166" t="s">
        <v>2955</v>
      </c>
      <c r="G54" s="304" t="s">
        <v>2956</v>
      </c>
      <c r="H54" s="304"/>
      <c r="I54" s="304"/>
      <c r="J54" s="304"/>
      <c r="K54" s="304"/>
      <c r="L54" s="304"/>
    </row>
    <row r="55" customFormat="false" ht="24" hidden="false" customHeight="true" outlineLevel="0" collapsed="false">
      <c r="A55" s="300" t="s">
        <v>2957</v>
      </c>
      <c r="B55" s="301" t="s">
        <v>2958</v>
      </c>
      <c r="C55" s="301"/>
      <c r="D55" s="302" t="n">
        <f aca="false">IFERROR(ROUND((COUNTIF(14_商機清單_Pipeline!$P$5:$P$24,"Proposal*")+COUNTIF(14_商機清單_Pipeline!$P$5:$P$24,"Negotiation*")+COUNTIF(14_商機清單_Pipeline!$P$5:$P$24,"Won*"))/COUNTIF(14_商機清單_Pipeline!$A$5:$A$24,"&lt;&gt;")*100,0),"")</f>
        <v>25</v>
      </c>
      <c r="E55" s="303" t="n">
        <v>40</v>
      </c>
      <c r="F55" s="166" t="s">
        <v>2955</v>
      </c>
      <c r="G55" s="304" t="s">
        <v>2959</v>
      </c>
      <c r="H55" s="304"/>
      <c r="I55" s="304"/>
      <c r="J55" s="304"/>
      <c r="K55" s="304"/>
      <c r="L55" s="304"/>
    </row>
    <row r="56" customFormat="false" ht="24" hidden="false" customHeight="true" outlineLevel="0" collapsed="false">
      <c r="A56" s="300" t="s">
        <v>2960</v>
      </c>
      <c r="B56" s="301" t="s">
        <v>2961</v>
      </c>
      <c r="C56" s="301"/>
      <c r="D56" s="302" t="n">
        <f aca="false">COUNTIF(14_商機清單_Pipeline!$P$5:$P$24,"Won*")</f>
        <v>0</v>
      </c>
      <c r="E56" s="303" t="n">
        <v>2</v>
      </c>
      <c r="F56" s="166" t="s">
        <v>2962</v>
      </c>
      <c r="G56" s="304" t="s">
        <v>2963</v>
      </c>
      <c r="H56" s="304"/>
      <c r="I56" s="304"/>
      <c r="J56" s="304"/>
      <c r="K56" s="304"/>
      <c r="L56" s="304"/>
    </row>
    <row r="57" customFormat="false" ht="24" hidden="false" customHeight="true" outlineLevel="0" collapsed="false">
      <c r="A57" s="300" t="s">
        <v>2964</v>
      </c>
      <c r="B57" s="301" t="s">
        <v>2965</v>
      </c>
      <c r="C57" s="301"/>
      <c r="D57" s="302" t="n">
        <f aca="false">COUNTIF(03_能力總表_Master!$H$5:$H$154,"缺口*")</f>
        <v>9</v>
      </c>
      <c r="E57" s="303" t="n">
        <v>4</v>
      </c>
      <c r="F57" s="166" t="s">
        <v>2955</v>
      </c>
      <c r="G57" s="305" t="s">
        <v>2966</v>
      </c>
      <c r="H57" s="305"/>
      <c r="I57" s="305"/>
      <c r="J57" s="305"/>
      <c r="K57" s="305"/>
      <c r="L57" s="305"/>
    </row>
    <row r="58" customFormat="false" ht="24" hidden="false" customHeight="true" outlineLevel="0" collapsed="false">
      <c r="A58" s="300" t="s">
        <v>2967</v>
      </c>
      <c r="B58" s="301" t="s">
        <v>2968</v>
      </c>
      <c r="C58" s="301"/>
      <c r="D58" s="302" t="n">
        <f aca="false">COUNTIF(04_夥伴拼圖_Partners!$R$5:$R$40,"*Contracted*")+COUNTIF(04_夥伴拼圖_Partners!$R$5:$R$40,"*Qualified*")</f>
        <v>1</v>
      </c>
      <c r="E58" s="303" t="n">
        <v>8</v>
      </c>
      <c r="F58" s="166" t="s">
        <v>2962</v>
      </c>
      <c r="G58" s="304" t="s">
        <v>2969</v>
      </c>
      <c r="H58" s="304"/>
      <c r="I58" s="304"/>
      <c r="J58" s="304"/>
      <c r="K58" s="304"/>
      <c r="L58" s="304"/>
    </row>
    <row r="59" customFormat="false" ht="24" hidden="false" customHeight="true" outlineLevel="0" collapsed="false">
      <c r="A59" s="300" t="s">
        <v>2970</v>
      </c>
      <c r="B59" s="306" t="s">
        <v>2971</v>
      </c>
      <c r="C59" s="306"/>
      <c r="D59" s="307"/>
      <c r="E59" s="303" t="n">
        <v>85</v>
      </c>
      <c r="F59" s="166" t="s">
        <v>2972</v>
      </c>
      <c r="G59" s="304" t="s">
        <v>2973</v>
      </c>
      <c r="H59" s="304"/>
      <c r="I59" s="304"/>
      <c r="J59" s="304"/>
      <c r="K59" s="304"/>
      <c r="L59" s="304"/>
    </row>
    <row r="61" customFormat="false" ht="17.15" hidden="false" customHeight="false" outlineLevel="0" collapsed="false">
      <c r="A61" s="35" t="s">
        <v>2974</v>
      </c>
    </row>
    <row r="62" customFormat="false" ht="21.75" hidden="false" customHeight="true" outlineLevel="0" collapsed="false">
      <c r="A62" s="174" t="s">
        <v>2975</v>
      </c>
      <c r="B62" s="174"/>
      <c r="C62" s="186" t="s">
        <v>2976</v>
      </c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</row>
    <row r="63" customFormat="false" ht="21.75" hidden="false" customHeight="true" outlineLevel="0" collapsed="false">
      <c r="A63" s="174" t="s">
        <v>2977</v>
      </c>
      <c r="B63" s="174"/>
      <c r="C63" s="186" t="s">
        <v>2978</v>
      </c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</row>
    <row r="64" customFormat="false" ht="21.75" hidden="false" customHeight="true" outlineLevel="0" collapsed="false">
      <c r="A64" s="174" t="s">
        <v>2979</v>
      </c>
      <c r="B64" s="174"/>
      <c r="C64" s="186" t="s">
        <v>2980</v>
      </c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</row>
    <row r="65" customFormat="false" ht="21.75" hidden="false" customHeight="true" outlineLevel="0" collapsed="false">
      <c r="A65" s="174" t="s">
        <v>2981</v>
      </c>
      <c r="B65" s="174"/>
      <c r="C65" s="186" t="s">
        <v>2982</v>
      </c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</row>
    <row r="66" customFormat="false" ht="21.75" hidden="false" customHeight="true" outlineLevel="0" collapsed="false">
      <c r="A66" s="174" t="s">
        <v>2983</v>
      </c>
      <c r="B66" s="174"/>
      <c r="C66" s="187" t="s">
        <v>2984</v>
      </c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</row>
  </sheetData>
  <sheetProtection sheet="true" formatColumns="false" formatRows="false" autoFilter="false"/>
  <autoFilter ref="A4:L37"/>
  <mergeCells count="34">
    <mergeCell ref="A1:L1"/>
    <mergeCell ref="A2:L2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B54:C54"/>
    <mergeCell ref="G54:L54"/>
    <mergeCell ref="B55:C55"/>
    <mergeCell ref="G55:L55"/>
    <mergeCell ref="B56:C56"/>
    <mergeCell ref="G56:L56"/>
    <mergeCell ref="B57:C57"/>
    <mergeCell ref="G57:L57"/>
    <mergeCell ref="B58:C58"/>
    <mergeCell ref="G58:L58"/>
    <mergeCell ref="B59:C59"/>
    <mergeCell ref="G59:L59"/>
    <mergeCell ref="A62:B62"/>
    <mergeCell ref="C62:P62"/>
    <mergeCell ref="A63:B63"/>
    <mergeCell ref="C63:P63"/>
    <mergeCell ref="A64:B64"/>
    <mergeCell ref="C64:P64"/>
    <mergeCell ref="A65:B65"/>
    <mergeCell ref="C65:P65"/>
    <mergeCell ref="A66:B66"/>
    <mergeCell ref="C66:P66"/>
  </mergeCells>
  <dataValidations count="4"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B5:B37" type="list">
      <formula1>L_KPIP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E5:E37" type="list">
      <formula1>L_Dir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I5:I37" type="list">
      <formula1>L_Freq</formula1>
      <formula2>0</formula2>
    </dataValidation>
    <dataValidation allowBlank="true" error="此欄僅接受 98_選單維護 中定義的選項；如需新增選項，請到 98 分頁該欄最下方新增。" errorStyle="stop" errorTitle="請由下拉選單選擇" operator="between" showDropDown="false" showErrorMessage="true" showInputMessage="false" sqref="J5:J37" type="list">
      <formula1>L_Lead</formula1>
      <formula2>0</formula2>
    </dataValidation>
  </dataValidation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30" hidden="false" customHeight="true" outlineLevel="0" collapsed="false">
      <c r="A1" s="1" t="s">
        <v>2985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4" t="s">
        <v>2986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946</v>
      </c>
    </row>
    <row r="4" customFormat="false" ht="17.15" hidden="false" customHeight="false" outlineLevel="0" collapsed="false">
      <c r="A4" s="35" t="s">
        <v>2987</v>
      </c>
    </row>
    <row r="5" customFormat="false" ht="19.5" hidden="false" customHeight="true" outlineLevel="0" collapsed="false">
      <c r="A5" s="220" t="s">
        <v>2988</v>
      </c>
      <c r="B5" s="36" t="s">
        <v>2989</v>
      </c>
      <c r="C5" s="36" t="s">
        <v>2990</v>
      </c>
      <c r="D5" s="36" t="s">
        <v>2991</v>
      </c>
      <c r="E5" s="220" t="s">
        <v>2992</v>
      </c>
      <c r="F5" s="36" t="s">
        <v>2993</v>
      </c>
      <c r="G5" s="36" t="s">
        <v>1975</v>
      </c>
      <c r="H5" s="36" t="s">
        <v>2194</v>
      </c>
    </row>
    <row r="6" customFormat="false" ht="25.35" hidden="false" customHeight="false" outlineLevel="0" collapsed="false">
      <c r="A6" s="308" t="s">
        <v>2994</v>
      </c>
      <c r="B6" s="308" t="s">
        <v>2995</v>
      </c>
      <c r="C6" s="308" t="s">
        <v>2246</v>
      </c>
      <c r="D6" s="308" t="s">
        <v>2996</v>
      </c>
      <c r="E6" s="308" t="s">
        <v>2247</v>
      </c>
      <c r="F6" s="308" t="s">
        <v>1439</v>
      </c>
      <c r="G6" s="308" t="s">
        <v>2997</v>
      </c>
      <c r="H6" s="308" t="s">
        <v>2998</v>
      </c>
    </row>
    <row r="7" customFormat="false" ht="25.35" hidden="false" customHeight="false" outlineLevel="0" collapsed="false">
      <c r="A7" s="308" t="s">
        <v>2999</v>
      </c>
      <c r="B7" s="308" t="s">
        <v>2232</v>
      </c>
      <c r="C7" s="308" t="s">
        <v>2233</v>
      </c>
      <c r="D7" s="308" t="s">
        <v>3000</v>
      </c>
      <c r="E7" s="308" t="s">
        <v>2236</v>
      </c>
      <c r="F7" s="308" t="s">
        <v>1439</v>
      </c>
      <c r="G7" s="308" t="s">
        <v>2997</v>
      </c>
      <c r="H7" s="308" t="s">
        <v>3001</v>
      </c>
    </row>
    <row r="8" customFormat="false" ht="25.35" hidden="false" customHeight="false" outlineLevel="0" collapsed="false">
      <c r="A8" s="308" t="s">
        <v>3002</v>
      </c>
      <c r="B8" s="308" t="s">
        <v>2240</v>
      </c>
      <c r="C8" s="308" t="s">
        <v>2241</v>
      </c>
      <c r="D8" s="308" t="s">
        <v>3003</v>
      </c>
      <c r="E8" s="308" t="s">
        <v>2243</v>
      </c>
      <c r="F8" s="308" t="s">
        <v>1439</v>
      </c>
      <c r="G8" s="308" t="s">
        <v>2997</v>
      </c>
      <c r="H8" s="308" t="s">
        <v>3004</v>
      </c>
    </row>
    <row r="9" customFormat="false" ht="25.35" hidden="false" customHeight="false" outlineLevel="0" collapsed="false">
      <c r="A9" s="308" t="s">
        <v>3005</v>
      </c>
      <c r="B9" s="308" t="s">
        <v>3006</v>
      </c>
      <c r="C9" s="308" t="s">
        <v>2350</v>
      </c>
      <c r="D9" s="308" t="s">
        <v>3007</v>
      </c>
      <c r="E9" s="308" t="s">
        <v>2351</v>
      </c>
      <c r="F9" s="308" t="s">
        <v>1439</v>
      </c>
      <c r="G9" s="308" t="s">
        <v>2997</v>
      </c>
      <c r="H9" s="308" t="s">
        <v>3008</v>
      </c>
    </row>
    <row r="10" customFormat="false" ht="40.25" hidden="false" customHeight="false" outlineLevel="0" collapsed="false">
      <c r="A10" s="308" t="s">
        <v>3009</v>
      </c>
      <c r="B10" s="308" t="s">
        <v>3010</v>
      </c>
      <c r="C10" s="308" t="s">
        <v>3011</v>
      </c>
      <c r="D10" s="308" t="s">
        <v>3012</v>
      </c>
      <c r="E10" s="308" t="s">
        <v>2210</v>
      </c>
      <c r="F10" s="308" t="s">
        <v>1439</v>
      </c>
      <c r="G10" s="308" t="s">
        <v>2997</v>
      </c>
      <c r="H10" s="308" t="s">
        <v>3013</v>
      </c>
    </row>
    <row r="11" customFormat="false" ht="25.35" hidden="false" customHeight="false" outlineLevel="0" collapsed="false">
      <c r="A11" s="308" t="s">
        <v>3014</v>
      </c>
      <c r="B11" s="308" t="s">
        <v>3015</v>
      </c>
      <c r="C11" s="308" t="s">
        <v>3016</v>
      </c>
      <c r="D11" s="308" t="s">
        <v>3017</v>
      </c>
      <c r="E11" s="308" t="s">
        <v>3018</v>
      </c>
      <c r="F11" s="308" t="s">
        <v>1439</v>
      </c>
      <c r="G11" s="308" t="s">
        <v>2997</v>
      </c>
      <c r="H11" s="308" t="s">
        <v>3019</v>
      </c>
    </row>
    <row r="12" customFormat="false" ht="30.55" hidden="false" customHeight="false" outlineLevel="0" collapsed="false">
      <c r="A12" s="308" t="s">
        <v>3020</v>
      </c>
      <c r="B12" s="308" t="s">
        <v>3021</v>
      </c>
      <c r="C12" s="308" t="s">
        <v>3022</v>
      </c>
      <c r="D12" s="308" t="s">
        <v>3023</v>
      </c>
      <c r="E12" s="308" t="s">
        <v>2200</v>
      </c>
      <c r="F12" s="308" t="s">
        <v>1439</v>
      </c>
      <c r="G12" s="308" t="s">
        <v>3024</v>
      </c>
      <c r="H12" s="308" t="s">
        <v>3025</v>
      </c>
    </row>
    <row r="13" customFormat="false" ht="30.55" hidden="false" customHeight="false" outlineLevel="0" collapsed="false">
      <c r="A13" s="308" t="s">
        <v>3026</v>
      </c>
      <c r="B13" s="308" t="s">
        <v>3027</v>
      </c>
      <c r="C13" s="308" t="s">
        <v>3016</v>
      </c>
      <c r="D13" s="308" t="s">
        <v>3028</v>
      </c>
      <c r="E13" s="308" t="s">
        <v>2204</v>
      </c>
      <c r="F13" s="308" t="s">
        <v>1439</v>
      </c>
      <c r="G13" s="308" t="s">
        <v>3024</v>
      </c>
      <c r="H13" s="308" t="s">
        <v>3025</v>
      </c>
    </row>
    <row r="14" customFormat="false" ht="30.55" hidden="false" customHeight="false" outlineLevel="0" collapsed="false">
      <c r="A14" s="308" t="s">
        <v>3029</v>
      </c>
      <c r="B14" s="308" t="s">
        <v>3030</v>
      </c>
      <c r="C14" s="308" t="s">
        <v>3011</v>
      </c>
      <c r="D14" s="308" t="s">
        <v>3031</v>
      </c>
      <c r="E14" s="308" t="s">
        <v>2215</v>
      </c>
      <c r="F14" s="308" t="s">
        <v>1439</v>
      </c>
      <c r="G14" s="308" t="s">
        <v>2997</v>
      </c>
      <c r="H14" s="308" t="s">
        <v>3032</v>
      </c>
    </row>
    <row r="15" customFormat="false" ht="25.35" hidden="false" customHeight="false" outlineLevel="0" collapsed="false">
      <c r="A15" s="308" t="s">
        <v>3033</v>
      </c>
      <c r="B15" s="308" t="s">
        <v>2355</v>
      </c>
      <c r="C15" s="308" t="s">
        <v>2356</v>
      </c>
      <c r="D15" s="308" t="s">
        <v>3034</v>
      </c>
      <c r="E15" s="308" t="s">
        <v>2357</v>
      </c>
      <c r="F15" s="308" t="s">
        <v>1439</v>
      </c>
      <c r="G15" s="308" t="s">
        <v>2997</v>
      </c>
      <c r="H15" s="308" t="s">
        <v>3035</v>
      </c>
    </row>
    <row r="16" customFormat="false" ht="25.35" hidden="false" customHeight="false" outlineLevel="0" collapsed="false">
      <c r="A16" s="308" t="s">
        <v>3036</v>
      </c>
      <c r="B16" s="308" t="s">
        <v>3037</v>
      </c>
      <c r="C16" s="308" t="s">
        <v>2268</v>
      </c>
      <c r="D16" s="308" t="s">
        <v>3038</v>
      </c>
      <c r="E16" s="308" t="s">
        <v>2270</v>
      </c>
      <c r="F16" s="308" t="s">
        <v>1439</v>
      </c>
      <c r="G16" s="308" t="s">
        <v>2997</v>
      </c>
      <c r="H16" s="308" t="s">
        <v>3039</v>
      </c>
    </row>
    <row r="17" customFormat="false" ht="25.35" hidden="false" customHeight="false" outlineLevel="0" collapsed="false">
      <c r="A17" s="308" t="s">
        <v>3040</v>
      </c>
      <c r="B17" s="308" t="s">
        <v>3041</v>
      </c>
      <c r="C17" s="308" t="s">
        <v>2277</v>
      </c>
      <c r="D17" s="308" t="s">
        <v>3042</v>
      </c>
      <c r="E17" s="308" t="s">
        <v>2279</v>
      </c>
      <c r="F17" s="308" t="s">
        <v>1439</v>
      </c>
      <c r="G17" s="308" t="s">
        <v>2997</v>
      </c>
      <c r="H17" s="308" t="s">
        <v>3043</v>
      </c>
    </row>
    <row r="18" customFormat="false" ht="25.35" hidden="false" customHeight="false" outlineLevel="0" collapsed="false">
      <c r="A18" s="308" t="s">
        <v>3044</v>
      </c>
      <c r="B18" s="308" t="s">
        <v>3045</v>
      </c>
      <c r="C18" s="308" t="s">
        <v>2261</v>
      </c>
      <c r="D18" s="308" t="s">
        <v>3046</v>
      </c>
      <c r="E18" s="308" t="s">
        <v>2263</v>
      </c>
      <c r="F18" s="308" t="s">
        <v>1439</v>
      </c>
      <c r="G18" s="308" t="s">
        <v>2997</v>
      </c>
      <c r="H18" s="308" t="s">
        <v>3047</v>
      </c>
    </row>
    <row r="19" customFormat="false" ht="30.55" hidden="false" customHeight="false" outlineLevel="0" collapsed="false">
      <c r="A19" s="308" t="s">
        <v>3048</v>
      </c>
      <c r="B19" s="308" t="s">
        <v>3049</v>
      </c>
      <c r="C19" s="308" t="s">
        <v>3050</v>
      </c>
      <c r="D19" s="308" t="s">
        <v>3051</v>
      </c>
      <c r="E19" s="308" t="s">
        <v>3052</v>
      </c>
      <c r="F19" s="308" t="s">
        <v>1439</v>
      </c>
      <c r="G19" s="308" t="s">
        <v>2997</v>
      </c>
      <c r="H19" s="308" t="s">
        <v>3053</v>
      </c>
    </row>
    <row r="20" customFormat="false" ht="25.35" hidden="false" customHeight="false" outlineLevel="0" collapsed="false">
      <c r="A20" s="308" t="s">
        <v>3054</v>
      </c>
      <c r="B20" s="308" t="s">
        <v>3055</v>
      </c>
      <c r="C20" s="308" t="s">
        <v>2350</v>
      </c>
      <c r="D20" s="308" t="s">
        <v>3056</v>
      </c>
      <c r="E20" s="308" t="s">
        <v>3057</v>
      </c>
      <c r="F20" s="308" t="s">
        <v>1439</v>
      </c>
      <c r="G20" s="308" t="s">
        <v>2997</v>
      </c>
      <c r="H20" s="308" t="s">
        <v>3058</v>
      </c>
    </row>
    <row r="22" customFormat="false" ht="17.15" hidden="false" customHeight="false" outlineLevel="0" collapsed="false">
      <c r="A22" s="35" t="s">
        <v>3059</v>
      </c>
    </row>
    <row r="23" customFormat="false" ht="19.5" hidden="false" customHeight="true" outlineLevel="0" collapsed="false">
      <c r="A23" s="220" t="s">
        <v>2988</v>
      </c>
      <c r="B23" s="36" t="s">
        <v>3060</v>
      </c>
      <c r="C23" s="36" t="s">
        <v>3061</v>
      </c>
      <c r="D23" s="36" t="s">
        <v>3062</v>
      </c>
      <c r="E23" s="36" t="s">
        <v>3063</v>
      </c>
      <c r="F23" s="36" t="s">
        <v>1975</v>
      </c>
    </row>
    <row r="24" customFormat="false" ht="30.55" hidden="false" customHeight="false" outlineLevel="0" collapsed="false">
      <c r="A24" s="308" t="s">
        <v>3064</v>
      </c>
      <c r="B24" s="308" t="s">
        <v>1439</v>
      </c>
      <c r="C24" s="308" t="s">
        <v>3065</v>
      </c>
      <c r="D24" s="308" t="s">
        <v>3066</v>
      </c>
      <c r="E24" s="308" t="s">
        <v>3067</v>
      </c>
      <c r="F24" s="309" t="s">
        <v>3068</v>
      </c>
    </row>
    <row r="25" customFormat="false" ht="30.55" hidden="false" customHeight="false" outlineLevel="0" collapsed="false">
      <c r="A25" s="308" t="s">
        <v>3069</v>
      </c>
      <c r="B25" s="308" t="s">
        <v>1439</v>
      </c>
      <c r="C25" s="308" t="s">
        <v>3070</v>
      </c>
      <c r="D25" s="308" t="s">
        <v>3071</v>
      </c>
      <c r="E25" s="308" t="s">
        <v>3067</v>
      </c>
      <c r="F25" s="309" t="s">
        <v>3068</v>
      </c>
    </row>
    <row r="26" customFormat="false" ht="20.85" hidden="false" customHeight="false" outlineLevel="0" collapsed="false">
      <c r="A26" s="308" t="s">
        <v>3072</v>
      </c>
      <c r="B26" s="308" t="s">
        <v>1439</v>
      </c>
      <c r="C26" s="308" t="s">
        <v>3073</v>
      </c>
      <c r="D26" s="308" t="s">
        <v>3074</v>
      </c>
      <c r="E26" s="308" t="s">
        <v>3067</v>
      </c>
      <c r="F26" s="309" t="s">
        <v>3068</v>
      </c>
    </row>
    <row r="27" customFormat="false" ht="20.85" hidden="false" customHeight="false" outlineLevel="0" collapsed="false">
      <c r="A27" s="308" t="s">
        <v>3075</v>
      </c>
      <c r="B27" s="308" t="s">
        <v>1439</v>
      </c>
      <c r="C27" s="308" t="s">
        <v>3076</v>
      </c>
      <c r="D27" s="308" t="s">
        <v>3077</v>
      </c>
      <c r="E27" s="308" t="s">
        <v>3067</v>
      </c>
      <c r="F27" s="309" t="s">
        <v>3068</v>
      </c>
    </row>
    <row r="28" customFormat="false" ht="15" hidden="false" customHeight="false" outlineLevel="0" collapsed="false">
      <c r="A28" s="308" t="s">
        <v>3078</v>
      </c>
      <c r="B28" s="308" t="s">
        <v>1439</v>
      </c>
      <c r="C28" s="308" t="s">
        <v>3079</v>
      </c>
      <c r="D28" s="308" t="s">
        <v>3080</v>
      </c>
      <c r="E28" s="308" t="s">
        <v>3067</v>
      </c>
      <c r="F28" s="309" t="s">
        <v>3068</v>
      </c>
    </row>
    <row r="29" customFormat="false" ht="23.1" hidden="false" customHeight="false" outlineLevel="0" collapsed="false">
      <c r="A29" s="308" t="s">
        <v>3081</v>
      </c>
      <c r="B29" s="308" t="s">
        <v>1439</v>
      </c>
      <c r="C29" s="308" t="s">
        <v>3082</v>
      </c>
      <c r="D29" s="309" t="s">
        <v>3083</v>
      </c>
      <c r="E29" s="308" t="s">
        <v>3067</v>
      </c>
      <c r="F29" s="309" t="s">
        <v>3068</v>
      </c>
    </row>
    <row r="30" customFormat="false" ht="30.55" hidden="false" customHeight="false" outlineLevel="0" collapsed="false">
      <c r="A30" s="308" t="s">
        <v>3084</v>
      </c>
      <c r="B30" s="308" t="s">
        <v>1439</v>
      </c>
      <c r="C30" s="308" t="s">
        <v>3085</v>
      </c>
      <c r="D30" s="308" t="s">
        <v>3086</v>
      </c>
      <c r="E30" s="308" t="s">
        <v>3067</v>
      </c>
      <c r="F30" s="309" t="s">
        <v>3068</v>
      </c>
    </row>
    <row r="31" customFormat="false" ht="37.3" hidden="false" customHeight="false" outlineLevel="0" collapsed="false">
      <c r="A31" s="308" t="s">
        <v>3087</v>
      </c>
      <c r="B31" s="308" t="s">
        <v>1439</v>
      </c>
      <c r="C31" s="309" t="s">
        <v>3088</v>
      </c>
      <c r="D31" s="308" t="s">
        <v>3089</v>
      </c>
      <c r="E31" s="308" t="s">
        <v>3090</v>
      </c>
      <c r="F31" s="309" t="s">
        <v>3068</v>
      </c>
    </row>
    <row r="32" customFormat="false" ht="73.1" hidden="false" customHeight="false" outlineLevel="0" collapsed="false">
      <c r="A32" s="308" t="s">
        <v>3091</v>
      </c>
      <c r="B32" s="308" t="s">
        <v>1439</v>
      </c>
      <c r="C32" s="309" t="s">
        <v>3092</v>
      </c>
      <c r="D32" s="308" t="s">
        <v>3093</v>
      </c>
      <c r="E32" s="308" t="s">
        <v>3090</v>
      </c>
      <c r="F32" s="309" t="s">
        <v>3068</v>
      </c>
    </row>
    <row r="33" customFormat="false" ht="97" hidden="false" customHeight="false" outlineLevel="0" collapsed="false">
      <c r="A33" s="308" t="s">
        <v>3094</v>
      </c>
      <c r="B33" s="308" t="s">
        <v>1439</v>
      </c>
      <c r="C33" s="309" t="s">
        <v>3095</v>
      </c>
      <c r="D33" s="308" t="s">
        <v>3096</v>
      </c>
      <c r="E33" s="308" t="s">
        <v>3090</v>
      </c>
      <c r="F33" s="309" t="s">
        <v>3068</v>
      </c>
    </row>
    <row r="34" customFormat="false" ht="97" hidden="false" customHeight="false" outlineLevel="0" collapsed="false">
      <c r="A34" s="308" t="s">
        <v>3097</v>
      </c>
      <c r="B34" s="308" t="s">
        <v>1439</v>
      </c>
      <c r="C34" s="309" t="s">
        <v>3098</v>
      </c>
      <c r="D34" s="308" t="s">
        <v>3099</v>
      </c>
      <c r="E34" s="308" t="s">
        <v>3090</v>
      </c>
      <c r="F34" s="309" t="s">
        <v>3068</v>
      </c>
    </row>
    <row r="35" customFormat="false" ht="132.8" hidden="false" customHeight="false" outlineLevel="0" collapsed="false">
      <c r="A35" s="308" t="s">
        <v>3100</v>
      </c>
      <c r="B35" s="308" t="s">
        <v>1439</v>
      </c>
      <c r="C35" s="309" t="s">
        <v>3101</v>
      </c>
      <c r="D35" s="309" t="s">
        <v>3102</v>
      </c>
      <c r="E35" s="308" t="s">
        <v>3090</v>
      </c>
      <c r="F35" s="309" t="s">
        <v>3068</v>
      </c>
    </row>
    <row r="36" customFormat="false" ht="228.35" hidden="false" customHeight="false" outlineLevel="0" collapsed="false">
      <c r="A36" s="308" t="s">
        <v>3103</v>
      </c>
      <c r="B36" s="308" t="s">
        <v>1439</v>
      </c>
      <c r="C36" s="309" t="s">
        <v>3104</v>
      </c>
      <c r="D36" s="308" t="s">
        <v>3105</v>
      </c>
      <c r="E36" s="308" t="s">
        <v>3090</v>
      </c>
      <c r="F36" s="309" t="s">
        <v>3068</v>
      </c>
    </row>
    <row r="37" customFormat="false" ht="156.7" hidden="false" customHeight="false" outlineLevel="0" collapsed="false">
      <c r="A37" s="308" t="s">
        <v>3106</v>
      </c>
      <c r="B37" s="308" t="s">
        <v>1439</v>
      </c>
      <c r="C37" s="309" t="s">
        <v>3107</v>
      </c>
      <c r="D37" s="308" t="s">
        <v>3108</v>
      </c>
      <c r="E37" s="308" t="s">
        <v>3090</v>
      </c>
      <c r="F37" s="309" t="s">
        <v>3068</v>
      </c>
    </row>
    <row r="38" customFormat="false" ht="144.75" hidden="false" customHeight="false" outlineLevel="0" collapsed="false">
      <c r="A38" s="308" t="s">
        <v>3109</v>
      </c>
      <c r="B38" s="308" t="s">
        <v>1439</v>
      </c>
      <c r="C38" s="309" t="s">
        <v>3110</v>
      </c>
      <c r="D38" s="308" t="s">
        <v>3111</v>
      </c>
      <c r="E38" s="308" t="s">
        <v>3090</v>
      </c>
      <c r="F38" s="309" t="s">
        <v>3068</v>
      </c>
    </row>
    <row r="40" customFormat="false" ht="17.15" hidden="false" customHeight="false" outlineLevel="0" collapsed="false">
      <c r="A40" s="35" t="s">
        <v>3112</v>
      </c>
    </row>
    <row r="41" customFormat="false" ht="19.5" hidden="false" customHeight="true" outlineLevel="0" collapsed="false">
      <c r="A41" s="36" t="s">
        <v>3113</v>
      </c>
      <c r="B41" s="36" t="s">
        <v>3060</v>
      </c>
      <c r="C41" s="36" t="s">
        <v>3114</v>
      </c>
      <c r="D41" s="36" t="s">
        <v>3115</v>
      </c>
      <c r="E41" s="36" t="s">
        <v>2194</v>
      </c>
    </row>
    <row r="42" customFormat="false" ht="25.35" hidden="false" customHeight="false" outlineLevel="0" collapsed="false">
      <c r="A42" s="308" t="s">
        <v>3116</v>
      </c>
      <c r="B42" s="308" t="s">
        <v>1439</v>
      </c>
      <c r="C42" s="309" t="s">
        <v>3117</v>
      </c>
      <c r="D42" s="308" t="s">
        <v>3118</v>
      </c>
      <c r="E42" s="309" t="s">
        <v>3119</v>
      </c>
    </row>
    <row r="43" customFormat="false" ht="37.3" hidden="false" customHeight="false" outlineLevel="0" collapsed="false">
      <c r="A43" s="308" t="s">
        <v>3120</v>
      </c>
      <c r="B43" s="308" t="s">
        <v>1439</v>
      </c>
      <c r="C43" s="309" t="s">
        <v>3117</v>
      </c>
      <c r="D43" s="309" t="s">
        <v>3121</v>
      </c>
      <c r="E43" s="309" t="s">
        <v>3122</v>
      </c>
    </row>
    <row r="44" customFormat="false" ht="61.15" hidden="false" customHeight="false" outlineLevel="0" collapsed="false">
      <c r="A44" s="308" t="s">
        <v>3123</v>
      </c>
      <c r="B44" s="308" t="s">
        <v>1439</v>
      </c>
      <c r="C44" s="309" t="s">
        <v>3117</v>
      </c>
      <c r="D44" s="309" t="s">
        <v>3124</v>
      </c>
      <c r="E44" s="309" t="s">
        <v>3125</v>
      </c>
    </row>
    <row r="45" customFormat="false" ht="120.85" hidden="false" customHeight="false" outlineLevel="0" collapsed="false">
      <c r="A45" s="308" t="s">
        <v>3126</v>
      </c>
      <c r="B45" s="308" t="s">
        <v>1439</v>
      </c>
      <c r="C45" s="309" t="s">
        <v>3117</v>
      </c>
      <c r="D45" s="309" t="s">
        <v>3127</v>
      </c>
      <c r="E45" s="309" t="s">
        <v>3128</v>
      </c>
    </row>
  </sheetData>
  <mergeCells count="2">
    <mergeCell ref="A1:H1"/>
    <mergeCell ref="A2:H2"/>
  </mergeCell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12" min="6" style="0" width="11"/>
  </cols>
  <sheetData>
    <row r="1" customFormat="false" ht="30" hidden="false" customHeight="true" outlineLevel="0" collapsed="false">
      <c r="A1" s="1" t="s">
        <v>3129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5.5" hidden="false" customHeight="true" outlineLevel="0" collapsed="false">
      <c r="A2" s="4" t="s">
        <v>3130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5" hidden="false" customHeight="false" outlineLevel="0" collapsed="false">
      <c r="A3" s="5" t="s">
        <v>946</v>
      </c>
    </row>
    <row r="4" customFormat="false" ht="15" hidden="false" customHeight="false" outlineLevel="0" collapsed="false">
      <c r="A4" s="24" t="s">
        <v>3131</v>
      </c>
      <c r="B4" s="24"/>
      <c r="C4" s="32" t="s">
        <v>3132</v>
      </c>
      <c r="D4" s="23" t="s">
        <v>3133</v>
      </c>
      <c r="E4" s="23"/>
      <c r="F4" s="310" t="s">
        <v>3134</v>
      </c>
      <c r="G4" s="310"/>
      <c r="H4" s="310"/>
    </row>
    <row r="5" customFormat="false" ht="33.75" hidden="false" customHeight="true" outlineLevel="0" collapsed="false">
      <c r="A5" s="29" t="n">
        <f aca="false">COUNTIFS(05_法規門檻_Gates!$E$5:$E$51,"強制",05_法規門檻_Gates!$F$5:$F$51,"待確認")</f>
        <v>16</v>
      </c>
      <c r="B5" s="29"/>
      <c r="C5" s="34" t="n">
        <f aca="false">COUNTIF(08_風險清冊_Risk!$G$5:$G$33,"極高")+COUNTIF(08_風險清冊_Risk!$G$5:$G$33,"高")</f>
        <v>20</v>
      </c>
      <c r="D5" s="28" t="n">
        <f aca="false">COUNTIF(03_能力總表_Master!$H$5:$H$154,"缺口*")</f>
        <v>9</v>
      </c>
      <c r="E5" s="28"/>
      <c r="F5" s="311" t="n">
        <f aca="false">COUNTIF(03_能力總表_Master!$W$5:$W$154,"先補條件*")</f>
        <v>32</v>
      </c>
      <c r="G5" s="311"/>
      <c r="H5" s="311"/>
    </row>
    <row r="7" customFormat="false" ht="15" hidden="false" customHeight="false" outlineLevel="0" collapsed="false">
      <c r="A7" s="312" t="s">
        <v>3135</v>
      </c>
      <c r="I7" s="313" t="str">
        <f aca="false">IF(COUNTIFS(05_法規門檻_Gates!$E$5:$E$51,"強制",05_法規門檻_Gates!$F$5:$F$51,"待確認")&gt;8,"⚠ 共 "&amp;(COUNTIFS(05_法規門檻_Gates!$E$5:$E$51,"強制",05_法規門檻_Gates!$F$5:$F$51,"待確認"))&amp;" 筆，此區僅顯示前 8 筆","")</f>
        <v>⚠ 共 16 筆，此區僅顯示前 8 筆</v>
      </c>
      <c r="J7" s="313"/>
      <c r="K7" s="313"/>
      <c r="L7" s="313"/>
    </row>
    <row r="8" customFormat="false" ht="21.75" hidden="false" customHeight="true" outlineLevel="0" collapsed="false">
      <c r="A8" s="106" t="s">
        <v>902</v>
      </c>
      <c r="B8" s="47" t="s">
        <v>2949</v>
      </c>
      <c r="C8" s="47" t="s">
        <v>3136</v>
      </c>
      <c r="D8" s="47" t="s">
        <v>2189</v>
      </c>
      <c r="E8" s="47" t="s">
        <v>2192</v>
      </c>
      <c r="F8" s="106" t="s">
        <v>226</v>
      </c>
      <c r="G8" s="106" t="s">
        <v>243</v>
      </c>
      <c r="H8" s="106" t="s">
        <v>269</v>
      </c>
      <c r="I8" s="106" t="s">
        <v>361</v>
      </c>
      <c r="J8" s="106" t="s">
        <v>302</v>
      </c>
      <c r="K8" s="106" t="s">
        <v>344</v>
      </c>
      <c r="L8" s="106" t="s">
        <v>744</v>
      </c>
    </row>
    <row r="9" customFormat="false" ht="24" hidden="false" customHeight="true" outlineLevel="0" collapsed="false">
      <c r="A9" s="93" t="n">
        <f aca="false">IF($B9="","",1)</f>
        <v>1</v>
      </c>
      <c r="B9" s="93" t="str">
        <f aca="false">IFERROR(INDEX(05_法規門檻_Gates!$A$5:$A$154,MATCH(1,_計算_Calc!$BZ$5:$BZ$154,0)),"")</f>
        <v>VN-LAW-15</v>
      </c>
      <c r="C9" s="95" t="str">
        <f aca="false">IFERROR(INDEX(05_法規門檻_Gates!$C$5:$C$154,MATCH(1,_計算_Calc!$BZ$5:$BZ$154,0)),"")</f>
        <v>Law on Medical Examination and Treatment No.15/2023/QH15</v>
      </c>
      <c r="D9" s="95" t="str">
        <f aca="false">IFERROR(INDEX(05_法規門檻_Gates!$D$5:$D$154,MATCH(1,_計算_Calc!$BZ$5:$BZ$154,0)),"")</f>
        <v>National Assembly</v>
      </c>
      <c r="E9" s="93" t="str">
        <f aca="false">IFERROR(INDEX(05_法規門檻_Gates!$J$5:$J$154,MATCH(1,_計算_Calc!$BZ$5:$BZ$154,0)),"")</f>
        <v>●</v>
      </c>
      <c r="F9" s="93" t="n">
        <f aca="false">IFERROR(INDEX(05_法規門檻_Gates!$G$5:$G$154,MATCH(1,_計算_Calc!$BZ$5:$BZ$154,0)),"")</f>
        <v>0</v>
      </c>
      <c r="G9" s="93" t="str">
        <f aca="false">IFERROR(INDEX(05_法規門檻_Gates!$H$5:$H$154,MATCH(1,_計算_Calc!$BZ$5:$BZ$154,0)),"")</f>
        <v>●</v>
      </c>
      <c r="H9" s="93" t="str">
        <f aca="false">IFERROR(INDEX(05_法規門檻_Gates!$I$5:$I$154,MATCH(1,_計算_Calc!$BZ$5:$BZ$154,0)),"")</f>
        <v>●</v>
      </c>
      <c r="I9" s="93" t="str">
        <f aca="false">IFERROR(INDEX(05_法規門檻_Gates!$J$5:$J$154,MATCH(1,_計算_Calc!$BZ$5:$BZ$154,0)),"")</f>
        <v>●</v>
      </c>
      <c r="J9" s="93" t="n">
        <f aca="false">IFERROR(INDEX(05_法規門檻_Gates!$K$5:$K$154,MATCH(1,_計算_Calc!$BZ$5:$BZ$154,0)),"")</f>
        <v>0</v>
      </c>
      <c r="K9" s="93" t="n">
        <f aca="false">IFERROR(INDEX(05_法規門檻_Gates!$L$5:$L$154,MATCH(1,_計算_Calc!$BZ$5:$BZ$154,0)),"")</f>
        <v>0</v>
      </c>
      <c r="L9" s="93" t="n">
        <f aca="false">IFERROR(INDEX(05_法規門檻_Gates!$M$5:$M$154,MATCH(1,_計算_Calc!$BZ$5:$BZ$154,0)),"")</f>
        <v>0</v>
      </c>
    </row>
    <row r="10" customFormat="false" ht="24" hidden="false" customHeight="true" outlineLevel="0" collapsed="false">
      <c r="A10" s="93" t="n">
        <f aca="false">IF($B10="","",2)</f>
        <v>2</v>
      </c>
      <c r="B10" s="93" t="str">
        <f aca="false">IFERROR(INDEX(05_法規門檻_Gates!$A$5:$A$154,MATCH(2,_計算_Calc!$BZ$5:$BZ$154,0)),"")</f>
        <v>VN-DEC-96</v>
      </c>
      <c r="C10" s="95" t="str">
        <f aca="false">IFERROR(INDEX(05_法規門檻_Gates!$C$5:$C$154,MATCH(2,_計算_Calc!$BZ$5:$BZ$154,0)),"")</f>
        <v>Decree 96/2023/ND-CP implementing the Medical Examination and Treatment Law</v>
      </c>
      <c r="D10" s="95" t="str">
        <f aca="false">IFERROR(INDEX(05_法規門檻_Gates!$D$5:$D$154,MATCH(2,_計算_Calc!$BZ$5:$BZ$154,0)),"")</f>
        <v>Government</v>
      </c>
      <c r="E10" s="93" t="str">
        <f aca="false">IFERROR(INDEX(05_法規門檻_Gates!$J$5:$J$154,MATCH(2,_計算_Calc!$BZ$5:$BZ$154,0)),"")</f>
        <v>●</v>
      </c>
      <c r="F10" s="93" t="n">
        <f aca="false">IFERROR(INDEX(05_法規門檻_Gates!$G$5:$G$154,MATCH(2,_計算_Calc!$BZ$5:$BZ$154,0)),"")</f>
        <v>0</v>
      </c>
      <c r="G10" s="93" t="str">
        <f aca="false">IFERROR(INDEX(05_法規門檻_Gates!$H$5:$H$154,MATCH(2,_計算_Calc!$BZ$5:$BZ$154,0)),"")</f>
        <v>●</v>
      </c>
      <c r="H10" s="93" t="str">
        <f aca="false">IFERROR(INDEX(05_法規門檻_Gates!$I$5:$I$154,MATCH(2,_計算_Calc!$BZ$5:$BZ$154,0)),"")</f>
        <v>●</v>
      </c>
      <c r="I10" s="93" t="str">
        <f aca="false">IFERROR(INDEX(05_法規門檻_Gates!$J$5:$J$154,MATCH(2,_計算_Calc!$BZ$5:$BZ$154,0)),"")</f>
        <v>●</v>
      </c>
      <c r="J10" s="93" t="n">
        <f aca="false">IFERROR(INDEX(05_法規門檻_Gates!$K$5:$K$154,MATCH(2,_計算_Calc!$BZ$5:$BZ$154,0)),"")</f>
        <v>0</v>
      </c>
      <c r="K10" s="93" t="n">
        <f aca="false">IFERROR(INDEX(05_法規門檻_Gates!$L$5:$L$154,MATCH(2,_計算_Calc!$BZ$5:$BZ$154,0)),"")</f>
        <v>0</v>
      </c>
      <c r="L10" s="93" t="n">
        <f aca="false">IFERROR(INDEX(05_法規門檻_Gates!$M$5:$M$154,MATCH(2,_計算_Calc!$BZ$5:$BZ$154,0)),"")</f>
        <v>0</v>
      </c>
    </row>
    <row r="11" customFormat="false" ht="24" hidden="false" customHeight="true" outlineLevel="0" collapsed="false">
      <c r="A11" s="93" t="n">
        <f aca="false">IF($B11="","",3)</f>
        <v>3</v>
      </c>
      <c r="B11" s="93" t="str">
        <f aca="false">IFERROR(INDEX(05_法規門檻_Gates!$A$5:$A$154,MATCH(3,_計算_Calc!$BZ$5:$BZ$154,0)),"")</f>
        <v>VN-EMR-13</v>
      </c>
      <c r="C11" s="95" t="str">
        <f aca="false">IFERROR(INDEX(05_法規門檻_Gates!$C$5:$C$154,MATCH(3,_計算_Calc!$BZ$5:$BZ$154,0)),"")</f>
        <v>Circular 13/2025/TT-BYT on electronic medical records</v>
      </c>
      <c r="D11" s="95" t="str">
        <f aca="false">IFERROR(INDEX(05_法規門檻_Gates!$D$5:$D$154,MATCH(3,_計算_Calc!$BZ$5:$BZ$154,0)),"")</f>
        <v>Ministry of Health</v>
      </c>
      <c r="E11" s="93" t="str">
        <f aca="false">IFERROR(INDEX(05_法規門檻_Gates!$J$5:$J$154,MATCH(3,_計算_Calc!$BZ$5:$BZ$154,0)),"")</f>
        <v>●</v>
      </c>
      <c r="F11" s="93" t="n">
        <f aca="false">IFERROR(INDEX(05_法規門檻_Gates!$G$5:$G$154,MATCH(3,_計算_Calc!$BZ$5:$BZ$154,0)),"")</f>
        <v>0</v>
      </c>
      <c r="G11" s="93" t="n">
        <f aca="false">IFERROR(INDEX(05_法規門檻_Gates!$H$5:$H$154,MATCH(3,_計算_Calc!$BZ$5:$BZ$154,0)),"")</f>
        <v>0</v>
      </c>
      <c r="H11" s="93" t="str">
        <f aca="false">IFERROR(INDEX(05_法規門檻_Gates!$I$5:$I$154,MATCH(3,_計算_Calc!$BZ$5:$BZ$154,0)),"")</f>
        <v>●</v>
      </c>
      <c r="I11" s="93" t="str">
        <f aca="false">IFERROR(INDEX(05_法規門檻_Gates!$J$5:$J$154,MATCH(3,_計算_Calc!$BZ$5:$BZ$154,0)),"")</f>
        <v>●</v>
      </c>
      <c r="J11" s="93" t="str">
        <f aca="false">IFERROR(INDEX(05_法規門檻_Gates!$K$5:$K$154,MATCH(3,_計算_Calc!$BZ$5:$BZ$154,0)),"")</f>
        <v>●</v>
      </c>
      <c r="K11" s="93" t="str">
        <f aca="false">IFERROR(INDEX(05_法規門檻_Gates!$L$5:$L$154,MATCH(3,_計算_Calc!$BZ$5:$BZ$154,0)),"")</f>
        <v>●</v>
      </c>
      <c r="L11" s="93" t="n">
        <f aca="false">IFERROR(INDEX(05_法規門檻_Gates!$M$5:$M$154,MATCH(3,_計算_Calc!$BZ$5:$BZ$154,0)),"")</f>
        <v>0</v>
      </c>
    </row>
    <row r="12" customFormat="false" ht="24" hidden="false" customHeight="true" outlineLevel="0" collapsed="false">
      <c r="A12" s="93" t="n">
        <f aca="false">IF($B12="","",4)</f>
        <v>4</v>
      </c>
      <c r="B12" s="93" t="str">
        <f aca="false">IFERROR(INDEX(05_法規門檻_Gates!$A$5:$A$154,MATCH(4,_計算_Calc!$BZ$5:$BZ$154,0)),"")</f>
        <v>VN-MD-98</v>
      </c>
      <c r="C12" s="95" t="str">
        <f aca="false">IFERROR(INDEX(05_法規門檻_Gates!$C$5:$C$154,MATCH(4,_計算_Calc!$BZ$5:$BZ$154,0)),"")</f>
        <v>Decree 98/2021 and amendments on medical device management</v>
      </c>
      <c r="D12" s="95" t="str">
        <f aca="false">IFERROR(INDEX(05_法規門檻_Gates!$D$5:$D$154,MATCH(4,_計算_Calc!$BZ$5:$BZ$154,0)),"")</f>
        <v>Ministry of Health</v>
      </c>
      <c r="E12" s="93" t="str">
        <f aca="false">IFERROR(INDEX(05_法規門檻_Gates!$J$5:$J$154,MATCH(4,_計算_Calc!$BZ$5:$BZ$154,0)),"")</f>
        <v>●</v>
      </c>
      <c r="F12" s="93" t="n">
        <f aca="false">IFERROR(INDEX(05_法規門檻_Gates!$G$5:$G$154,MATCH(4,_計算_Calc!$BZ$5:$BZ$154,0)),"")</f>
        <v>0</v>
      </c>
      <c r="G12" s="93" t="n">
        <f aca="false">IFERROR(INDEX(05_法規門檻_Gates!$H$5:$H$154,MATCH(4,_計算_Calc!$BZ$5:$BZ$154,0)),"")</f>
        <v>0</v>
      </c>
      <c r="H12" s="93" t="str">
        <f aca="false">IFERROR(INDEX(05_法規門檻_Gates!$I$5:$I$154,MATCH(4,_計算_Calc!$BZ$5:$BZ$154,0)),"")</f>
        <v>●</v>
      </c>
      <c r="I12" s="93" t="str">
        <f aca="false">IFERROR(INDEX(05_法規門檻_Gates!$J$5:$J$154,MATCH(4,_計算_Calc!$BZ$5:$BZ$154,0)),"")</f>
        <v>●</v>
      </c>
      <c r="J12" s="93" t="str">
        <f aca="false">IFERROR(INDEX(05_法規門檻_Gates!$K$5:$K$154,MATCH(4,_計算_Calc!$BZ$5:$BZ$154,0)),"")</f>
        <v>●</v>
      </c>
      <c r="K12" s="93" t="n">
        <f aca="false">IFERROR(INDEX(05_法規門檻_Gates!$L$5:$L$154,MATCH(4,_計算_Calc!$BZ$5:$BZ$154,0)),"")</f>
        <v>0</v>
      </c>
      <c r="L12" s="93" t="n">
        <f aca="false">IFERROR(INDEX(05_法規門檻_Gates!$M$5:$M$154,MATCH(4,_計算_Calc!$BZ$5:$BZ$154,0)),"")</f>
        <v>0</v>
      </c>
    </row>
    <row r="13" customFormat="false" ht="24" hidden="false" customHeight="true" outlineLevel="0" collapsed="false">
      <c r="A13" s="93" t="n">
        <f aca="false">IF($B13="","",5)</f>
        <v>5</v>
      </c>
      <c r="B13" s="93" t="str">
        <f aca="false">IFERROR(INDEX(05_法規門檻_Gates!$A$5:$A$154,MATCH(5,_計算_Calc!$BZ$5:$BZ$154,0)),"")</f>
        <v>VN-PDP-91</v>
      </c>
      <c r="C13" s="95" t="str">
        <f aca="false">IFERROR(INDEX(05_法規門檻_Gates!$C$5:$C$154,MATCH(5,_計算_Calc!$BZ$5:$BZ$154,0)),"")</f>
        <v>PDPL — Law on Personal Data Protection No.91/2025/QH15 + Decree 356/2025（2026/1/1生效，取代 Decree 13/2023）</v>
      </c>
      <c r="D13" s="95" t="str">
        <f aca="false">IFERROR(INDEX(05_法規門檻_Gates!$D$5:$D$154,MATCH(5,_計算_Calc!$BZ$5:$BZ$154,0)),"")</f>
        <v>Government</v>
      </c>
      <c r="E13" s="93" t="str">
        <f aca="false">IFERROR(INDEX(05_法規門檻_Gates!$J$5:$J$154,MATCH(5,_計算_Calc!$BZ$5:$BZ$154,0)),"")</f>
        <v>●</v>
      </c>
      <c r="F13" s="93" t="n">
        <f aca="false">IFERROR(INDEX(05_法規門檻_Gates!$G$5:$G$154,MATCH(5,_計算_Calc!$BZ$5:$BZ$154,0)),"")</f>
        <v>0</v>
      </c>
      <c r="G13" s="93" t="str">
        <f aca="false">IFERROR(INDEX(05_法規門檻_Gates!$H$5:$H$154,MATCH(5,_計算_Calc!$BZ$5:$BZ$154,0)),"")</f>
        <v>●</v>
      </c>
      <c r="H13" s="93" t="str">
        <f aca="false">IFERROR(INDEX(05_法規門檻_Gates!$I$5:$I$154,MATCH(5,_計算_Calc!$BZ$5:$BZ$154,0)),"")</f>
        <v>●</v>
      </c>
      <c r="I13" s="93" t="str">
        <f aca="false">IFERROR(INDEX(05_法規門檻_Gates!$J$5:$J$154,MATCH(5,_計算_Calc!$BZ$5:$BZ$154,0)),"")</f>
        <v>●</v>
      </c>
      <c r="J13" s="93" t="str">
        <f aca="false">IFERROR(INDEX(05_法規門檻_Gates!$K$5:$K$154,MATCH(5,_計算_Calc!$BZ$5:$BZ$154,0)),"")</f>
        <v>●</v>
      </c>
      <c r="K13" s="93" t="str">
        <f aca="false">IFERROR(INDEX(05_法規門檻_Gates!$L$5:$L$154,MATCH(5,_計算_Calc!$BZ$5:$BZ$154,0)),"")</f>
        <v>●</v>
      </c>
      <c r="L13" s="93" t="n">
        <f aca="false">IFERROR(INDEX(05_法規門檻_Gates!$M$5:$M$154,MATCH(5,_計算_Calc!$BZ$5:$BZ$154,0)),"")</f>
        <v>0</v>
      </c>
    </row>
    <row r="14" customFormat="false" ht="24" hidden="false" customHeight="true" outlineLevel="0" collapsed="false">
      <c r="A14" s="93" t="n">
        <f aca="false">IF($B14="","",6)</f>
        <v>6</v>
      </c>
      <c r="B14" s="93" t="str">
        <f aca="false">IFERROR(INDEX(05_法規門檻_Gates!$A$5:$A$154,MATCH(6,_計算_Calc!$BZ$5:$BZ$154,0)),"")</f>
        <v>VN-DATA-60</v>
      </c>
      <c r="C14" s="95" t="str">
        <f aca="false">IFERROR(INDEX(05_法規門檻_Gates!$C$5:$C$154,MATCH(6,_計算_Calc!$BZ$5:$BZ$154,0)),"")</f>
        <v>Law on Data No.60/2024/QH15</v>
      </c>
      <c r="D14" s="95" t="str">
        <f aca="false">IFERROR(INDEX(05_法規門檻_Gates!$D$5:$D$154,MATCH(6,_計算_Calc!$BZ$5:$BZ$154,0)),"")</f>
        <v>National Assembly</v>
      </c>
      <c r="E14" s="93" t="str">
        <f aca="false">IFERROR(INDEX(05_法規門檻_Gates!$J$5:$J$154,MATCH(6,_計算_Calc!$BZ$5:$BZ$154,0)),"")</f>
        <v>●</v>
      </c>
      <c r="F14" s="93" t="n">
        <f aca="false">IFERROR(INDEX(05_法規門檻_Gates!$G$5:$G$154,MATCH(6,_計算_Calc!$BZ$5:$BZ$154,0)),"")</f>
        <v>0</v>
      </c>
      <c r="G14" s="93" t="str">
        <f aca="false">IFERROR(INDEX(05_法規門檻_Gates!$H$5:$H$154,MATCH(6,_計算_Calc!$BZ$5:$BZ$154,0)),"")</f>
        <v>●</v>
      </c>
      <c r="H14" s="93" t="str">
        <f aca="false">IFERROR(INDEX(05_法規門檻_Gates!$I$5:$I$154,MATCH(6,_計算_Calc!$BZ$5:$BZ$154,0)),"")</f>
        <v>●</v>
      </c>
      <c r="I14" s="93" t="str">
        <f aca="false">IFERROR(INDEX(05_法規門檻_Gates!$J$5:$J$154,MATCH(6,_計算_Calc!$BZ$5:$BZ$154,0)),"")</f>
        <v>●</v>
      </c>
      <c r="J14" s="93" t="str">
        <f aca="false">IFERROR(INDEX(05_法規門檻_Gates!$K$5:$K$154,MATCH(6,_計算_Calc!$BZ$5:$BZ$154,0)),"")</f>
        <v>●</v>
      </c>
      <c r="K14" s="93" t="str">
        <f aca="false">IFERROR(INDEX(05_法規門檻_Gates!$L$5:$L$154,MATCH(6,_計算_Calc!$BZ$5:$BZ$154,0)),"")</f>
        <v>●</v>
      </c>
      <c r="L14" s="93" t="n">
        <f aca="false">IFERROR(INDEX(05_法規門檻_Gates!$M$5:$M$154,MATCH(6,_計算_Calc!$BZ$5:$BZ$154,0)),"")</f>
        <v>0</v>
      </c>
    </row>
    <row r="15" customFormat="false" ht="24" hidden="false" customHeight="true" outlineLevel="0" collapsed="false">
      <c r="A15" s="93" t="n">
        <f aca="false">IF($B15="","",7)</f>
        <v>7</v>
      </c>
      <c r="B15" s="93" t="str">
        <f aca="false">IFERROR(INDEX(05_法規門檻_Gates!$A$5:$A$154,MATCH(7,_計算_Calc!$BZ$5:$BZ$154,0)),"")</f>
        <v>VN-CYBER-53</v>
      </c>
      <c r="C15" s="95" t="str">
        <f aca="false">IFERROR(INDEX(05_法規門檻_Gates!$C$5:$C$154,MATCH(7,_計算_Calc!$BZ$5:$BZ$154,0)),"")</f>
        <v>Decree 53/2022/ND-CP implementing Cybersecurity Law</v>
      </c>
      <c r="D15" s="95" t="str">
        <f aca="false">IFERROR(INDEX(05_法規門檻_Gates!$D$5:$D$154,MATCH(7,_計算_Calc!$BZ$5:$BZ$154,0)),"")</f>
        <v>Government</v>
      </c>
      <c r="E15" s="93" t="str">
        <f aca="false">IFERROR(INDEX(05_法規門檻_Gates!$J$5:$J$154,MATCH(7,_計算_Calc!$BZ$5:$BZ$154,0)),"")</f>
        <v>●</v>
      </c>
      <c r="F15" s="93" t="n">
        <f aca="false">IFERROR(INDEX(05_法規門檻_Gates!$G$5:$G$154,MATCH(7,_計算_Calc!$BZ$5:$BZ$154,0)),"")</f>
        <v>0</v>
      </c>
      <c r="G15" s="93" t="str">
        <f aca="false">IFERROR(INDEX(05_法規門檻_Gates!$H$5:$H$154,MATCH(7,_計算_Calc!$BZ$5:$BZ$154,0)),"")</f>
        <v>●</v>
      </c>
      <c r="H15" s="93" t="str">
        <f aca="false">IFERROR(INDEX(05_法規門檻_Gates!$I$5:$I$154,MATCH(7,_計算_Calc!$BZ$5:$BZ$154,0)),"")</f>
        <v>●</v>
      </c>
      <c r="I15" s="93" t="str">
        <f aca="false">IFERROR(INDEX(05_法規門檻_Gates!$J$5:$J$154,MATCH(7,_計算_Calc!$BZ$5:$BZ$154,0)),"")</f>
        <v>●</v>
      </c>
      <c r="J15" s="93" t="str">
        <f aca="false">IFERROR(INDEX(05_法規門檻_Gates!$K$5:$K$154,MATCH(7,_計算_Calc!$BZ$5:$BZ$154,0)),"")</f>
        <v>●</v>
      </c>
      <c r="K15" s="93" t="str">
        <f aca="false">IFERROR(INDEX(05_法規門檻_Gates!$L$5:$L$154,MATCH(7,_計算_Calc!$BZ$5:$BZ$154,0)),"")</f>
        <v>●</v>
      </c>
      <c r="L15" s="93" t="n">
        <f aca="false">IFERROR(INDEX(05_法規門檻_Gates!$M$5:$M$154,MATCH(7,_計算_Calc!$BZ$5:$BZ$154,0)),"")</f>
        <v>0</v>
      </c>
    </row>
    <row r="16" customFormat="false" ht="24" hidden="false" customHeight="true" outlineLevel="0" collapsed="false">
      <c r="A16" s="93" t="n">
        <f aca="false">IF($B16="","",8)</f>
        <v>8</v>
      </c>
      <c r="B16" s="93" t="str">
        <f aca="false">IFERROR(INDEX(05_法規門檻_Gates!$A$5:$A$154,MATCH(8,_計算_Calc!$BZ$5:$BZ$154,0)),"")</f>
        <v>VN-PPP-71</v>
      </c>
      <c r="C16" s="95" t="str">
        <f aca="false">IFERROR(INDEX(05_法規門檻_Gates!$C$5:$C$154,MATCH(8,_計算_Calc!$BZ$5:$BZ$154,0)),"")</f>
        <v>Nghị định 243/2025/NĐ-CP on PPP（2025-09-11生效，第81條全部廢止 Decree 71/2025）</v>
      </c>
      <c r="D16" s="95" t="str">
        <f aca="false">IFERROR(INDEX(05_法規門檻_Gates!$D$5:$D$154,MATCH(8,_計算_Calc!$BZ$5:$BZ$154,0)),"")</f>
        <v>Government</v>
      </c>
      <c r="E16" s="93" t="n">
        <f aca="false">IFERROR(INDEX(05_法規門檻_Gates!$J$5:$J$154,MATCH(8,_計算_Calc!$BZ$5:$BZ$154,0)),"")</f>
        <v>0</v>
      </c>
      <c r="F16" s="93" t="str">
        <f aca="false">IFERROR(INDEX(05_法規門檻_Gates!$G$5:$G$154,MATCH(8,_計算_Calc!$BZ$5:$BZ$154,0)),"")</f>
        <v>●</v>
      </c>
      <c r="G16" s="93" t="str">
        <f aca="false">IFERROR(INDEX(05_法規門檻_Gates!$H$5:$H$154,MATCH(8,_計算_Calc!$BZ$5:$BZ$154,0)),"")</f>
        <v>●</v>
      </c>
      <c r="H16" s="93" t="str">
        <f aca="false">IFERROR(INDEX(05_法規門檻_Gates!$I$5:$I$154,MATCH(8,_計算_Calc!$BZ$5:$BZ$154,0)),"")</f>
        <v>●</v>
      </c>
      <c r="I16" s="93" t="n">
        <f aca="false">IFERROR(INDEX(05_法規門檻_Gates!$J$5:$J$154,MATCH(8,_計算_Calc!$BZ$5:$BZ$154,0)),"")</f>
        <v>0</v>
      </c>
      <c r="J16" s="93" t="n">
        <f aca="false">IFERROR(INDEX(05_法規門檻_Gates!$K$5:$K$154,MATCH(8,_計算_Calc!$BZ$5:$BZ$154,0)),"")</f>
        <v>0</v>
      </c>
      <c r="K16" s="93" t="n">
        <f aca="false">IFERROR(INDEX(05_法規門檻_Gates!$L$5:$L$154,MATCH(8,_計算_Calc!$BZ$5:$BZ$154,0)),"")</f>
        <v>0</v>
      </c>
      <c r="L16" s="93" t="n">
        <f aca="false">IFERROR(INDEX(05_法規門檻_Gates!$M$5:$M$154,MATCH(8,_計算_Calc!$BZ$5:$BZ$154,0)),"")</f>
        <v>0</v>
      </c>
    </row>
    <row r="18" customFormat="false" ht="15" hidden="false" customHeight="false" outlineLevel="0" collapsed="false">
      <c r="A18" s="314" t="s">
        <v>3137</v>
      </c>
      <c r="I18" s="313" t="str">
        <f aca="false">IF(COUNTIF(08_風險清冊_Risk!$G$5:$G$33,"極高")+COUNTIF(08_風險清冊_Risk!$G$5:$G$33,"高")&gt;8,"⚠ 共 "&amp;(COUNTIF(08_風險清冊_Risk!$G$5:$G$33,"極高")+COUNTIF(08_風險清冊_Risk!$G$5:$G$33,"高"))&amp;" 筆，此區僅顯示前 8 筆","")</f>
        <v>⚠ 共 20 筆，此區僅顯示前 8 筆</v>
      </c>
      <c r="J18" s="313"/>
      <c r="K18" s="313"/>
      <c r="L18" s="313"/>
    </row>
    <row r="19" customFormat="false" ht="21.75" hidden="false" customHeight="true" outlineLevel="0" collapsed="false">
      <c r="A19" s="160" t="s">
        <v>902</v>
      </c>
      <c r="B19" s="115" t="s">
        <v>3138</v>
      </c>
      <c r="C19" s="115" t="s">
        <v>3139</v>
      </c>
      <c r="D19" s="115" t="s">
        <v>3140</v>
      </c>
      <c r="E19" s="115" t="s">
        <v>2192</v>
      </c>
      <c r="F19" s="115" t="s">
        <v>2616</v>
      </c>
      <c r="G19" s="115" t="s">
        <v>2615</v>
      </c>
      <c r="H19" s="115" t="s">
        <v>1975</v>
      </c>
    </row>
    <row r="20" customFormat="false" ht="24" hidden="false" customHeight="true" outlineLevel="0" collapsed="false">
      <c r="A20" s="93" t="n">
        <f aca="false">IF($B20="","",1)</f>
        <v>1</v>
      </c>
      <c r="B20" s="93" t="str">
        <f aca="false">IFERROR(INDEX(08_風險清冊_Risk!$A$5:$A$154,MATCH(1,_計算_Calc!$CA$5:$CA$154,0)),"")</f>
        <v>R-001</v>
      </c>
      <c r="C20" s="95" t="str">
        <f aca="false">IFERROR(INDEX(08_風險清冊_Risk!$C$5:$C$154,MATCH(1,_計算_Calc!$CA$5:$CA$154,0)),"")</f>
        <v>Political support is not converted into formal mandate｜政治支持未轉成正式授權</v>
      </c>
      <c r="D20" s="95" t="str">
        <f aca="false">IFERROR(INDEX(08_風險清冊_Risk!$H$5:$H$154,MATCH(1,_計算_Calc!$CA$5:$CA$154,0)),"")</f>
        <v>Obtain charter, decision rights, sponsor and escalation route</v>
      </c>
      <c r="E20" s="93" t="str">
        <f aca="false">IFERROR(INDEX(08_風險清冊_Risk!$I$5:$I$154,MATCH(1,_計算_Calc!$CA$5:$CA$154,0)),"")</f>
        <v>PI Office</v>
      </c>
      <c r="F20" s="93" t="str">
        <f aca="false">IFERROR(INDEX(08_風險清冊_Risk!$G$5:$G$154,MATCH(1,_計算_Calc!$CA$5:$CA$154,0)),"")</f>
        <v>極高</v>
      </c>
      <c r="G20" s="93" t="n">
        <f aca="false">IFERROR(INDEX(08_風險清冊_Risk!$F$5:$F$154,MATCH(1,_計算_Calc!$CA$5:$CA$154,0)),"")</f>
        <v>20</v>
      </c>
      <c r="H20" s="93" t="str">
        <f aca="false">IFERROR(INDEX(08_風險清冊_Risk!$J$5:$J$154,MATCH(1,_計算_Calc!$CA$5:$CA$154,0)),"")</f>
        <v>未開始</v>
      </c>
    </row>
    <row r="21" customFormat="false" ht="24" hidden="false" customHeight="true" outlineLevel="0" collapsed="false">
      <c r="A21" s="93" t="n">
        <f aca="false">IF($B21="","",2)</f>
        <v>2</v>
      </c>
      <c r="B21" s="93" t="str">
        <f aca="false">IFERROR(INDEX(08_風險清冊_Risk!$A$5:$A$154,MATCH(2,_計算_Calc!$CA$5:$CA$154,0)),"")</f>
        <v>R-002</v>
      </c>
      <c r="C21" s="95" t="str">
        <f aca="false">IFERROR(INDEX(08_風險清冊_Risk!$C$5:$C$154,MATCH(2,_計算_Calc!$CA$5:$CA$154,0)),"")</f>
        <v>Transaction model selected before evidence｜交易模式先於證據決定</v>
      </c>
      <c r="D21" s="95" t="str">
        <f aca="false">IFERROR(INDEX(08_風險清冊_Risk!$H$5:$H$154,MATCH(2,_計算_Calc!$CA$5:$CA$154,0)),"")</f>
        <v>Complete demand, fiscal, legal and risk-allocation options appraisal</v>
      </c>
      <c r="E21" s="93" t="str">
        <f aca="false">IFERROR(INDEX(08_風險清冊_Risk!$I$5:$I$154,MATCH(2,_計算_Calc!$CA$5:$CA$154,0)),"")</f>
        <v>PPP Advisor</v>
      </c>
      <c r="F21" s="93" t="str">
        <f aca="false">IFERROR(INDEX(08_風險清冊_Risk!$G$5:$G$154,MATCH(2,_計算_Calc!$CA$5:$CA$154,0)),"")</f>
        <v>高</v>
      </c>
      <c r="G21" s="93" t="n">
        <f aca="false">IFERROR(INDEX(08_風險清冊_Risk!$F$5:$F$154,MATCH(2,_計算_Calc!$CA$5:$CA$154,0)),"")</f>
        <v>15</v>
      </c>
      <c r="H21" s="93" t="str">
        <f aca="false">IFERROR(INDEX(08_風險清冊_Risk!$J$5:$J$154,MATCH(2,_計算_Calc!$CA$5:$CA$154,0)),"")</f>
        <v>未開始</v>
      </c>
    </row>
    <row r="22" customFormat="false" ht="24" hidden="false" customHeight="true" outlineLevel="0" collapsed="false">
      <c r="A22" s="93" t="n">
        <f aca="false">IF($B22="","",3)</f>
        <v>3</v>
      </c>
      <c r="B22" s="93" t="str">
        <f aca="false">IFERROR(INDEX(08_風險清冊_Risk!$A$5:$A$154,MATCH(3,_計算_Calc!$CA$5:$CA$154,0)),"")</f>
        <v>R-003</v>
      </c>
      <c r="C22" s="95" t="str">
        <f aca="false">IFERROR(INDEX(08_風險清冊_Risk!$C$5:$C$154,MATCH(3,_計算_Calc!$CA$5:$CA$154,0)),"")</f>
        <v>One generic hospital model is applied to all opportunities｜單一醫院模式套用所有商機</v>
      </c>
      <c r="D22" s="95" t="str">
        <f aca="false">IFERROR(INDEX(08_風險清冊_Risk!$H$5:$H$154,MATCH(3,_計算_Calc!$CA$5:$CA$154,0)),"")</f>
        <v>Use scenario-specific service, demand and operating model</v>
      </c>
      <c r="E22" s="93" t="str">
        <f aca="false">IFERROR(INDEX(08_風險清冊_Risk!$I$5:$I$154,MATCH(3,_計算_Calc!$CA$5:$CA$154,0)),"")</f>
        <v>Clinical Planner</v>
      </c>
      <c r="F22" s="93" t="str">
        <f aca="false">IFERROR(INDEX(08_風險清冊_Risk!$G$5:$G$154,MATCH(3,_計算_Calc!$CA$5:$CA$154,0)),"")</f>
        <v>高</v>
      </c>
      <c r="G22" s="93" t="n">
        <f aca="false">IFERROR(INDEX(08_風險清冊_Risk!$F$5:$F$154,MATCH(3,_計算_Calc!$CA$5:$CA$154,0)),"")</f>
        <v>16</v>
      </c>
      <c r="H22" s="93" t="str">
        <f aca="false">IFERROR(INDEX(08_風險清冊_Risk!$J$5:$J$154,MATCH(3,_計算_Calc!$CA$5:$CA$154,0)),"")</f>
        <v>未開始</v>
      </c>
    </row>
    <row r="23" customFormat="false" ht="24" hidden="false" customHeight="true" outlineLevel="0" collapsed="false">
      <c r="A23" s="93" t="n">
        <f aca="false">IF($B23="","",4)</f>
        <v>4</v>
      </c>
      <c r="B23" s="93" t="str">
        <f aca="false">IFERROR(INDEX(08_風險清冊_Risk!$A$5:$A$154,MATCH(4,_計算_Calc!$CA$5:$CA$154,0)),"")</f>
        <v>R-004</v>
      </c>
      <c r="C23" s="95" t="str">
        <f aca="false">IFERROR(INDEX(08_風險清冊_Risk!$C$5:$C$154,MATCH(4,_計算_Calc!$CA$5:$CA$154,0)),"")</f>
        <v>Demand or revenue is overestimated｜需求或收入高估</v>
      </c>
      <c r="D23" s="95" t="str">
        <f aca="false">IFERROR(INDEX(08_風險清冊_Risk!$H$5:$H$154,MATCH(4,_計算_Calc!$CA$5:$CA$154,0)),"")</f>
        <v>Independent demand review and downside scenarios</v>
      </c>
      <c r="E23" s="93" t="str">
        <f aca="false">IFERROR(INDEX(08_風險清冊_Risk!$I$5:$I$154,MATCH(4,_計算_Calc!$CA$5:$CA$154,0)),"")</f>
        <v>Independent Assurance</v>
      </c>
      <c r="F23" s="93" t="str">
        <f aca="false">IFERROR(INDEX(08_風險清冊_Risk!$G$5:$G$154,MATCH(4,_計算_Calc!$CA$5:$CA$154,0)),"")</f>
        <v>極高</v>
      </c>
      <c r="G23" s="93" t="n">
        <f aca="false">IFERROR(INDEX(08_風險清冊_Risk!$F$5:$F$154,MATCH(4,_計算_Calc!$CA$5:$CA$154,0)),"")</f>
        <v>20</v>
      </c>
      <c r="H23" s="93" t="str">
        <f aca="false">IFERROR(INDEX(08_風險清冊_Risk!$J$5:$J$154,MATCH(4,_計算_Calc!$CA$5:$CA$154,0)),"")</f>
        <v>未開始</v>
      </c>
    </row>
    <row r="24" customFormat="false" ht="24" hidden="false" customHeight="true" outlineLevel="0" collapsed="false">
      <c r="A24" s="93" t="n">
        <f aca="false">IF($B24="","",5)</f>
        <v>5</v>
      </c>
      <c r="B24" s="93" t="str">
        <f aca="false">IFERROR(INDEX(08_風險清冊_Risk!$A$5:$A$154,MATCH(5,_計算_Calc!$CA$5:$CA$154,0)),"")</f>
        <v>R-005</v>
      </c>
      <c r="C24" s="95" t="str">
        <f aca="false">IFERROR(INDEX(08_風險清冊_Risk!$C$5:$C$154,MATCH(5,_計算_Calc!$CA$5:$CA$154,0)),"")</f>
        <v>Long-term O&amp;M and contract variation are unaffordable｜長期維運與變更不可負擔</v>
      </c>
      <c r="D24" s="95" t="str">
        <f aca="false">IFERROR(INDEX(08_風險清冊_Risk!$H$5:$H$154,MATCH(5,_計算_Calc!$CA$5:$CA$154,0)),"")</f>
        <v>Whole-life model, variation governance and affordability cap</v>
      </c>
      <c r="E24" s="93" t="str">
        <f aca="false">IFERROR(INDEX(08_風險清冊_Risk!$I$5:$I$154,MATCH(5,_計算_Calc!$CA$5:$CA$154,0)),"")</f>
        <v>Financial Lead</v>
      </c>
      <c r="F24" s="93" t="str">
        <f aca="false">IFERROR(INDEX(08_風險清冊_Risk!$G$5:$G$154,MATCH(5,_計算_Calc!$CA$5:$CA$154,0)),"")</f>
        <v>極高</v>
      </c>
      <c r="G24" s="93" t="n">
        <f aca="false">IFERROR(INDEX(08_風險清冊_Risk!$F$5:$F$154,MATCH(5,_計算_Calc!$CA$5:$CA$154,0)),"")</f>
        <v>20</v>
      </c>
      <c r="H24" s="93" t="str">
        <f aca="false">IFERROR(INDEX(08_風險清冊_Risk!$J$5:$J$154,MATCH(5,_計算_Calc!$CA$5:$CA$154,0)),"")</f>
        <v>未開始</v>
      </c>
    </row>
    <row r="25" customFormat="false" ht="24" hidden="false" customHeight="true" outlineLevel="0" collapsed="false">
      <c r="A25" s="93" t="n">
        <f aca="false">IF($B25="","",6)</f>
        <v>6</v>
      </c>
      <c r="B25" s="93" t="str">
        <f aca="false">IFERROR(INDEX(08_風險清冊_Risk!$A$5:$A$154,MATCH(6,_計算_Calc!$CA$5:$CA$154,0)),"")</f>
        <v>R-006</v>
      </c>
      <c r="C25" s="95" t="str">
        <f aca="false">IFERROR(INDEX(08_風險清冊_Risk!$C$5:$C$154,MATCH(6,_計算_Calc!$CA$5:$CA$154,0)),"")</f>
        <v>No licensed and accountable clinical operator｜缺少合格且負責的臨床營運方</v>
      </c>
      <c r="D25" s="95" t="str">
        <f aca="false">IFERROR(INDEX(08_風險清冊_Risk!$H$5:$H$154,MATCH(6,_計算_Calc!$CA$5:$CA$154,0)),"")</f>
        <v>Select operator early and define clinical accountability</v>
      </c>
      <c r="E25" s="93" t="str">
        <f aca="false">IFERROR(INDEX(08_風險清冊_Risk!$I$5:$I$154,MATCH(6,_計算_Calc!$CA$5:$CA$154,0)),"")</f>
        <v>Government Sponsor</v>
      </c>
      <c r="F25" s="93" t="str">
        <f aca="false">IFERROR(INDEX(08_風險清冊_Risk!$G$5:$G$154,MATCH(6,_計算_Calc!$CA$5:$CA$154,0)),"")</f>
        <v>極高</v>
      </c>
      <c r="G25" s="93" t="n">
        <f aca="false">IFERROR(INDEX(08_風險清冊_Risk!$F$5:$F$154,MATCH(6,_計算_Calc!$CA$5:$CA$154,0)),"")</f>
        <v>20</v>
      </c>
      <c r="H25" s="93" t="str">
        <f aca="false">IFERROR(INDEX(08_風險清冊_Risk!$J$5:$J$154,MATCH(6,_計算_Calc!$CA$5:$CA$154,0)),"")</f>
        <v>未開始</v>
      </c>
    </row>
    <row r="26" customFormat="false" ht="24" hidden="false" customHeight="true" outlineLevel="0" collapsed="false">
      <c r="A26" s="93" t="n">
        <f aca="false">IF($B26="","",7)</f>
        <v>7</v>
      </c>
      <c r="B26" s="93" t="str">
        <f aca="false">IFERROR(INDEX(08_風險清冊_Risk!$A$5:$A$154,MATCH(7,_計算_Calc!$CA$5:$CA$154,0)),"")</f>
        <v>R-007</v>
      </c>
      <c r="C26" s="95" t="str">
        <f aca="false">IFERROR(INDEX(08_風險清冊_Risk!$C$5:$C$154,MATCH(7,_計算_Calc!$CA$5:$CA$154,0)),"")</f>
        <v>Hospital, practitioner or device licensing delays｜醫院、人員或醫材執照延誤</v>
      </c>
      <c r="D26" s="95" t="str">
        <f aca="false">IFERROR(INDEX(08_風險清冊_Risk!$H$5:$H$154,MATCH(7,_計算_Calc!$CA$5:$CA$154,0)),"")</f>
        <v>Regulatory critical path and product-by-product register</v>
      </c>
      <c r="E26" s="93" t="str">
        <f aca="false">IFERROR(INDEX(08_風險清冊_Risk!$I$5:$I$154,MATCH(7,_計算_Calc!$CA$5:$CA$154,0)),"")</f>
        <v>Legal Lead</v>
      </c>
      <c r="F26" s="93" t="str">
        <f aca="false">IFERROR(INDEX(08_風險清冊_Risk!$G$5:$G$154,MATCH(7,_計算_Calc!$CA$5:$CA$154,0)),"")</f>
        <v>高</v>
      </c>
      <c r="G26" s="93" t="n">
        <f aca="false">IFERROR(INDEX(08_風險清冊_Risk!$F$5:$F$154,MATCH(7,_計算_Calc!$CA$5:$CA$154,0)),"")</f>
        <v>16</v>
      </c>
      <c r="H26" s="93" t="str">
        <f aca="false">IFERROR(INDEX(08_風險清冊_Risk!$J$5:$J$154,MATCH(7,_計算_Calc!$CA$5:$CA$154,0)),"")</f>
        <v>未開始</v>
      </c>
    </row>
    <row r="27" customFormat="false" ht="24" hidden="false" customHeight="true" outlineLevel="0" collapsed="false">
      <c r="A27" s="93" t="n">
        <f aca="false">IF($B27="","",8)</f>
        <v>8</v>
      </c>
      <c r="B27" s="93" t="str">
        <f aca="false">IFERROR(INDEX(08_風險清冊_Risk!$A$5:$A$154,MATCH(8,_計算_Calc!$CA$5:$CA$154,0)),"")</f>
        <v>R-008</v>
      </c>
      <c r="C27" s="95" t="str">
        <f aca="false">IFERROR(INDEX(08_風險清冊_Risk!$C$5:$C$154,MATCH(8,_計算_Calc!$CA$5:$CA$154,0)),"")</f>
        <v>Cloud or data design breaches Vietnam requirements｜雲端或資料設計違反越南要求</v>
      </c>
      <c r="D27" s="95" t="str">
        <f aca="false">IFERROR(INDEX(08_風險清冊_Risk!$H$5:$H$154,MATCH(8,_計算_Calc!$CA$5:$CA$154,0)),"")</f>
        <v>Data classification, local counsel, residency and transfer assessment</v>
      </c>
      <c r="E27" s="93" t="str">
        <f aca="false">IFERROR(INDEX(08_風險清冊_Risk!$I$5:$I$154,MATCH(8,_計算_Calc!$CA$5:$CA$154,0)),"")</f>
        <v>Privacy Lead</v>
      </c>
      <c r="F27" s="93" t="str">
        <f aca="false">IFERROR(INDEX(08_風險清冊_Risk!$G$5:$G$154,MATCH(8,_計算_Calc!$CA$5:$CA$154,0)),"")</f>
        <v>高</v>
      </c>
      <c r="G27" s="93" t="n">
        <f aca="false">IFERROR(INDEX(08_風險清冊_Risk!$F$5:$F$154,MATCH(8,_計算_Calc!$CA$5:$CA$154,0)),"")</f>
        <v>15</v>
      </c>
      <c r="H27" s="93" t="str">
        <f aca="false">IFERROR(INDEX(08_風險清冊_Risk!$J$5:$J$154,MATCH(8,_計算_Calc!$CA$5:$CA$154,0)),"")</f>
        <v>未開始</v>
      </c>
    </row>
    <row r="29" customFormat="false" ht="15" hidden="false" customHeight="false" outlineLevel="0" collapsed="false">
      <c r="A29" s="14" t="s">
        <v>3141</v>
      </c>
      <c r="I29" s="313" t="str">
        <f aca="false">IF(COUNTIF(03_能力總表_Master!$H$5:$H$154,"缺口*")&gt;10,"⚠ 共 "&amp;(COUNTIF(03_能力總表_Master!$H$5:$H$154,"缺口*"))&amp;" 筆，此區僅顯示前 10 筆","")</f>
        <v/>
      </c>
      <c r="J29" s="313"/>
      <c r="K29" s="313"/>
      <c r="L29" s="313"/>
    </row>
    <row r="30" customFormat="false" ht="21.75" hidden="false" customHeight="true" outlineLevel="0" collapsed="false">
      <c r="A30" s="220" t="s">
        <v>902</v>
      </c>
      <c r="B30" s="220" t="s">
        <v>903</v>
      </c>
      <c r="C30" s="36" t="s">
        <v>930</v>
      </c>
      <c r="D30" s="36" t="s">
        <v>931</v>
      </c>
      <c r="E30" s="36" t="s">
        <v>921</v>
      </c>
      <c r="F30" s="36" t="s">
        <v>922</v>
      </c>
      <c r="G30" s="36" t="s">
        <v>3142</v>
      </c>
    </row>
    <row r="31" customFormat="false" ht="24" hidden="false" customHeight="true" outlineLevel="0" collapsed="false">
      <c r="A31" s="93" t="n">
        <f aca="false">IF($B31="","",1)</f>
        <v>1</v>
      </c>
      <c r="B31" s="93" t="str">
        <f aca="false">IFERROR(INDEX(03_能力總表_Master!$A$5:$A$154,MATCH(1,_計算_Calc!$BX$5:$BX$154,0)),"")</f>
        <v>CAP-028</v>
      </c>
      <c r="C31" s="95" t="str">
        <f aca="false">IFERROR(INDEX(03_能力總表_Master!$E$5:$E$154,MATCH(1,_計算_Calc!$BX$5:$BX$154,0)),"")</f>
        <v>影像設備、PACS與報告流程</v>
      </c>
      <c r="D31" s="95" t="str">
        <f aca="false">IFERROR(INDEX(03_能力總表_Master!$K$5:$K$154,MATCH(1,_計算_Calc!$BX$5:$BX$154,0)),"")</f>
        <v>缺：影像設備原廠/代理＋PACS整合實績</v>
      </c>
      <c r="E31" s="93" t="str">
        <f aca="false">IFERROR(INDEX(03_能力總表_Master!$B$5:$B$154,MATCH(1,_計算_Calc!$BX$5:$BX$154,0)),"")</f>
        <v>D05 醫材與診斷</v>
      </c>
      <c r="F31" s="93" t="str">
        <f aca="false">IFERROR(INDEX(03_能力總表_Master!$C$5:$C$154,MATCH(1,_計算_Calc!$BX$5:$BX$154,0)),"")</f>
        <v>G4</v>
      </c>
      <c r="G31" s="93" t="str">
        <f aca="false">IFERROR(INDEX(03_能力總表_Master!$W$5:$W$154,MATCH(1,_計算_Calc!$BX$5:$BX$154,0)),"")</f>
        <v>先補條件 Prepare</v>
      </c>
    </row>
    <row r="32" customFormat="false" ht="24" hidden="false" customHeight="true" outlineLevel="0" collapsed="false">
      <c r="A32" s="93" t="n">
        <f aca="false">IF($B32="","",2)</f>
        <v>2</v>
      </c>
      <c r="B32" s="93" t="str">
        <f aca="false">IFERROR(INDEX(03_能力總表_Master!$A$5:$A$154,MATCH(2,_計算_Calc!$BX$5:$BX$154,0)),"")</f>
        <v>CAP-029</v>
      </c>
      <c r="C32" s="95" t="str">
        <f aca="false">IFERROR(INDEX(03_能力總表_Master!$E$5:$E$154,MATCH(2,_計算_Calc!$BX$5:$BX$154,0)),"")</f>
        <v>實驗室自動化與LIS</v>
      </c>
      <c r="D32" s="95" t="str">
        <f aca="false">IFERROR(INDEX(03_能力總表_Master!$K$5:$K$154,MATCH(2,_計算_Calc!$BX$5:$BX$154,0)),"")</f>
        <v>缺：實驗室自動化與LIS供應商</v>
      </c>
      <c r="E32" s="93" t="str">
        <f aca="false">IFERROR(INDEX(03_能力總表_Master!$B$5:$B$154,MATCH(2,_計算_Calc!$BX$5:$BX$154,0)),"")</f>
        <v>D05 醫材與診斷</v>
      </c>
      <c r="F32" s="93" t="str">
        <f aca="false">IFERROR(INDEX(03_能力總表_Master!$C$5:$C$154,MATCH(2,_計算_Calc!$BX$5:$BX$154,0)),"")</f>
        <v>G4</v>
      </c>
      <c r="G32" s="93" t="str">
        <f aca="false">IFERROR(INDEX(03_能力總表_Master!$W$5:$W$154,MATCH(2,_計算_Calc!$BX$5:$BX$154,0)),"")</f>
        <v>先補條件 Prepare</v>
      </c>
    </row>
    <row r="33" customFormat="false" ht="24" hidden="false" customHeight="true" outlineLevel="0" collapsed="false">
      <c r="A33" s="93" t="n">
        <f aca="false">IF($B33="","",3)</f>
        <v>3</v>
      </c>
      <c r="B33" s="93" t="str">
        <f aca="false">IFERROR(INDEX(03_能力總表_Master!$A$5:$A$154,MATCH(3,_計算_Calc!$BX$5:$BX$154,0)),"")</f>
        <v>CAP-030</v>
      </c>
      <c r="C33" s="95" t="str">
        <f aca="false">IFERROR(INDEX(03_能力總表_Master!$E$5:$E$154,MATCH(3,_計算_Calc!$BX$5:$BX$154,0)),"")</f>
        <v>手術室與重症整合</v>
      </c>
      <c r="D33" s="95" t="str">
        <f aca="false">IFERROR(INDEX(03_能力總表_Master!$K$5:$K$154,MATCH(3,_計算_Calc!$BX$5:$BX$154,0)),"")</f>
        <v>缺：手術室/重症整合設備商</v>
      </c>
      <c r="E33" s="93" t="str">
        <f aca="false">IFERROR(INDEX(03_能力總表_Master!$B$5:$B$154,MATCH(3,_計算_Calc!$BX$5:$BX$154,0)),"")</f>
        <v>D05 醫材與診斷</v>
      </c>
      <c r="F33" s="93" t="str">
        <f aca="false">IFERROR(INDEX(03_能力總表_Master!$C$5:$C$154,MATCH(3,_計算_Calc!$BX$5:$BX$154,0)),"")</f>
        <v>G4</v>
      </c>
      <c r="G33" s="93" t="str">
        <f aca="false">IFERROR(INDEX(03_能力總表_Master!$W$5:$W$154,MATCH(3,_計算_Calc!$BX$5:$BX$154,0)),"")</f>
        <v>先補條件 Prepare</v>
      </c>
    </row>
    <row r="34" customFormat="false" ht="24" hidden="false" customHeight="true" outlineLevel="0" collapsed="false">
      <c r="A34" s="93" t="n">
        <f aca="false">IF($B34="","",4)</f>
        <v>4</v>
      </c>
      <c r="B34" s="93" t="str">
        <f aca="false">IFERROR(INDEX(03_能力總表_Master!$A$5:$A$154,MATCH(4,_計算_Calc!$BX$5:$BX$154,0)),"")</f>
        <v>CAP-035</v>
      </c>
      <c r="C34" s="95" t="str">
        <f aca="false">IFERROR(INDEX(03_能力總表_Master!$E$5:$E$154,MATCH(4,_計算_Calc!$BX$5:$BX$154,0)),"")</f>
        <v>主病人索引與身分整合</v>
      </c>
      <c r="D34" s="95" t="str">
        <f aca="false">IFERROR(INDEX(03_能力總表_Master!$K$5:$K$154,MATCH(4,_計算_Calc!$BX$5:$BX$154,0)),"")</f>
        <v>缺：越南數位身分(VNeID)介接夥伴</v>
      </c>
      <c r="E34" s="93" t="str">
        <f aca="false">IFERROR(INDEX(03_能力總表_Master!$B$5:$B$154,MATCH(4,_計算_Calc!$BX$5:$BX$154,0)),"")</f>
        <v>D06 醫療資訊與資料</v>
      </c>
      <c r="F34" s="93" t="str">
        <f aca="false">IFERROR(INDEX(03_能力總表_Master!$C$5:$C$154,MATCH(4,_計算_Calc!$BX$5:$BX$154,0)),"")</f>
        <v>G4</v>
      </c>
      <c r="G34" s="93" t="str">
        <f aca="false">IFERROR(INDEX(03_能力總表_Master!$W$5:$W$154,MATCH(4,_計算_Calc!$BX$5:$BX$154,0)),"")</f>
        <v>先補條件 Prepare</v>
      </c>
    </row>
    <row r="35" customFormat="false" ht="24" hidden="false" customHeight="true" outlineLevel="0" collapsed="false">
      <c r="A35" s="93" t="n">
        <f aca="false">IF($B35="","",5)</f>
        <v>5</v>
      </c>
      <c r="B35" s="93" t="str">
        <f aca="false">IFERROR(INDEX(03_能力總表_Master!$A$5:$A$154,MATCH(5,_計算_Calc!$BX$5:$BX$154,0)),"")</f>
        <v>CAP-039</v>
      </c>
      <c r="C35" s="95" t="str">
        <f aca="false">IFERROR(INDEX(03_能力總表_Master!$E$5:$E$154,MATCH(5,_計算_Calc!$BX$5:$BX$154,0)),"")</f>
        <v>病人入口、行動服務與VNeID準備</v>
      </c>
      <c r="D35" s="95" t="str">
        <f aca="false">IFERROR(INDEX(03_能力總表_Master!$K$5:$K$154,MATCH(5,_計算_Calc!$BX$5:$BX$154,0)),"")</f>
        <v>缺：病人App與在地支付夥伴</v>
      </c>
      <c r="E35" s="93" t="str">
        <f aca="false">IFERROR(INDEX(03_能力總表_Master!$B$5:$B$154,MATCH(5,_計算_Calc!$BX$5:$BX$154,0)),"")</f>
        <v>D06 醫療資訊與資料</v>
      </c>
      <c r="F35" s="93" t="str">
        <f aca="false">IFERROR(INDEX(03_能力總表_Master!$C$5:$C$154,MATCH(5,_計算_Calc!$BX$5:$BX$154,0)),"")</f>
        <v>G5</v>
      </c>
      <c r="G35" s="93" t="str">
        <f aca="false">IFERROR(INDEX(03_能力總表_Master!$W$5:$W$154,MATCH(5,_計算_Calc!$BX$5:$BX$154,0)),"")</f>
        <v>先補條件 Prepare</v>
      </c>
    </row>
    <row r="36" customFormat="false" ht="24" hidden="false" customHeight="true" outlineLevel="0" collapsed="false">
      <c r="A36" s="93" t="n">
        <f aca="false">IF($B36="","",6)</f>
        <v>6</v>
      </c>
      <c r="B36" s="93" t="str">
        <f aca="false">IFERROR(INDEX(03_能力總表_Master!$A$5:$A$154,MATCH(6,_計算_Calc!$BX$5:$BX$154,0)),"")</f>
        <v>CAP-045</v>
      </c>
      <c r="C36" s="95" t="str">
        <f aca="false">IFERROR(INDEX(03_能力總表_Master!$E$5:$E$154,MATCH(6,_計算_Calc!$BX$5:$BX$154,0)),"")</f>
        <v>人力與輪班模型</v>
      </c>
      <c r="D36" s="95" t="str">
        <f aca="false">IFERROR(INDEX(03_能力總表_Master!$K$5:$K$154,MATCH(6,_計算_Calc!$BX$5:$BX$154,0)),"")</f>
        <v>缺：越南醫護大學/人力合作機構</v>
      </c>
      <c r="E36" s="93" t="str">
        <f aca="false">IFERROR(INDEX(03_能力總表_Master!$B$5:$B$154,MATCH(6,_計算_Calc!$BX$5:$BX$154,0)),"")</f>
        <v>D08 人才與技轉</v>
      </c>
      <c r="F36" s="93" t="str">
        <f aca="false">IFERROR(INDEX(03_能力總表_Master!$C$5:$C$154,MATCH(6,_計算_Calc!$BX$5:$BX$154,0)),"")</f>
        <v>G2</v>
      </c>
      <c r="G36" s="93" t="str">
        <f aca="false">IFERROR(INDEX(03_能力總表_Master!$W$5:$W$154,MATCH(6,_計算_Calc!$BX$5:$BX$154,0)),"")</f>
        <v>立即推進 Go</v>
      </c>
    </row>
    <row r="37" customFormat="false" ht="24" hidden="false" customHeight="true" outlineLevel="0" collapsed="false">
      <c r="A37" s="93" t="n">
        <f aca="false">IF($B37="","",7)</f>
        <v>7</v>
      </c>
      <c r="B37" s="93" t="str">
        <f aca="false">IFERROR(INDEX(03_能力總表_Master!$A$5:$A$154,MATCH(7,_計算_Calc!$BX$5:$BX$154,0)),"")</f>
        <v>CAP-056</v>
      </c>
      <c r="C37" s="95" t="str">
        <f aca="false">IFERROR(INDEX(03_能力總表_Master!$E$5:$E$154,MATCH(7,_計算_Calc!$BX$5:$BX$154,0)),"")</f>
        <v>健保申報與數位理賠</v>
      </c>
      <c r="D37" s="95" t="str">
        <f aca="false">IFERROR(INDEX(03_能力總表_Master!$K$5:$K$154,MATCH(7,_計算_Calc!$BX$5:$BX$154,0)),"")</f>
        <v>缺：越南健保(VSS)申報介接經驗夥伴</v>
      </c>
      <c r="E37" s="93" t="str">
        <f aca="false">IFERROR(INDEX(03_能力總表_Master!$B$5:$B$154,MATCH(7,_計算_Calc!$BX$5:$BX$154,0)),"")</f>
        <v>D10 商模與病人生態</v>
      </c>
      <c r="F37" s="93" t="str">
        <f aca="false">IFERROR(INDEX(03_能力總表_Master!$C$5:$C$154,MATCH(7,_計算_Calc!$BX$5:$BX$154,0)),"")</f>
        <v>G4</v>
      </c>
      <c r="G37" s="93" t="str">
        <f aca="false">IFERROR(INDEX(03_能力總表_Master!$W$5:$W$154,MATCH(7,_計算_Calc!$BX$5:$BX$154,0)),"")</f>
        <v>先補條件 Prepare</v>
      </c>
    </row>
    <row r="38" customFormat="false" ht="24" hidden="false" customHeight="true" outlineLevel="0" collapsed="false">
      <c r="A38" s="93" t="n">
        <f aca="false">IF($B38="","",8)</f>
        <v>8</v>
      </c>
      <c r="B38" s="93" t="str">
        <f aca="false">IFERROR(INDEX(03_能力總表_Master!$A$5:$A$154,MATCH(8,_計算_Calc!$BX$5:$BX$154,0)),"")</f>
        <v>CAP-057</v>
      </c>
      <c r="C38" s="95" t="str">
        <f aca="false">IFERROR(INDEX(03_能力總表_Master!$E$5:$E$154,MATCH(8,_計算_Calc!$BX$5:$BX$154,0)),"")</f>
        <v>現金流、支付與收入週期</v>
      </c>
      <c r="D38" s="95" t="str">
        <f aca="false">IFERROR(INDEX(03_能力總表_Master!$K$5:$K$154,MATCH(8,_計算_Calc!$BX$5:$BX$154,0)),"")</f>
        <v>缺：醫院收費/金流服務夥伴</v>
      </c>
      <c r="E38" s="93" t="str">
        <f aca="false">IFERROR(INDEX(03_能力總表_Master!$B$5:$B$154,MATCH(8,_計算_Calc!$BX$5:$BX$154,0)),"")</f>
        <v>D10 商模與病人生態</v>
      </c>
      <c r="F38" s="93" t="str">
        <f aca="false">IFERROR(INDEX(03_能力總表_Master!$C$5:$C$154,MATCH(8,_計算_Calc!$BX$5:$BX$154,0)),"")</f>
        <v>G4</v>
      </c>
      <c r="G38" s="93" t="str">
        <f aca="false">IFERROR(INDEX(03_能力總表_Master!$W$5:$W$154,MATCH(8,_計算_Calc!$BX$5:$BX$154,0)),"")</f>
        <v>儲備觀察 Backlog</v>
      </c>
    </row>
    <row r="39" customFormat="false" ht="24" hidden="false" customHeight="true" outlineLevel="0" collapsed="false">
      <c r="A39" s="93" t="n">
        <f aca="false">IF($B39="","",9)</f>
        <v>9</v>
      </c>
      <c r="B39" s="93" t="str">
        <f aca="false">IFERROR(INDEX(03_能力總表_Master!$A$5:$A$154,MATCH(9,_計算_Calc!$BX$5:$BX$154,0)),"")</f>
        <v>CAP-058</v>
      </c>
      <c r="C39" s="95" t="str">
        <f aca="false">IFERROR(INDEX(03_能力總表_Master!$E$5:$E$154,MATCH(9,_計算_Calc!$BX$5:$BX$154,0)),"")</f>
        <v>國際醫療與高價值服務</v>
      </c>
      <c r="D39" s="95" t="str">
        <f aca="false">IFERROR(INDEX(03_能力總表_Master!$K$5:$K$154,MATCH(9,_計算_Calc!$BX$5:$BX$154,0)),"")</f>
        <v>缺：國際醫療行銷與保險通路夥伴</v>
      </c>
      <c r="E39" s="93" t="str">
        <f aca="false">IFERROR(INDEX(03_能力總表_Master!$B$5:$B$154,MATCH(9,_計算_Calc!$BX$5:$BX$154,0)),"")</f>
        <v>D10 商模與病人生態</v>
      </c>
      <c r="F39" s="93" t="str">
        <f aca="false">IFERROR(INDEX(03_能力總表_Master!$C$5:$C$154,MATCH(9,_計算_Calc!$BX$5:$BX$154,0)),"")</f>
        <v>G5</v>
      </c>
      <c r="G39" s="93" t="str">
        <f aca="false">IFERROR(INDEX(03_能力總表_Master!$W$5:$W$154,MATCH(9,_計算_Calc!$BX$5:$BX$154,0)),"")</f>
        <v>儲備觀察 Backlog</v>
      </c>
    </row>
    <row r="40" customFormat="false" ht="24" hidden="false" customHeight="true" outlineLevel="0" collapsed="false">
      <c r="A40" s="93" t="str">
        <f aca="false">IF($B40="","",10)</f>
        <v/>
      </c>
      <c r="B40" s="93" t="str">
        <f aca="false">IFERROR(INDEX(03_能力總表_Master!$A$5:$A$154,MATCH(10,_計算_Calc!$BX$5:$BX$154,0)),"")</f>
        <v/>
      </c>
      <c r="C40" s="95" t="str">
        <f aca="false">IFERROR(INDEX(03_能力總表_Master!$E$5:$E$154,MATCH(10,_計算_Calc!$BX$5:$BX$154,0)),"")</f>
        <v/>
      </c>
      <c r="D40" s="95" t="str">
        <f aca="false">IFERROR(INDEX(03_能力總表_Master!$K$5:$K$154,MATCH(10,_計算_Calc!$BX$5:$BX$154,0)),"")</f>
        <v/>
      </c>
      <c r="E40" s="93" t="str">
        <f aca="false">IFERROR(INDEX(03_能力總表_Master!$B$5:$B$154,MATCH(10,_計算_Calc!$BX$5:$BX$154,0)),"")</f>
        <v/>
      </c>
      <c r="F40" s="93" t="str">
        <f aca="false">IFERROR(INDEX(03_能力總表_Master!$C$5:$C$154,MATCH(10,_計算_Calc!$BX$5:$BX$154,0)),"")</f>
        <v/>
      </c>
      <c r="G40" s="93" t="str">
        <f aca="false">IFERROR(INDEX(03_能力總表_Master!$W$5:$W$154,MATCH(10,_計算_Calc!$BX$5:$BX$154,0)),"")</f>
        <v/>
      </c>
    </row>
    <row r="42" customFormat="false" ht="19.4" hidden="false" customHeight="false" outlineLevel="0" collapsed="false">
      <c r="A42" s="315" t="s">
        <v>3143</v>
      </c>
      <c r="I42" s="313" t="str">
        <f aca="false">IF(COUNTIFS(14_商機清單_Pipeline!$A$5:$A$24,"&lt;&gt;",14_商機清單_Pipeline!$I$5:$I$24,"&gt;0")+COUNTIFS(14_商機清單_Pipeline!$A$5:$A$24,"&lt;&gt;",14_商機清單_Pipeline!$F$5:$F$24,0)&gt;8,"⚠ 共 "&amp;(COUNTIFS(14_商機清單_Pipeline!$A$5:$A$24,"&lt;&gt;",14_商機清單_Pipeline!$I$5:$I$24,"&gt;0")+COUNTIFS(14_商機清單_Pipeline!$A$5:$A$24,"&lt;&gt;",14_商機清單_Pipeline!$F$5:$F$24,0))&amp;" 筆，此區僅顯示前 8 筆","")</f>
        <v/>
      </c>
      <c r="J42" s="313"/>
      <c r="K42" s="313"/>
      <c r="L42" s="313"/>
    </row>
    <row r="43" customFormat="false" ht="21.75" hidden="false" customHeight="true" outlineLevel="0" collapsed="false">
      <c r="A43" s="316" t="s">
        <v>902</v>
      </c>
      <c r="B43" s="259" t="s">
        <v>3144</v>
      </c>
      <c r="C43" s="259" t="s">
        <v>144</v>
      </c>
      <c r="D43" s="316" t="s">
        <v>3145</v>
      </c>
      <c r="E43" s="259" t="s">
        <v>185</v>
      </c>
      <c r="F43" s="259" t="s">
        <v>3146</v>
      </c>
      <c r="G43" s="259" t="s">
        <v>1268</v>
      </c>
    </row>
    <row r="44" customFormat="false" ht="30" hidden="false" customHeight="true" outlineLevel="0" collapsed="false">
      <c r="A44" s="93" t="n">
        <f aca="false">IF($B44="","",1)</f>
        <v>1</v>
      </c>
      <c r="B44" s="95" t="str">
        <f aca="false">IFERROR(INDEX(14_商機清單_Pipeline!$A$5:$A$154,MATCH(1,_計算_Calc!$CB$5:$CB$154,0)),"")</f>
        <v>OPP-14 影像設備整批交鑰匙（CT/MRI/DSA＋機房）</v>
      </c>
      <c r="C44" s="95" t="str">
        <f aca="false">IFERROR(INDEX(14_商機清單_Pipeline!$D$5:$D$154,MATCH(1,_計算_Calc!$CB$5:$CB$154,0)),"")</f>
        <v>① 已成熟：在地已有供應商</v>
      </c>
      <c r="D44" s="95" t="n">
        <f aca="false">IFERROR(INDEX(14_商機清單_Pipeline!$F$5:$F$154,MATCH(1,_計算_Calc!$CB$5:$CB$154,0)),"")</f>
        <v>2</v>
      </c>
      <c r="E44" s="93" t="n">
        <f aca="false">IFERROR(INDEX(14_商機清單_Pipeline!$I$5:$I$154,MATCH(1,_計算_Calc!$CB$5:$CB$154,0)),"")</f>
        <v>1</v>
      </c>
      <c r="F44" s="93" t="str">
        <f aca="false">IFERROR(INDEX(14_商機清單_Pipeline!$P$5:$P$154,MATCH(1,_計算_Calc!$CB$5:$CB$154,0)),"")</f>
        <v>Qualified / 已篩選</v>
      </c>
      <c r="G44" s="95" t="str">
        <f aca="false">IFERROR(INDEX(14_商機清單_Pipeline!$R$5:$R$154,MATCH(1,_計算_Calc!$CB$5:$CB$154,0)),"")</f>
        <v>確認影像設備代理權與越南醫材註冊時程</v>
      </c>
    </row>
    <row r="45" customFormat="false" ht="30" hidden="false" customHeight="true" outlineLevel="0" collapsed="false">
      <c r="A45" s="93" t="n">
        <f aca="false">IF($B45="","",2)</f>
        <v>2</v>
      </c>
      <c r="B45" s="95" t="str">
        <f aca="false">IFERROR(INDEX(14_商機清單_Pipeline!$A$5:$A$154,MATCH(2,_計算_Calc!$CB$5:$CB$154,0)),"")</f>
        <v>OPP-43 結核胸片AI篩檢(CAD)</v>
      </c>
      <c r="C45" s="95" t="str">
        <f aca="false">IFERROR(INDEX(14_商機清單_Pipeline!$D$5:$D$154,MATCH(2,_計算_Calc!$CB$5:$CB$154,0)),"")</f>
        <v>② 起步中：剛開始有人做</v>
      </c>
      <c r="D45" s="95" t="n">
        <f aca="false">IFERROR(INDEX(14_商機清單_Pipeline!$F$5:$F$154,MATCH(2,_計算_Calc!$CB$5:$CB$154,0)),"")</f>
        <v>0</v>
      </c>
      <c r="E45" s="93" t="n">
        <f aca="false">IFERROR(INDEX(14_商機清單_Pipeline!$I$5:$I$154,MATCH(2,_計算_Calc!$CB$5:$CB$154,0)),"")</f>
        <v>0</v>
      </c>
      <c r="F45" s="93" t="str">
        <f aca="false">IFERROR(INDEX(14_商機清單_Pipeline!$P$5:$P$154,MATCH(2,_計算_Calc!$CB$5:$CB$154,0)),"")</f>
        <v>Lead / 潛在</v>
      </c>
      <c r="G45" s="95" t="str">
        <f aca="false">IFERROR(INDEX(14_商機清單_Pipeline!$R$5:$R$154,MATCH(2,_計算_Calc!$CB$5:$CB$154,0)),"")</f>
        <v>接洽國家結核防治計畫與國際捐助方，確認CAD產品採購管道</v>
      </c>
    </row>
    <row r="46" customFormat="false" ht="30" hidden="false" customHeight="true" outlineLevel="0" collapsed="false">
      <c r="A46" s="93" t="n">
        <f aca="false">IF($B46="","",3)</f>
        <v>3</v>
      </c>
      <c r="B46" s="95" t="str">
        <f aca="false">IFERROR(INDEX(14_商機清單_Pipeline!$A$5:$A$154,MATCH(3,_計算_Calc!$CB$5:$CB$154,0)),"")</f>
        <v>OPP-49 越南語AI病歷書寫助理</v>
      </c>
      <c r="C46" s="95" t="str">
        <f aca="false">IFERROR(INDEX(14_商機清單_Pipeline!$D$5:$D$154,MATCH(3,_計算_Calc!$CB$5:$CB$154,0)),"")</f>
        <v>③ 尚未出現：幾乎空白</v>
      </c>
      <c r="D46" s="95" t="n">
        <f aca="false">IFERROR(INDEX(14_商機清單_Pipeline!$F$5:$F$154,MATCH(3,_計算_Calc!$CB$5:$CB$154,0)),"")</f>
        <v>0</v>
      </c>
      <c r="E46" s="93" t="n">
        <f aca="false">IFERROR(INDEX(14_商機清單_Pipeline!$I$5:$I$154,MATCH(3,_計算_Calc!$CB$5:$CB$154,0)),"")</f>
        <v>0</v>
      </c>
      <c r="F46" s="93" t="str">
        <f aca="false">IFERROR(INDEX(14_商機清單_Pipeline!$P$5:$P$154,MATCH(3,_計算_Calc!$CB$5:$CB$154,0)),"")</f>
        <v>Lead / 潛在</v>
      </c>
      <c r="G46" s="95" t="str">
        <f aca="false">IFERROR(INDEX(14_商機清單_Pipeline!$R$5:$R$154,MATCH(3,_計算_Calc!$CB$5:$CB$154,0)),"")</f>
        <v>找越南語醫療語音辨識夥伴，先在一家醫院做PoC</v>
      </c>
    </row>
    <row r="47" customFormat="false" ht="30" hidden="false" customHeight="true" outlineLevel="0" collapsed="false">
      <c r="A47" s="93" t="str">
        <f aca="false">IF($B47="","",4)</f>
        <v/>
      </c>
      <c r="B47" s="95" t="str">
        <f aca="false">IFERROR(INDEX(14_商機清單_Pipeline!$A$5:$A$154,MATCH(4,_計算_Calc!$CB$5:$CB$154,0)),"")</f>
        <v/>
      </c>
      <c r="C47" s="95" t="str">
        <f aca="false">IFERROR(INDEX(14_商機清單_Pipeline!$D$5:$D$154,MATCH(4,_計算_Calc!$CB$5:$CB$154,0)),"")</f>
        <v/>
      </c>
      <c r="D47" s="95" t="str">
        <f aca="false">IFERROR(INDEX(14_商機清單_Pipeline!$F$5:$F$154,MATCH(4,_計算_Calc!$CB$5:$CB$154,0)),"")</f>
        <v/>
      </c>
      <c r="E47" s="93" t="str">
        <f aca="false">IFERROR(INDEX(14_商機清單_Pipeline!$I$5:$I$154,MATCH(4,_計算_Calc!$CB$5:$CB$154,0)),"")</f>
        <v/>
      </c>
      <c r="F47" s="93" t="str">
        <f aca="false">IFERROR(INDEX(14_商機清單_Pipeline!$P$5:$P$154,MATCH(4,_計算_Calc!$CB$5:$CB$154,0)),"")</f>
        <v/>
      </c>
      <c r="G47" s="95" t="str">
        <f aca="false">IFERROR(INDEX(14_商機清單_Pipeline!$R$5:$R$154,MATCH(4,_計算_Calc!$CB$5:$CB$154,0)),"")</f>
        <v/>
      </c>
    </row>
    <row r="48" customFormat="false" ht="30" hidden="false" customHeight="true" outlineLevel="0" collapsed="false">
      <c r="A48" s="93" t="str">
        <f aca="false">IF($B48="","",5)</f>
        <v/>
      </c>
      <c r="B48" s="95" t="str">
        <f aca="false">IFERROR(INDEX(14_商機清單_Pipeline!$A$5:$A$154,MATCH(5,_計算_Calc!$CB$5:$CB$154,0)),"")</f>
        <v/>
      </c>
      <c r="C48" s="95" t="str">
        <f aca="false">IFERROR(INDEX(14_商機清單_Pipeline!$D$5:$D$154,MATCH(5,_計算_Calc!$CB$5:$CB$154,0)),"")</f>
        <v/>
      </c>
      <c r="D48" s="95" t="str">
        <f aca="false">IFERROR(INDEX(14_商機清單_Pipeline!$F$5:$F$154,MATCH(5,_計算_Calc!$CB$5:$CB$154,0)),"")</f>
        <v/>
      </c>
      <c r="E48" s="93" t="str">
        <f aca="false">IFERROR(INDEX(14_商機清單_Pipeline!$I$5:$I$154,MATCH(5,_計算_Calc!$CB$5:$CB$154,0)),"")</f>
        <v/>
      </c>
      <c r="F48" s="93" t="str">
        <f aca="false">IFERROR(INDEX(14_商機清單_Pipeline!$P$5:$P$154,MATCH(5,_計算_Calc!$CB$5:$CB$154,0)),"")</f>
        <v/>
      </c>
      <c r="G48" s="95" t="str">
        <f aca="false">IFERROR(INDEX(14_商機清單_Pipeline!$R$5:$R$154,MATCH(5,_計算_Calc!$CB$5:$CB$154,0)),"")</f>
        <v/>
      </c>
    </row>
    <row r="49" customFormat="false" ht="30" hidden="false" customHeight="true" outlineLevel="0" collapsed="false">
      <c r="A49" s="93" t="str">
        <f aca="false">IF($B49="","",6)</f>
        <v/>
      </c>
      <c r="B49" s="95" t="str">
        <f aca="false">IFERROR(INDEX(14_商機清單_Pipeline!$A$5:$A$154,MATCH(6,_計算_Calc!$CB$5:$CB$154,0)),"")</f>
        <v/>
      </c>
      <c r="C49" s="95" t="str">
        <f aca="false">IFERROR(INDEX(14_商機清單_Pipeline!$D$5:$D$154,MATCH(6,_計算_Calc!$CB$5:$CB$154,0)),"")</f>
        <v/>
      </c>
      <c r="D49" s="95" t="str">
        <f aca="false">IFERROR(INDEX(14_商機清單_Pipeline!$F$5:$F$154,MATCH(6,_計算_Calc!$CB$5:$CB$154,0)),"")</f>
        <v/>
      </c>
      <c r="E49" s="93" t="str">
        <f aca="false">IFERROR(INDEX(14_商機清單_Pipeline!$I$5:$I$154,MATCH(6,_計算_Calc!$CB$5:$CB$154,0)),"")</f>
        <v/>
      </c>
      <c r="F49" s="93" t="str">
        <f aca="false">IFERROR(INDEX(14_商機清單_Pipeline!$P$5:$P$154,MATCH(6,_計算_Calc!$CB$5:$CB$154,0)),"")</f>
        <v/>
      </c>
      <c r="G49" s="95" t="str">
        <f aca="false">IFERROR(INDEX(14_商機清單_Pipeline!$R$5:$R$154,MATCH(6,_計算_Calc!$CB$5:$CB$154,0)),"")</f>
        <v/>
      </c>
    </row>
    <row r="50" customFormat="false" ht="30" hidden="false" customHeight="true" outlineLevel="0" collapsed="false">
      <c r="A50" s="93" t="str">
        <f aca="false">IF($B50="","",7)</f>
        <v/>
      </c>
      <c r="B50" s="95" t="str">
        <f aca="false">IFERROR(INDEX(14_商機清單_Pipeline!$A$5:$A$154,MATCH(7,_計算_Calc!$CB$5:$CB$154,0)),"")</f>
        <v/>
      </c>
      <c r="C50" s="95" t="str">
        <f aca="false">IFERROR(INDEX(14_商機清單_Pipeline!$D$5:$D$154,MATCH(7,_計算_Calc!$CB$5:$CB$154,0)),"")</f>
        <v/>
      </c>
      <c r="D50" s="95" t="str">
        <f aca="false">IFERROR(INDEX(14_商機清單_Pipeline!$F$5:$F$154,MATCH(7,_計算_Calc!$CB$5:$CB$154,0)),"")</f>
        <v/>
      </c>
      <c r="E50" s="93" t="str">
        <f aca="false">IFERROR(INDEX(14_商機清單_Pipeline!$I$5:$I$154,MATCH(7,_計算_Calc!$CB$5:$CB$154,0)),"")</f>
        <v/>
      </c>
      <c r="F50" s="93" t="str">
        <f aca="false">IFERROR(INDEX(14_商機清單_Pipeline!$P$5:$P$154,MATCH(7,_計算_Calc!$CB$5:$CB$154,0)),"")</f>
        <v/>
      </c>
      <c r="G50" s="95" t="str">
        <f aca="false">IFERROR(INDEX(14_商機清單_Pipeline!$R$5:$R$154,MATCH(7,_計算_Calc!$CB$5:$CB$154,0)),"")</f>
        <v/>
      </c>
    </row>
    <row r="51" customFormat="false" ht="30" hidden="false" customHeight="true" outlineLevel="0" collapsed="false">
      <c r="A51" s="93" t="str">
        <f aca="false">IF($B51="","",8)</f>
        <v/>
      </c>
      <c r="B51" s="95" t="str">
        <f aca="false">IFERROR(INDEX(14_商機清單_Pipeline!$A$5:$A$154,MATCH(8,_計算_Calc!$CB$5:$CB$154,0)),"")</f>
        <v/>
      </c>
      <c r="C51" s="95" t="str">
        <f aca="false">IFERROR(INDEX(14_商機清單_Pipeline!$D$5:$D$154,MATCH(8,_計算_Calc!$CB$5:$CB$154,0)),"")</f>
        <v/>
      </c>
      <c r="D51" s="95" t="str">
        <f aca="false">IFERROR(INDEX(14_商機清單_Pipeline!$F$5:$F$154,MATCH(8,_計算_Calc!$CB$5:$CB$154,0)),"")</f>
        <v/>
      </c>
      <c r="E51" s="93" t="str">
        <f aca="false">IFERROR(INDEX(14_商機清單_Pipeline!$I$5:$I$154,MATCH(8,_計算_Calc!$CB$5:$CB$154,0)),"")</f>
        <v/>
      </c>
      <c r="F51" s="93" t="str">
        <f aca="false">IFERROR(INDEX(14_商機清單_Pipeline!$P$5:$P$154,MATCH(8,_計算_Calc!$CB$5:$CB$154,0)),"")</f>
        <v/>
      </c>
      <c r="G51" s="95" t="str">
        <f aca="false">IFERROR(INDEX(14_商機清單_Pipeline!$R$5:$R$154,MATCH(8,_計算_Calc!$CB$5:$CB$154,0)),"")</f>
        <v/>
      </c>
    </row>
    <row r="53" customFormat="false" ht="15" hidden="false" customHeight="true" outlineLevel="0" collapsed="false">
      <c r="A53" s="317" t="s">
        <v>3147</v>
      </c>
      <c r="B53" s="317"/>
      <c r="C53" s="317"/>
      <c r="D53" s="317"/>
      <c r="E53" s="317"/>
      <c r="F53" s="317"/>
      <c r="G53" s="317"/>
      <c r="H53" s="317"/>
      <c r="I53" s="317"/>
      <c r="J53" s="317"/>
      <c r="K53" s="317"/>
      <c r="L53" s="317"/>
    </row>
  </sheetData>
  <sheetProtection sheet="true" formatColumns="false" formatRows="false" autoFilter="false"/>
  <mergeCells count="13">
    <mergeCell ref="A1:L1"/>
    <mergeCell ref="A2:L2"/>
    <mergeCell ref="A4:B4"/>
    <mergeCell ref="D4:E4"/>
    <mergeCell ref="F4:H4"/>
    <mergeCell ref="A5:B5"/>
    <mergeCell ref="D5:E5"/>
    <mergeCell ref="F5:H5"/>
    <mergeCell ref="I7:L7"/>
    <mergeCell ref="I18:L18"/>
    <mergeCell ref="I29:L29"/>
    <mergeCell ref="I42:L42"/>
    <mergeCell ref="A53:L53"/>
  </mergeCell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6E6B"/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44"/>
    <col collapsed="false" customWidth="true" hidden="false" outlineLevel="0" max="7" min="6" style="0" width="7"/>
    <col collapsed="false" customWidth="true" hidden="false" outlineLevel="0" max="8" min="8" style="0" width="30"/>
  </cols>
  <sheetData>
    <row r="1" customFormat="false" ht="23.1" hidden="false" customHeight="false" outlineLevel="0" collapsed="false">
      <c r="A1" s="318" t="s">
        <v>3148</v>
      </c>
    </row>
    <row r="2" customFormat="false" ht="15" hidden="false" customHeight="false" outlineLevel="0" collapsed="false">
      <c r="A2" s="120" t="s">
        <v>3149</v>
      </c>
    </row>
    <row r="4" customFormat="false" ht="25.5" hidden="false" customHeight="true" outlineLevel="0" collapsed="false">
      <c r="A4" s="319" t="s">
        <v>1092</v>
      </c>
      <c r="B4" s="319" t="s">
        <v>3150</v>
      </c>
      <c r="C4" s="319" t="s">
        <v>3151</v>
      </c>
      <c r="D4" s="319" t="s">
        <v>3152</v>
      </c>
      <c r="E4" s="319" t="s">
        <v>3153</v>
      </c>
      <c r="F4" s="319" t="s">
        <v>3154</v>
      </c>
      <c r="G4" s="319" t="s">
        <v>3155</v>
      </c>
      <c r="H4" s="319" t="s">
        <v>3156</v>
      </c>
    </row>
    <row r="5" customFormat="false" ht="48" hidden="false" customHeight="true" outlineLevel="0" collapsed="false">
      <c r="A5" s="320" t="s">
        <v>3157</v>
      </c>
      <c r="B5" s="321" t="s">
        <v>3158</v>
      </c>
      <c r="C5" s="322" t="s">
        <v>3159</v>
      </c>
      <c r="D5" s="321" t="s">
        <v>3160</v>
      </c>
      <c r="E5" s="321" t="s">
        <v>3161</v>
      </c>
      <c r="F5" s="323" t="n">
        <v>7</v>
      </c>
      <c r="G5" s="323" t="n">
        <v>6</v>
      </c>
      <c r="H5" s="321"/>
    </row>
    <row r="6" customFormat="false" ht="48" hidden="false" customHeight="true" outlineLevel="0" collapsed="false">
      <c r="A6" s="324" t="s">
        <v>3162</v>
      </c>
      <c r="B6" s="321" t="s">
        <v>3163</v>
      </c>
      <c r="C6" s="322" t="s">
        <v>3164</v>
      </c>
      <c r="D6" s="321" t="s">
        <v>3165</v>
      </c>
      <c r="E6" s="321" t="s">
        <v>3166</v>
      </c>
      <c r="F6" s="323" t="n">
        <v>21</v>
      </c>
      <c r="G6" s="323" t="n">
        <v>21</v>
      </c>
      <c r="H6" s="321"/>
    </row>
    <row r="7" customFormat="false" ht="48" hidden="false" customHeight="true" outlineLevel="0" collapsed="false">
      <c r="A7" s="325" t="s">
        <v>3167</v>
      </c>
      <c r="B7" s="321" t="s">
        <v>3168</v>
      </c>
      <c r="C7" s="322" t="s">
        <v>3169</v>
      </c>
      <c r="D7" s="322" t="s">
        <v>3170</v>
      </c>
      <c r="E7" s="322" t="s">
        <v>3171</v>
      </c>
      <c r="F7" s="323" t="n">
        <v>14</v>
      </c>
      <c r="G7" s="326" t="n">
        <v>0</v>
      </c>
      <c r="H7" s="327" t="s">
        <v>3172</v>
      </c>
    </row>
    <row r="8" customFormat="false" ht="48" hidden="false" customHeight="true" outlineLevel="0" collapsed="false">
      <c r="A8" s="328" t="s">
        <v>3173</v>
      </c>
      <c r="B8" s="321" t="s">
        <v>3174</v>
      </c>
      <c r="C8" s="322" t="s">
        <v>3175</v>
      </c>
      <c r="D8" s="322" t="s">
        <v>3176</v>
      </c>
      <c r="E8" s="321" t="s">
        <v>3177</v>
      </c>
      <c r="F8" s="323" t="n">
        <v>13</v>
      </c>
      <c r="G8" s="323" t="n">
        <v>7</v>
      </c>
      <c r="H8" s="321"/>
    </row>
    <row r="9" customFormat="false" ht="48" hidden="false" customHeight="true" outlineLevel="0" collapsed="false">
      <c r="A9" s="329" t="s">
        <v>3178</v>
      </c>
      <c r="B9" s="321" t="s">
        <v>3179</v>
      </c>
      <c r="C9" s="322" t="s">
        <v>3180</v>
      </c>
      <c r="D9" s="321" t="s">
        <v>3181</v>
      </c>
      <c r="E9" s="321" t="s">
        <v>3182</v>
      </c>
      <c r="F9" s="323" t="n">
        <v>9</v>
      </c>
      <c r="G9" s="323" t="n">
        <v>6</v>
      </c>
      <c r="H9" s="321"/>
    </row>
    <row r="10" customFormat="false" ht="48" hidden="false" customHeight="true" outlineLevel="0" collapsed="false">
      <c r="A10" s="330" t="s">
        <v>3183</v>
      </c>
      <c r="B10" s="321" t="s">
        <v>3184</v>
      </c>
      <c r="C10" s="322" t="s">
        <v>3185</v>
      </c>
      <c r="D10" s="321" t="s">
        <v>3186</v>
      </c>
      <c r="E10" s="321" t="s">
        <v>3187</v>
      </c>
      <c r="F10" s="323" t="n">
        <v>7</v>
      </c>
      <c r="G10" s="323" t="n">
        <v>7</v>
      </c>
      <c r="H10" s="321"/>
    </row>
    <row r="11" customFormat="false" ht="48" hidden="false" customHeight="true" outlineLevel="0" collapsed="false">
      <c r="A11" s="331" t="s">
        <v>3188</v>
      </c>
      <c r="B11" s="321" t="s">
        <v>3189</v>
      </c>
      <c r="C11" s="322" t="s">
        <v>3190</v>
      </c>
      <c r="D11" s="321" t="s">
        <v>3191</v>
      </c>
      <c r="E11" s="321" t="s">
        <v>3192</v>
      </c>
      <c r="F11" s="323" t="n">
        <v>9</v>
      </c>
      <c r="G11" s="323" t="n">
        <v>7</v>
      </c>
      <c r="H11" s="321"/>
    </row>
    <row r="12" customFormat="false" ht="48" hidden="false" customHeight="true" outlineLevel="0" collapsed="false">
      <c r="A12" s="332" t="s">
        <v>3193</v>
      </c>
      <c r="B12" s="321" t="s">
        <v>3194</v>
      </c>
      <c r="C12" s="322" t="s">
        <v>3195</v>
      </c>
      <c r="D12" s="321" t="s">
        <v>3196</v>
      </c>
      <c r="E12" s="321" t="s">
        <v>3197</v>
      </c>
      <c r="F12" s="323" t="n">
        <v>5</v>
      </c>
      <c r="G12" s="323" t="n">
        <v>6</v>
      </c>
      <c r="H12" s="321"/>
    </row>
    <row r="14" customFormat="false" ht="15" hidden="false" customHeight="false" outlineLevel="0" collapsed="false">
      <c r="A14" s="121" t="s">
        <v>3198</v>
      </c>
    </row>
    <row r="15" customFormat="false" ht="15" hidden="false" customHeight="true" outlineLevel="0" collapsed="false">
      <c r="A15" s="333" t="s">
        <v>3199</v>
      </c>
      <c r="B15" s="333"/>
      <c r="C15" s="333"/>
      <c r="D15" s="333"/>
      <c r="E15" s="333"/>
      <c r="F15" s="333"/>
      <c r="G15" s="333"/>
      <c r="H15" s="333"/>
    </row>
    <row r="16" customFormat="false" ht="15" hidden="false" customHeight="true" outlineLevel="0" collapsed="false">
      <c r="A16" s="333" t="s">
        <v>3200</v>
      </c>
      <c r="B16" s="333"/>
      <c r="C16" s="333"/>
      <c r="D16" s="333"/>
      <c r="E16" s="333"/>
      <c r="F16" s="333"/>
      <c r="G16" s="333"/>
      <c r="H16" s="333"/>
    </row>
    <row r="17" customFormat="false" ht="15" hidden="false" customHeight="true" outlineLevel="0" collapsed="false">
      <c r="A17" s="333" t="s">
        <v>3201</v>
      </c>
      <c r="B17" s="333"/>
      <c r="C17" s="333"/>
      <c r="D17" s="333"/>
      <c r="E17" s="333"/>
      <c r="F17" s="333"/>
      <c r="G17" s="333"/>
      <c r="H17" s="333"/>
    </row>
  </sheetData>
  <mergeCells count="3">
    <mergeCell ref="A15:H15"/>
    <mergeCell ref="A16:H16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6E6B"/>
    <pageSetUpPr fitToPage="false"/>
  </sheetPr>
  <dimension ref="A1:J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0"/>
    <col collapsed="false" customWidth="true" hidden="false" outlineLevel="0" max="4" min="4" style="0" width="15"/>
    <col collapsed="false" customWidth="true" hidden="false" outlineLevel="0" max="5" min="5" style="0" width="46"/>
    <col collapsed="false" customWidth="true" hidden="false" outlineLevel="0" max="6" min="6" style="0" width="60"/>
    <col collapsed="false" customWidth="true" hidden="false" outlineLevel="0" max="7" min="7" style="0" width="46"/>
    <col collapsed="false" customWidth="true" hidden="false" outlineLevel="0" max="8" min="8" style="0" width="7"/>
    <col collapsed="false" customWidth="true" hidden="false" outlineLevel="0" max="9" min="9" style="0" width="60"/>
    <col collapsed="false" customWidth="true" hidden="false" outlineLevel="0" max="10" min="10" style="0" width="7"/>
  </cols>
  <sheetData>
    <row r="1" customFormat="false" ht="23.1" hidden="false" customHeight="false" outlineLevel="0" collapsed="false">
      <c r="A1" s="318" t="s">
        <v>3202</v>
      </c>
    </row>
    <row r="2" customFormat="false" ht="15" hidden="false" customHeight="false" outlineLevel="0" collapsed="false">
      <c r="A2" s="120" t="s">
        <v>3203</v>
      </c>
    </row>
    <row r="4" customFormat="false" ht="25.5" hidden="false" customHeight="true" outlineLevel="0" collapsed="false">
      <c r="A4" s="334" t="s">
        <v>2988</v>
      </c>
      <c r="B4" s="319" t="s">
        <v>3150</v>
      </c>
      <c r="C4" s="319" t="s">
        <v>3151</v>
      </c>
      <c r="D4" s="319" t="s">
        <v>3204</v>
      </c>
      <c r="E4" s="319" t="s">
        <v>3205</v>
      </c>
      <c r="F4" s="319" t="s">
        <v>3206</v>
      </c>
      <c r="G4" s="319" t="s">
        <v>3207</v>
      </c>
      <c r="H4" s="319" t="s">
        <v>3208</v>
      </c>
      <c r="I4" s="319" t="s">
        <v>3209</v>
      </c>
      <c r="J4" s="319" t="s">
        <v>3210</v>
      </c>
    </row>
    <row r="5" customFormat="false" ht="111.75" hidden="false" customHeight="true" outlineLevel="0" collapsed="false">
      <c r="A5" s="322" t="s">
        <v>220</v>
      </c>
      <c r="B5" s="321" t="s">
        <v>3211</v>
      </c>
      <c r="C5" s="322" t="s">
        <v>222</v>
      </c>
      <c r="D5" s="335" t="s">
        <v>235</v>
      </c>
      <c r="E5" s="66" t="s">
        <v>3212</v>
      </c>
      <c r="F5" s="66" t="s">
        <v>238</v>
      </c>
      <c r="G5" s="66" t="s">
        <v>3213</v>
      </c>
      <c r="H5" s="323" t="s">
        <v>3214</v>
      </c>
      <c r="I5" s="64" t="s">
        <v>236</v>
      </c>
      <c r="J5" s="65" t="s">
        <v>237</v>
      </c>
    </row>
    <row r="6" customFormat="false" ht="111.75" hidden="false" customHeight="true" outlineLevel="0" collapsed="false">
      <c r="A6" s="336" t="s">
        <v>239</v>
      </c>
      <c r="B6" s="337" t="s">
        <v>240</v>
      </c>
      <c r="C6" s="336" t="s">
        <v>241</v>
      </c>
      <c r="D6" s="335" t="s">
        <v>235</v>
      </c>
      <c r="E6" s="66" t="s">
        <v>3212</v>
      </c>
      <c r="F6" s="66" t="s">
        <v>238</v>
      </c>
      <c r="G6" s="66" t="s">
        <v>3213</v>
      </c>
      <c r="H6" s="323" t="s">
        <v>3214</v>
      </c>
      <c r="I6" s="64" t="s">
        <v>3215</v>
      </c>
      <c r="J6" s="67" t="s">
        <v>251</v>
      </c>
    </row>
    <row r="7" customFormat="false" ht="111.75" hidden="false" customHeight="true" outlineLevel="0" collapsed="false">
      <c r="A7" s="322" t="s">
        <v>252</v>
      </c>
      <c r="B7" s="321" t="s">
        <v>253</v>
      </c>
      <c r="C7" s="322" t="s">
        <v>254</v>
      </c>
      <c r="D7" s="338" t="s">
        <v>263</v>
      </c>
      <c r="E7" s="66" t="s">
        <v>3212</v>
      </c>
      <c r="F7" s="66" t="s">
        <v>238</v>
      </c>
      <c r="G7" s="66" t="s">
        <v>3213</v>
      </c>
      <c r="H7" s="323" t="s">
        <v>3214</v>
      </c>
      <c r="I7" s="69" t="s">
        <v>264</v>
      </c>
      <c r="J7" s="65" t="s">
        <v>237</v>
      </c>
    </row>
    <row r="8" customFormat="false" ht="111.75" hidden="false" customHeight="true" outlineLevel="0" collapsed="false">
      <c r="A8" s="336" t="s">
        <v>265</v>
      </c>
      <c r="B8" s="337" t="s">
        <v>266</v>
      </c>
      <c r="C8" s="336" t="s">
        <v>267</v>
      </c>
      <c r="D8" s="338" t="s">
        <v>263</v>
      </c>
      <c r="E8" s="66" t="s">
        <v>3212</v>
      </c>
      <c r="F8" s="66" t="s">
        <v>238</v>
      </c>
      <c r="G8" s="66" t="s">
        <v>3213</v>
      </c>
      <c r="H8" s="323" t="s">
        <v>3214</v>
      </c>
      <c r="I8" s="64" t="s">
        <v>3215</v>
      </c>
      <c r="J8" s="67" t="s">
        <v>251</v>
      </c>
    </row>
    <row r="9" customFormat="false" ht="111.75" hidden="false" customHeight="true" outlineLevel="0" collapsed="false">
      <c r="A9" s="322" t="s">
        <v>276</v>
      </c>
      <c r="B9" s="321" t="s">
        <v>277</v>
      </c>
      <c r="C9" s="322" t="s">
        <v>278</v>
      </c>
      <c r="D9" s="339" t="s">
        <v>287</v>
      </c>
      <c r="E9" s="66" t="s">
        <v>3212</v>
      </c>
      <c r="F9" s="66" t="s">
        <v>238</v>
      </c>
      <c r="G9" s="66" t="s">
        <v>3213</v>
      </c>
      <c r="H9" s="323" t="s">
        <v>3214</v>
      </c>
      <c r="I9" s="64" t="s">
        <v>288</v>
      </c>
      <c r="J9" s="65" t="s">
        <v>237</v>
      </c>
    </row>
    <row r="10" customFormat="false" ht="111.75" hidden="false" customHeight="true" outlineLevel="0" collapsed="false">
      <c r="A10" s="336" t="s">
        <v>289</v>
      </c>
      <c r="B10" s="337" t="s">
        <v>290</v>
      </c>
      <c r="C10" s="336" t="s">
        <v>291</v>
      </c>
      <c r="D10" s="339" t="s">
        <v>287</v>
      </c>
      <c r="E10" s="66" t="s">
        <v>3216</v>
      </c>
      <c r="F10" s="72" t="s">
        <v>297</v>
      </c>
      <c r="G10" s="66" t="s">
        <v>3217</v>
      </c>
      <c r="H10" s="323" t="s">
        <v>3218</v>
      </c>
      <c r="I10" s="64" t="s">
        <v>3215</v>
      </c>
      <c r="J10" s="67" t="s">
        <v>251</v>
      </c>
    </row>
    <row r="11" customFormat="false" ht="111.75" hidden="false" customHeight="true" outlineLevel="0" collapsed="false">
      <c r="A11" s="322" t="s">
        <v>298</v>
      </c>
      <c r="B11" s="321" t="s">
        <v>3219</v>
      </c>
      <c r="C11" s="322" t="s">
        <v>300</v>
      </c>
      <c r="D11" s="339" t="s">
        <v>287</v>
      </c>
      <c r="E11" s="66" t="s">
        <v>3216</v>
      </c>
      <c r="F11" s="72" t="s">
        <v>297</v>
      </c>
      <c r="G11" s="66" t="s">
        <v>3217</v>
      </c>
      <c r="H11" s="323" t="s">
        <v>3218</v>
      </c>
      <c r="I11" s="64" t="s">
        <v>306</v>
      </c>
      <c r="J11" s="65" t="s">
        <v>237</v>
      </c>
    </row>
    <row r="12" customFormat="false" ht="111.75" hidden="false" customHeight="true" outlineLevel="0" collapsed="false">
      <c r="A12" s="336" t="s">
        <v>307</v>
      </c>
      <c r="B12" s="337" t="s">
        <v>3220</v>
      </c>
      <c r="C12" s="336" t="s">
        <v>309</v>
      </c>
      <c r="D12" s="339" t="s">
        <v>287</v>
      </c>
      <c r="E12" s="66" t="s">
        <v>3216</v>
      </c>
      <c r="F12" s="72" t="s">
        <v>297</v>
      </c>
      <c r="G12" s="66" t="s">
        <v>3217</v>
      </c>
      <c r="H12" s="323" t="s">
        <v>3218</v>
      </c>
      <c r="I12" s="64" t="s">
        <v>314</v>
      </c>
      <c r="J12" s="65" t="s">
        <v>237</v>
      </c>
    </row>
    <row r="13" customFormat="false" ht="111.75" hidden="false" customHeight="true" outlineLevel="0" collapsed="false">
      <c r="A13" s="322" t="s">
        <v>315</v>
      </c>
      <c r="B13" s="321" t="s">
        <v>316</v>
      </c>
      <c r="C13" s="322" t="s">
        <v>317</v>
      </c>
      <c r="D13" s="339" t="s">
        <v>287</v>
      </c>
      <c r="E13" s="66" t="s">
        <v>3216</v>
      </c>
      <c r="F13" s="72" t="s">
        <v>297</v>
      </c>
      <c r="G13" s="66" t="s">
        <v>3217</v>
      </c>
      <c r="H13" s="323" t="s">
        <v>3218</v>
      </c>
      <c r="I13" s="69" t="s">
        <v>320</v>
      </c>
      <c r="J13" s="65" t="s">
        <v>237</v>
      </c>
    </row>
    <row r="14" customFormat="false" ht="111.75" hidden="false" customHeight="true" outlineLevel="0" collapsed="false">
      <c r="A14" s="336" t="s">
        <v>321</v>
      </c>
      <c r="B14" s="337" t="s">
        <v>322</v>
      </c>
      <c r="C14" s="336" t="s">
        <v>323</v>
      </c>
      <c r="D14" s="339" t="s">
        <v>287</v>
      </c>
      <c r="E14" s="66" t="s">
        <v>3216</v>
      </c>
      <c r="F14" s="72" t="s">
        <v>297</v>
      </c>
      <c r="G14" s="66" t="s">
        <v>3217</v>
      </c>
      <c r="H14" s="323" t="s">
        <v>3218</v>
      </c>
      <c r="I14" s="64" t="s">
        <v>326</v>
      </c>
      <c r="J14" s="73" t="s">
        <v>327</v>
      </c>
    </row>
    <row r="15" customFormat="false" ht="111.75" hidden="false" customHeight="true" outlineLevel="0" collapsed="false">
      <c r="A15" s="322" t="s">
        <v>328</v>
      </c>
      <c r="B15" s="321" t="s">
        <v>329</v>
      </c>
      <c r="C15" s="322" t="s">
        <v>330</v>
      </c>
      <c r="D15" s="339" t="s">
        <v>287</v>
      </c>
      <c r="E15" s="66" t="s">
        <v>3216</v>
      </c>
      <c r="F15" s="72" t="s">
        <v>297</v>
      </c>
      <c r="G15" s="66" t="s">
        <v>3217</v>
      </c>
      <c r="H15" s="323" t="s">
        <v>3218</v>
      </c>
      <c r="I15" s="64" t="s">
        <v>338</v>
      </c>
      <c r="J15" s="65" t="s">
        <v>237</v>
      </c>
    </row>
    <row r="16" customFormat="false" ht="111.75" hidden="false" customHeight="true" outlineLevel="0" collapsed="false">
      <c r="A16" s="336" t="s">
        <v>339</v>
      </c>
      <c r="B16" s="337" t="s">
        <v>340</v>
      </c>
      <c r="C16" s="336" t="s">
        <v>341</v>
      </c>
      <c r="D16" s="339" t="s">
        <v>287</v>
      </c>
      <c r="E16" s="66" t="s">
        <v>3216</v>
      </c>
      <c r="F16" s="72" t="s">
        <v>297</v>
      </c>
      <c r="G16" s="66" t="s">
        <v>3217</v>
      </c>
      <c r="H16" s="323" t="s">
        <v>3218</v>
      </c>
      <c r="I16" s="69" t="s">
        <v>348</v>
      </c>
      <c r="J16" s="65" t="s">
        <v>237</v>
      </c>
    </row>
    <row r="17" customFormat="false" ht="111.75" hidden="false" customHeight="true" outlineLevel="0" collapsed="false">
      <c r="A17" s="322" t="s">
        <v>349</v>
      </c>
      <c r="B17" s="321" t="s">
        <v>3221</v>
      </c>
      <c r="C17" s="322" t="s">
        <v>351</v>
      </c>
      <c r="D17" s="339" t="s">
        <v>287</v>
      </c>
      <c r="E17" s="66" t="s">
        <v>3216</v>
      </c>
      <c r="F17" s="72" t="s">
        <v>297</v>
      </c>
      <c r="G17" s="66" t="s">
        <v>3217</v>
      </c>
      <c r="H17" s="323" t="s">
        <v>3218</v>
      </c>
      <c r="I17" s="64" t="s">
        <v>3215</v>
      </c>
      <c r="J17" s="67" t="s">
        <v>251</v>
      </c>
    </row>
    <row r="18" customFormat="false" ht="111.75" hidden="false" customHeight="true" outlineLevel="0" collapsed="false">
      <c r="A18" s="336" t="s">
        <v>356</v>
      </c>
      <c r="B18" s="337" t="s">
        <v>3222</v>
      </c>
      <c r="C18" s="336" t="s">
        <v>358</v>
      </c>
      <c r="D18" s="340" t="s">
        <v>367</v>
      </c>
      <c r="E18" s="72" t="s">
        <v>3223</v>
      </c>
      <c r="F18" s="72" t="s">
        <v>369</v>
      </c>
      <c r="G18" s="72" t="s">
        <v>3224</v>
      </c>
      <c r="H18" s="323" t="s">
        <v>3214</v>
      </c>
      <c r="I18" s="64" t="s">
        <v>368</v>
      </c>
      <c r="J18" s="65" t="s">
        <v>237</v>
      </c>
    </row>
    <row r="19" customFormat="false" ht="111.75" hidden="false" customHeight="true" outlineLevel="0" collapsed="false">
      <c r="A19" s="322" t="s">
        <v>370</v>
      </c>
      <c r="B19" s="321" t="s">
        <v>371</v>
      </c>
      <c r="C19" s="322" t="s">
        <v>372</v>
      </c>
      <c r="D19" s="340" t="s">
        <v>367</v>
      </c>
      <c r="E19" s="72" t="s">
        <v>3223</v>
      </c>
      <c r="F19" s="72" t="s">
        <v>369</v>
      </c>
      <c r="G19" s="72" t="s">
        <v>3224</v>
      </c>
      <c r="H19" s="323" t="s">
        <v>3214</v>
      </c>
      <c r="I19" s="64" t="s">
        <v>377</v>
      </c>
      <c r="J19" s="65" t="s">
        <v>237</v>
      </c>
    </row>
    <row r="20" customFormat="false" ht="111.75" hidden="false" customHeight="true" outlineLevel="0" collapsed="false">
      <c r="A20" s="336" t="s">
        <v>378</v>
      </c>
      <c r="B20" s="337" t="s">
        <v>379</v>
      </c>
      <c r="C20" s="336" t="s">
        <v>380</v>
      </c>
      <c r="D20" s="340" t="s">
        <v>367</v>
      </c>
      <c r="E20" s="72" t="s">
        <v>3223</v>
      </c>
      <c r="F20" s="72" t="s">
        <v>369</v>
      </c>
      <c r="G20" s="72" t="s">
        <v>3224</v>
      </c>
      <c r="H20" s="323" t="s">
        <v>3214</v>
      </c>
      <c r="I20" s="64" t="s">
        <v>383</v>
      </c>
      <c r="J20" s="65" t="s">
        <v>237</v>
      </c>
    </row>
    <row r="21" customFormat="false" ht="111.75" hidden="false" customHeight="true" outlineLevel="0" collapsed="false">
      <c r="A21" s="322" t="s">
        <v>384</v>
      </c>
      <c r="B21" s="321" t="s">
        <v>385</v>
      </c>
      <c r="C21" s="322" t="s">
        <v>386</v>
      </c>
      <c r="D21" s="340" t="s">
        <v>367</v>
      </c>
      <c r="E21" s="72" t="s">
        <v>3223</v>
      </c>
      <c r="F21" s="72" t="s">
        <v>369</v>
      </c>
      <c r="G21" s="72" t="s">
        <v>3224</v>
      </c>
      <c r="H21" s="323" t="s">
        <v>3214</v>
      </c>
      <c r="I21" s="64" t="s">
        <v>391</v>
      </c>
      <c r="J21" s="65" t="s">
        <v>237</v>
      </c>
    </row>
    <row r="22" customFormat="false" ht="111.75" hidden="false" customHeight="true" outlineLevel="0" collapsed="false">
      <c r="A22" s="336" t="s">
        <v>392</v>
      </c>
      <c r="B22" s="337" t="s">
        <v>393</v>
      </c>
      <c r="C22" s="336" t="s">
        <v>394</v>
      </c>
      <c r="D22" s="340" t="s">
        <v>367</v>
      </c>
      <c r="E22" s="72" t="s">
        <v>3223</v>
      </c>
      <c r="F22" s="72" t="s">
        <v>369</v>
      </c>
      <c r="G22" s="72" t="s">
        <v>3224</v>
      </c>
      <c r="H22" s="323" t="s">
        <v>3214</v>
      </c>
      <c r="I22" s="64" t="s">
        <v>397</v>
      </c>
      <c r="J22" s="73" t="s">
        <v>327</v>
      </c>
    </row>
    <row r="23" customFormat="false" ht="111.75" hidden="false" customHeight="true" outlineLevel="0" collapsed="false">
      <c r="A23" s="322" t="s">
        <v>398</v>
      </c>
      <c r="B23" s="321" t="s">
        <v>399</v>
      </c>
      <c r="C23" s="322" t="s">
        <v>400</v>
      </c>
      <c r="D23" s="340" t="s">
        <v>367</v>
      </c>
      <c r="E23" s="72" t="s">
        <v>3223</v>
      </c>
      <c r="F23" s="72" t="s">
        <v>369</v>
      </c>
      <c r="G23" s="72" t="s">
        <v>3224</v>
      </c>
      <c r="H23" s="323" t="s">
        <v>3214</v>
      </c>
      <c r="I23" s="64" t="s">
        <v>3215</v>
      </c>
      <c r="J23" s="67" t="s">
        <v>251</v>
      </c>
    </row>
    <row r="24" customFormat="false" ht="111.75" hidden="false" customHeight="true" outlineLevel="0" collapsed="false">
      <c r="A24" s="336" t="s">
        <v>403</v>
      </c>
      <c r="B24" s="337" t="s">
        <v>3225</v>
      </c>
      <c r="C24" s="336" t="s">
        <v>405</v>
      </c>
      <c r="D24" s="340" t="s">
        <v>367</v>
      </c>
      <c r="E24" s="72" t="s">
        <v>3223</v>
      </c>
      <c r="F24" s="72" t="s">
        <v>369</v>
      </c>
      <c r="G24" s="72" t="s">
        <v>3224</v>
      </c>
      <c r="H24" s="323" t="s">
        <v>3214</v>
      </c>
      <c r="I24" s="64" t="s">
        <v>409</v>
      </c>
      <c r="J24" s="65" t="s">
        <v>237</v>
      </c>
    </row>
    <row r="25" customFormat="false" ht="111.75" hidden="false" customHeight="true" outlineLevel="0" collapsed="false">
      <c r="A25" s="322" t="s">
        <v>410</v>
      </c>
      <c r="B25" s="321" t="s">
        <v>3226</v>
      </c>
      <c r="C25" s="322" t="s">
        <v>412</v>
      </c>
      <c r="D25" s="340" t="s">
        <v>367</v>
      </c>
      <c r="E25" s="72" t="s">
        <v>3223</v>
      </c>
      <c r="F25" s="72" t="s">
        <v>369</v>
      </c>
      <c r="G25" s="72" t="s">
        <v>3224</v>
      </c>
      <c r="H25" s="323" t="s">
        <v>3214</v>
      </c>
      <c r="I25" s="69" t="s">
        <v>418</v>
      </c>
      <c r="J25" s="65" t="s">
        <v>237</v>
      </c>
    </row>
    <row r="26" customFormat="false" ht="111.75" hidden="false" customHeight="true" outlineLevel="0" collapsed="false">
      <c r="A26" s="336" t="s">
        <v>419</v>
      </c>
      <c r="B26" s="337" t="s">
        <v>420</v>
      </c>
      <c r="C26" s="336" t="s">
        <v>421</v>
      </c>
      <c r="D26" s="335" t="s">
        <v>235</v>
      </c>
      <c r="E26" s="72" t="s">
        <v>3223</v>
      </c>
      <c r="F26" s="72" t="s">
        <v>369</v>
      </c>
      <c r="G26" s="72" t="s">
        <v>3224</v>
      </c>
      <c r="H26" s="323" t="s">
        <v>3214</v>
      </c>
      <c r="I26" s="69" t="s">
        <v>428</v>
      </c>
      <c r="J26" s="65" t="s">
        <v>237</v>
      </c>
    </row>
    <row r="27" customFormat="false" ht="111.75" hidden="false" customHeight="true" outlineLevel="0" collapsed="false">
      <c r="A27" s="322" t="s">
        <v>429</v>
      </c>
      <c r="B27" s="321" t="s">
        <v>430</v>
      </c>
      <c r="C27" s="322" t="s">
        <v>431</v>
      </c>
      <c r="D27" s="340" t="s">
        <v>367</v>
      </c>
      <c r="E27" s="72" t="s">
        <v>3223</v>
      </c>
      <c r="F27" s="72" t="s">
        <v>369</v>
      </c>
      <c r="G27" s="72" t="s">
        <v>3224</v>
      </c>
      <c r="H27" s="323" t="s">
        <v>3214</v>
      </c>
      <c r="I27" s="64" t="s">
        <v>3215</v>
      </c>
      <c r="J27" s="67" t="s">
        <v>251</v>
      </c>
    </row>
    <row r="28" customFormat="false" ht="111.75" hidden="false" customHeight="true" outlineLevel="0" collapsed="false">
      <c r="A28" s="336" t="s">
        <v>434</v>
      </c>
      <c r="B28" s="337" t="s">
        <v>3227</v>
      </c>
      <c r="C28" s="336" t="s">
        <v>436</v>
      </c>
      <c r="D28" s="341" t="s">
        <v>443</v>
      </c>
      <c r="E28" s="66" t="s">
        <v>3228</v>
      </c>
      <c r="F28" s="72" t="s">
        <v>445</v>
      </c>
      <c r="G28" s="72" t="s">
        <v>3229</v>
      </c>
      <c r="H28" s="323" t="s">
        <v>3214</v>
      </c>
      <c r="I28" s="69" t="s">
        <v>444</v>
      </c>
      <c r="J28" s="65" t="s">
        <v>237</v>
      </c>
    </row>
    <row r="29" customFormat="false" ht="111.75" hidden="false" customHeight="true" outlineLevel="0" collapsed="false">
      <c r="A29" s="322" t="s">
        <v>446</v>
      </c>
      <c r="B29" s="321" t="s">
        <v>447</v>
      </c>
      <c r="C29" s="322" t="s">
        <v>448</v>
      </c>
      <c r="D29" s="341" t="s">
        <v>443</v>
      </c>
      <c r="E29" s="66" t="s">
        <v>3228</v>
      </c>
      <c r="F29" s="72" t="s">
        <v>445</v>
      </c>
      <c r="G29" s="72" t="s">
        <v>3229</v>
      </c>
      <c r="H29" s="323" t="s">
        <v>3214</v>
      </c>
      <c r="I29" s="64" t="s">
        <v>452</v>
      </c>
      <c r="J29" s="65" t="s">
        <v>237</v>
      </c>
    </row>
    <row r="30" customFormat="false" ht="111.75" hidden="false" customHeight="true" outlineLevel="0" collapsed="false">
      <c r="A30" s="336" t="s">
        <v>453</v>
      </c>
      <c r="B30" s="337" t="s">
        <v>3230</v>
      </c>
      <c r="C30" s="336" t="s">
        <v>455</v>
      </c>
      <c r="D30" s="341" t="s">
        <v>443</v>
      </c>
      <c r="E30" s="66" t="s">
        <v>3228</v>
      </c>
      <c r="F30" s="72" t="s">
        <v>445</v>
      </c>
      <c r="G30" s="72" t="s">
        <v>3229</v>
      </c>
      <c r="H30" s="323" t="s">
        <v>3214</v>
      </c>
      <c r="I30" s="64" t="s">
        <v>459</v>
      </c>
      <c r="J30" s="65" t="s">
        <v>237</v>
      </c>
    </row>
    <row r="31" customFormat="false" ht="111.75" hidden="false" customHeight="true" outlineLevel="0" collapsed="false">
      <c r="A31" s="322" t="s">
        <v>460</v>
      </c>
      <c r="B31" s="321" t="s">
        <v>461</v>
      </c>
      <c r="C31" s="322" t="s">
        <v>462</v>
      </c>
      <c r="D31" s="341" t="s">
        <v>443</v>
      </c>
      <c r="E31" s="66" t="s">
        <v>3228</v>
      </c>
      <c r="F31" s="72" t="s">
        <v>445</v>
      </c>
      <c r="G31" s="72" t="s">
        <v>3229</v>
      </c>
      <c r="H31" s="323" t="s">
        <v>3214</v>
      </c>
      <c r="I31" s="64" t="s">
        <v>468</v>
      </c>
      <c r="J31" s="65" t="s">
        <v>237</v>
      </c>
    </row>
    <row r="32" customFormat="false" ht="111.75" hidden="false" customHeight="true" outlineLevel="0" collapsed="false">
      <c r="A32" s="336" t="s">
        <v>469</v>
      </c>
      <c r="B32" s="337" t="s">
        <v>3231</v>
      </c>
      <c r="C32" s="336" t="s">
        <v>471</v>
      </c>
      <c r="D32" s="335" t="s">
        <v>235</v>
      </c>
      <c r="E32" s="66" t="s">
        <v>3228</v>
      </c>
      <c r="F32" s="72" t="s">
        <v>445</v>
      </c>
      <c r="G32" s="72" t="s">
        <v>3229</v>
      </c>
      <c r="H32" s="323" t="s">
        <v>3214</v>
      </c>
      <c r="I32" s="64" t="s">
        <v>475</v>
      </c>
      <c r="J32" s="65" t="s">
        <v>237</v>
      </c>
    </row>
    <row r="33" customFormat="false" ht="111.75" hidden="false" customHeight="true" outlineLevel="0" collapsed="false">
      <c r="A33" s="322" t="s">
        <v>476</v>
      </c>
      <c r="B33" s="321" t="s">
        <v>3232</v>
      </c>
      <c r="C33" s="322" t="s">
        <v>478</v>
      </c>
      <c r="D33" s="341" t="s">
        <v>443</v>
      </c>
      <c r="E33" s="66" t="s">
        <v>3228</v>
      </c>
      <c r="F33" s="72" t="s">
        <v>445</v>
      </c>
      <c r="G33" s="72" t="s">
        <v>3229</v>
      </c>
      <c r="H33" s="323" t="s">
        <v>3214</v>
      </c>
      <c r="I33" s="69" t="s">
        <v>482</v>
      </c>
      <c r="J33" s="65" t="s">
        <v>237</v>
      </c>
    </row>
    <row r="34" customFormat="false" ht="111.75" hidden="false" customHeight="true" outlineLevel="0" collapsed="false">
      <c r="A34" s="336" t="s">
        <v>483</v>
      </c>
      <c r="B34" s="337" t="s">
        <v>3233</v>
      </c>
      <c r="C34" s="336" t="s">
        <v>485</v>
      </c>
      <c r="D34" s="341" t="s">
        <v>443</v>
      </c>
      <c r="E34" s="66" t="s">
        <v>3228</v>
      </c>
      <c r="F34" s="72" t="s">
        <v>445</v>
      </c>
      <c r="G34" s="72" t="s">
        <v>3229</v>
      </c>
      <c r="H34" s="323" t="s">
        <v>3214</v>
      </c>
      <c r="I34" s="69" t="s">
        <v>489</v>
      </c>
      <c r="J34" s="65" t="s">
        <v>237</v>
      </c>
    </row>
    <row r="35" customFormat="false" ht="111.75" hidden="false" customHeight="true" outlineLevel="0" collapsed="false">
      <c r="A35" s="322" t="s">
        <v>490</v>
      </c>
      <c r="B35" s="322" t="s">
        <v>3234</v>
      </c>
      <c r="C35" s="322" t="s">
        <v>492</v>
      </c>
      <c r="D35" s="342" t="s">
        <v>498</v>
      </c>
      <c r="E35" s="66" t="s">
        <v>3235</v>
      </c>
      <c r="F35" s="66" t="s">
        <v>500</v>
      </c>
      <c r="G35" s="72" t="s">
        <v>3236</v>
      </c>
      <c r="H35" s="323" t="s">
        <v>3214</v>
      </c>
      <c r="I35" s="69" t="s">
        <v>499</v>
      </c>
      <c r="J35" s="65" t="s">
        <v>237</v>
      </c>
    </row>
    <row r="36" customFormat="false" ht="111.75" hidden="false" customHeight="true" outlineLevel="0" collapsed="false">
      <c r="A36" s="336" t="s">
        <v>501</v>
      </c>
      <c r="B36" s="336" t="s">
        <v>3237</v>
      </c>
      <c r="C36" s="336" t="s">
        <v>503</v>
      </c>
      <c r="D36" s="342" t="s">
        <v>498</v>
      </c>
      <c r="E36" s="66" t="s">
        <v>3235</v>
      </c>
      <c r="F36" s="66" t="s">
        <v>500</v>
      </c>
      <c r="G36" s="72" t="s">
        <v>3236</v>
      </c>
      <c r="H36" s="323" t="s">
        <v>3214</v>
      </c>
      <c r="I36" s="64" t="s">
        <v>508</v>
      </c>
      <c r="J36" s="65" t="s">
        <v>237</v>
      </c>
    </row>
    <row r="37" customFormat="false" ht="111.75" hidden="false" customHeight="true" outlineLevel="0" collapsed="false">
      <c r="A37" s="322" t="s">
        <v>509</v>
      </c>
      <c r="B37" s="322" t="s">
        <v>3238</v>
      </c>
      <c r="C37" s="322" t="s">
        <v>511</v>
      </c>
      <c r="D37" s="342" t="s">
        <v>498</v>
      </c>
      <c r="E37" s="66" t="s">
        <v>3235</v>
      </c>
      <c r="F37" s="66" t="s">
        <v>500</v>
      </c>
      <c r="G37" s="72" t="s">
        <v>3236</v>
      </c>
      <c r="H37" s="323" t="s">
        <v>3214</v>
      </c>
      <c r="I37" s="64" t="s">
        <v>517</v>
      </c>
      <c r="J37" s="65" t="s">
        <v>237</v>
      </c>
    </row>
    <row r="38" customFormat="false" ht="111.75" hidden="false" customHeight="true" outlineLevel="0" collapsed="false">
      <c r="A38" s="336" t="s">
        <v>518</v>
      </c>
      <c r="B38" s="337" t="s">
        <v>3239</v>
      </c>
      <c r="C38" s="336" t="s">
        <v>520</v>
      </c>
      <c r="D38" s="342" t="s">
        <v>498</v>
      </c>
      <c r="E38" s="66" t="s">
        <v>3235</v>
      </c>
      <c r="F38" s="66" t="s">
        <v>500</v>
      </c>
      <c r="G38" s="72" t="s">
        <v>3236</v>
      </c>
      <c r="H38" s="323" t="s">
        <v>3214</v>
      </c>
      <c r="I38" s="69" t="s">
        <v>526</v>
      </c>
      <c r="J38" s="65" t="s">
        <v>237</v>
      </c>
    </row>
    <row r="39" customFormat="false" ht="111.75" hidden="false" customHeight="true" outlineLevel="0" collapsed="false">
      <c r="A39" s="322" t="s">
        <v>527</v>
      </c>
      <c r="B39" s="321" t="s">
        <v>528</v>
      </c>
      <c r="C39" s="322" t="s">
        <v>529</v>
      </c>
      <c r="D39" s="342" t="s">
        <v>498</v>
      </c>
      <c r="E39" s="66" t="s">
        <v>3235</v>
      </c>
      <c r="F39" s="66" t="s">
        <v>500</v>
      </c>
      <c r="G39" s="72" t="s">
        <v>3236</v>
      </c>
      <c r="H39" s="323" t="s">
        <v>3214</v>
      </c>
      <c r="I39" s="64" t="s">
        <v>3215</v>
      </c>
      <c r="J39" s="67" t="s">
        <v>251</v>
      </c>
    </row>
    <row r="40" customFormat="false" ht="111.75" hidden="false" customHeight="true" outlineLevel="0" collapsed="false">
      <c r="A40" s="336" t="s">
        <v>532</v>
      </c>
      <c r="B40" s="337" t="s">
        <v>533</v>
      </c>
      <c r="C40" s="336" t="s">
        <v>534</v>
      </c>
      <c r="D40" s="342" t="s">
        <v>498</v>
      </c>
      <c r="E40" s="66" t="s">
        <v>3235</v>
      </c>
      <c r="F40" s="66" t="s">
        <v>500</v>
      </c>
      <c r="G40" s="72" t="s">
        <v>3236</v>
      </c>
      <c r="H40" s="323" t="s">
        <v>3214</v>
      </c>
      <c r="I40" s="69" t="s">
        <v>538</v>
      </c>
      <c r="J40" s="65" t="s">
        <v>237</v>
      </c>
    </row>
    <row r="41" customFormat="false" ht="111.75" hidden="false" customHeight="true" outlineLevel="0" collapsed="false">
      <c r="A41" s="322" t="s">
        <v>539</v>
      </c>
      <c r="B41" s="321" t="s">
        <v>3240</v>
      </c>
      <c r="C41" s="322" t="s">
        <v>541</v>
      </c>
      <c r="D41" s="342" t="s">
        <v>498</v>
      </c>
      <c r="E41" s="66" t="s">
        <v>3235</v>
      </c>
      <c r="F41" s="66" t="s">
        <v>500</v>
      </c>
      <c r="G41" s="72" t="s">
        <v>3236</v>
      </c>
      <c r="H41" s="323" t="s">
        <v>3214</v>
      </c>
      <c r="I41" s="64" t="s">
        <v>3215</v>
      </c>
      <c r="J41" s="67" t="s">
        <v>251</v>
      </c>
    </row>
    <row r="42" customFormat="false" ht="111.75" hidden="false" customHeight="true" outlineLevel="0" collapsed="false">
      <c r="A42" s="336" t="s">
        <v>545</v>
      </c>
      <c r="B42" s="337" t="s">
        <v>546</v>
      </c>
      <c r="C42" s="336" t="s">
        <v>547</v>
      </c>
      <c r="D42" s="342" t="s">
        <v>498</v>
      </c>
      <c r="E42" s="66" t="s">
        <v>3235</v>
      </c>
      <c r="F42" s="66" t="s">
        <v>500</v>
      </c>
      <c r="G42" s="72" t="s">
        <v>3236</v>
      </c>
      <c r="H42" s="323" t="s">
        <v>3214</v>
      </c>
      <c r="I42" s="64" t="s">
        <v>3215</v>
      </c>
      <c r="J42" s="67" t="s">
        <v>251</v>
      </c>
    </row>
    <row r="43" customFormat="false" ht="111.75" hidden="false" customHeight="true" outlineLevel="0" collapsed="false">
      <c r="A43" s="322" t="s">
        <v>550</v>
      </c>
      <c r="B43" s="321" t="s">
        <v>3241</v>
      </c>
      <c r="C43" s="322" t="s">
        <v>552</v>
      </c>
      <c r="D43" s="342" t="s">
        <v>498</v>
      </c>
      <c r="E43" s="66" t="s">
        <v>3235</v>
      </c>
      <c r="F43" s="66" t="s">
        <v>500</v>
      </c>
      <c r="G43" s="72" t="s">
        <v>3236</v>
      </c>
      <c r="H43" s="323" t="s">
        <v>3214</v>
      </c>
      <c r="I43" s="64" t="s">
        <v>3215</v>
      </c>
      <c r="J43" s="67" t="s">
        <v>251</v>
      </c>
    </row>
    <row r="44" customFormat="false" ht="111.75" hidden="false" customHeight="true" outlineLevel="0" collapsed="false">
      <c r="A44" s="336" t="s">
        <v>555</v>
      </c>
      <c r="B44" s="337" t="s">
        <v>3242</v>
      </c>
      <c r="C44" s="336" t="s">
        <v>557</v>
      </c>
      <c r="D44" s="342" t="s">
        <v>498</v>
      </c>
      <c r="E44" s="66" t="s">
        <v>3235</v>
      </c>
      <c r="F44" s="66" t="s">
        <v>500</v>
      </c>
      <c r="G44" s="72" t="s">
        <v>3236</v>
      </c>
      <c r="H44" s="323" t="s">
        <v>3214</v>
      </c>
      <c r="I44" s="69" t="s">
        <v>563</v>
      </c>
      <c r="J44" s="65" t="s">
        <v>237</v>
      </c>
    </row>
    <row r="45" customFormat="false" ht="111.75" hidden="false" customHeight="true" outlineLevel="0" collapsed="false">
      <c r="A45" s="322" t="s">
        <v>564</v>
      </c>
      <c r="B45" s="321" t="s">
        <v>565</v>
      </c>
      <c r="C45" s="322" t="s">
        <v>566</v>
      </c>
      <c r="D45" s="342" t="s">
        <v>498</v>
      </c>
      <c r="E45" s="66" t="s">
        <v>3235</v>
      </c>
      <c r="F45" s="66" t="s">
        <v>500</v>
      </c>
      <c r="G45" s="72" t="s">
        <v>3236</v>
      </c>
      <c r="H45" s="323" t="s">
        <v>3214</v>
      </c>
      <c r="I45" s="64" t="s">
        <v>571</v>
      </c>
      <c r="J45" s="65" t="s">
        <v>237</v>
      </c>
    </row>
    <row r="46" customFormat="false" ht="111.75" hidden="false" customHeight="true" outlineLevel="0" collapsed="false">
      <c r="A46" s="336" t="s">
        <v>572</v>
      </c>
      <c r="B46" s="337" t="s">
        <v>573</v>
      </c>
      <c r="C46" s="336" t="s">
        <v>574</v>
      </c>
      <c r="D46" s="342" t="s">
        <v>498</v>
      </c>
      <c r="E46" s="66" t="s">
        <v>3235</v>
      </c>
      <c r="F46" s="66" t="s">
        <v>500</v>
      </c>
      <c r="G46" s="72" t="s">
        <v>3236</v>
      </c>
      <c r="H46" s="323" t="s">
        <v>3214</v>
      </c>
      <c r="I46" s="64" t="s">
        <v>3215</v>
      </c>
      <c r="J46" s="67" t="s">
        <v>251</v>
      </c>
    </row>
    <row r="47" customFormat="false" ht="111.75" hidden="false" customHeight="true" outlineLevel="0" collapsed="false">
      <c r="A47" s="322" t="s">
        <v>578</v>
      </c>
      <c r="B47" s="321" t="s">
        <v>3243</v>
      </c>
      <c r="C47" s="322" t="s">
        <v>580</v>
      </c>
      <c r="D47" s="343" t="s">
        <v>588</v>
      </c>
      <c r="E47" s="72" t="s">
        <v>3244</v>
      </c>
      <c r="F47" s="72" t="s">
        <v>590</v>
      </c>
      <c r="G47" s="66" t="s">
        <v>3245</v>
      </c>
      <c r="H47" s="323" t="s">
        <v>3214</v>
      </c>
      <c r="I47" s="64" t="s">
        <v>589</v>
      </c>
      <c r="J47" s="65" t="s">
        <v>237</v>
      </c>
    </row>
    <row r="48" customFormat="false" ht="111.75" hidden="false" customHeight="true" outlineLevel="0" collapsed="false">
      <c r="A48" s="336" t="s">
        <v>591</v>
      </c>
      <c r="B48" s="337" t="s">
        <v>3246</v>
      </c>
      <c r="C48" s="336" t="s">
        <v>593</v>
      </c>
      <c r="D48" s="343" t="s">
        <v>588</v>
      </c>
      <c r="E48" s="72" t="s">
        <v>3244</v>
      </c>
      <c r="F48" s="72" t="s">
        <v>590</v>
      </c>
      <c r="G48" s="66" t="s">
        <v>3245</v>
      </c>
      <c r="H48" s="323" t="s">
        <v>3214</v>
      </c>
      <c r="I48" s="69" t="s">
        <v>598</v>
      </c>
      <c r="J48" s="65" t="s">
        <v>237</v>
      </c>
    </row>
    <row r="49" customFormat="false" ht="111.75" hidden="false" customHeight="true" outlineLevel="0" collapsed="false">
      <c r="A49" s="322" t="s">
        <v>599</v>
      </c>
      <c r="B49" s="321" t="s">
        <v>3247</v>
      </c>
      <c r="C49" s="322" t="s">
        <v>601</v>
      </c>
      <c r="D49" s="343" t="s">
        <v>588</v>
      </c>
      <c r="E49" s="72" t="s">
        <v>3244</v>
      </c>
      <c r="F49" s="72" t="s">
        <v>590</v>
      </c>
      <c r="G49" s="66" t="s">
        <v>3245</v>
      </c>
      <c r="H49" s="323" t="s">
        <v>3214</v>
      </c>
      <c r="I49" s="64" t="s">
        <v>3215</v>
      </c>
      <c r="J49" s="67" t="s">
        <v>251</v>
      </c>
    </row>
    <row r="50" customFormat="false" ht="111.75" hidden="false" customHeight="true" outlineLevel="0" collapsed="false">
      <c r="A50" s="336" t="s">
        <v>606</v>
      </c>
      <c r="B50" s="337" t="s">
        <v>3248</v>
      </c>
      <c r="C50" s="336" t="s">
        <v>608</v>
      </c>
      <c r="D50" s="343" t="s">
        <v>588</v>
      </c>
      <c r="E50" s="72" t="s">
        <v>3244</v>
      </c>
      <c r="F50" s="72" t="s">
        <v>590</v>
      </c>
      <c r="G50" s="66" t="s">
        <v>3245</v>
      </c>
      <c r="H50" s="323" t="s">
        <v>3214</v>
      </c>
      <c r="I50" s="69" t="s">
        <v>611</v>
      </c>
      <c r="J50" s="65" t="s">
        <v>237</v>
      </c>
    </row>
    <row r="51" customFormat="false" ht="111.75" hidden="false" customHeight="true" outlineLevel="0" collapsed="false">
      <c r="A51" s="322" t="s">
        <v>612</v>
      </c>
      <c r="B51" s="321" t="s">
        <v>3249</v>
      </c>
      <c r="C51" s="322" t="s">
        <v>614</v>
      </c>
      <c r="D51" s="343" t="s">
        <v>588</v>
      </c>
      <c r="E51" s="72" t="s">
        <v>3244</v>
      </c>
      <c r="F51" s="72" t="s">
        <v>590</v>
      </c>
      <c r="G51" s="66" t="s">
        <v>3245</v>
      </c>
      <c r="H51" s="323" t="s">
        <v>3214</v>
      </c>
      <c r="I51" s="69" t="s">
        <v>617</v>
      </c>
      <c r="J51" s="65" t="s">
        <v>237</v>
      </c>
    </row>
    <row r="52" customFormat="false" ht="111.75" hidden="false" customHeight="true" outlineLevel="0" collapsed="false">
      <c r="A52" s="336" t="s">
        <v>618</v>
      </c>
      <c r="B52" s="337" t="s">
        <v>3250</v>
      </c>
      <c r="C52" s="336" t="s">
        <v>620</v>
      </c>
      <c r="D52" s="343" t="s">
        <v>588</v>
      </c>
      <c r="E52" s="72" t="s">
        <v>3244</v>
      </c>
      <c r="F52" s="72" t="s">
        <v>590</v>
      </c>
      <c r="G52" s="66" t="s">
        <v>3245</v>
      </c>
      <c r="H52" s="323" t="s">
        <v>3214</v>
      </c>
      <c r="I52" s="64" t="s">
        <v>625</v>
      </c>
      <c r="J52" s="73" t="s">
        <v>327</v>
      </c>
    </row>
    <row r="53" customFormat="false" ht="111.75" hidden="false" customHeight="true" outlineLevel="0" collapsed="false">
      <c r="A53" s="322" t="s">
        <v>626</v>
      </c>
      <c r="B53" s="321" t="s">
        <v>3251</v>
      </c>
      <c r="C53" s="322" t="s">
        <v>628</v>
      </c>
      <c r="D53" s="343" t="s">
        <v>588</v>
      </c>
      <c r="E53" s="72" t="s">
        <v>3244</v>
      </c>
      <c r="F53" s="72" t="s">
        <v>590</v>
      </c>
      <c r="G53" s="66" t="s">
        <v>3245</v>
      </c>
      <c r="H53" s="323" t="s">
        <v>3214</v>
      </c>
      <c r="I53" s="64" t="s">
        <v>633</v>
      </c>
      <c r="J53" s="73" t="s">
        <v>327</v>
      </c>
    </row>
    <row r="54" customFormat="false" ht="111.75" hidden="false" customHeight="true" outlineLevel="0" collapsed="false">
      <c r="A54" s="336" t="s">
        <v>634</v>
      </c>
      <c r="B54" s="337" t="s">
        <v>635</v>
      </c>
      <c r="C54" s="336" t="s">
        <v>636</v>
      </c>
      <c r="D54" s="343" t="s">
        <v>588</v>
      </c>
      <c r="E54" s="72" t="s">
        <v>3244</v>
      </c>
      <c r="F54" s="72" t="s">
        <v>590</v>
      </c>
      <c r="G54" s="66" t="s">
        <v>3245</v>
      </c>
      <c r="H54" s="323" t="s">
        <v>3214</v>
      </c>
      <c r="I54" s="64" t="s">
        <v>3215</v>
      </c>
      <c r="J54" s="67" t="s">
        <v>251</v>
      </c>
    </row>
    <row r="55" customFormat="false" ht="111.75" hidden="false" customHeight="true" outlineLevel="0" collapsed="false">
      <c r="A55" s="322" t="s">
        <v>641</v>
      </c>
      <c r="B55" s="321" t="s">
        <v>3252</v>
      </c>
      <c r="C55" s="322" t="s">
        <v>643</v>
      </c>
      <c r="D55" s="343" t="s">
        <v>588</v>
      </c>
      <c r="E55" s="72" t="s">
        <v>3244</v>
      </c>
      <c r="F55" s="72" t="s">
        <v>590</v>
      </c>
      <c r="G55" s="66" t="s">
        <v>3245</v>
      </c>
      <c r="H55" s="323" t="s">
        <v>3214</v>
      </c>
      <c r="I55" s="69" t="s">
        <v>648</v>
      </c>
      <c r="J55" s="65" t="s">
        <v>237</v>
      </c>
    </row>
    <row r="56" customFormat="false" ht="111.75" hidden="false" customHeight="true" outlineLevel="0" collapsed="false">
      <c r="A56" s="336" t="s">
        <v>649</v>
      </c>
      <c r="B56" s="337" t="s">
        <v>3253</v>
      </c>
      <c r="C56" s="336" t="s">
        <v>651</v>
      </c>
      <c r="D56" s="343" t="s">
        <v>588</v>
      </c>
      <c r="E56" s="72" t="s">
        <v>3244</v>
      </c>
      <c r="F56" s="72" t="s">
        <v>590</v>
      </c>
      <c r="G56" s="66" t="s">
        <v>3245</v>
      </c>
      <c r="H56" s="323" t="s">
        <v>3214</v>
      </c>
      <c r="I56" s="64" t="s">
        <v>3215</v>
      </c>
      <c r="J56" s="67" t="s">
        <v>251</v>
      </c>
    </row>
    <row r="57" customFormat="false" ht="111.75" hidden="false" customHeight="true" outlineLevel="0" collapsed="false">
      <c r="A57" s="322" t="s">
        <v>654</v>
      </c>
      <c r="B57" s="321" t="s">
        <v>3254</v>
      </c>
      <c r="C57" s="322" t="s">
        <v>656</v>
      </c>
      <c r="D57" s="343" t="s">
        <v>588</v>
      </c>
      <c r="E57" s="72" t="s">
        <v>3244</v>
      </c>
      <c r="F57" s="72" t="s">
        <v>590</v>
      </c>
      <c r="G57" s="66" t="s">
        <v>3245</v>
      </c>
      <c r="H57" s="323" t="s">
        <v>3214</v>
      </c>
      <c r="I57" s="64" t="s">
        <v>3215</v>
      </c>
      <c r="J57" s="67" t="s">
        <v>251</v>
      </c>
    </row>
    <row r="58" customFormat="false" ht="111.75" hidden="false" customHeight="true" outlineLevel="0" collapsed="false">
      <c r="A58" s="336" t="s">
        <v>660</v>
      </c>
      <c r="B58" s="337" t="s">
        <v>3255</v>
      </c>
      <c r="C58" s="336" t="s">
        <v>662</v>
      </c>
      <c r="D58" s="343" t="s">
        <v>588</v>
      </c>
      <c r="E58" s="72" t="s">
        <v>3244</v>
      </c>
      <c r="F58" s="72" t="s">
        <v>590</v>
      </c>
      <c r="G58" s="66" t="s">
        <v>3245</v>
      </c>
      <c r="H58" s="323" t="s">
        <v>3214</v>
      </c>
      <c r="I58" s="64" t="s">
        <v>3215</v>
      </c>
      <c r="J58" s="67" t="s">
        <v>251</v>
      </c>
    </row>
    <row r="59" customFormat="false" ht="111.75" hidden="false" customHeight="true" outlineLevel="0" collapsed="false">
      <c r="A59" s="322" t="s">
        <v>666</v>
      </c>
      <c r="B59" s="321" t="s">
        <v>3256</v>
      </c>
      <c r="C59" s="322" t="s">
        <v>668</v>
      </c>
      <c r="D59" s="343" t="s">
        <v>588</v>
      </c>
      <c r="E59" s="72" t="s">
        <v>3244</v>
      </c>
      <c r="F59" s="72" t="s">
        <v>590</v>
      </c>
      <c r="G59" s="66" t="s">
        <v>3245</v>
      </c>
      <c r="H59" s="323" t="s">
        <v>3214</v>
      </c>
      <c r="I59" s="64" t="s">
        <v>3215</v>
      </c>
      <c r="J59" s="67" t="s">
        <v>251</v>
      </c>
    </row>
    <row r="60" customFormat="false" ht="111.75" hidden="false" customHeight="true" outlineLevel="0" collapsed="false">
      <c r="A60" s="336" t="s">
        <v>671</v>
      </c>
      <c r="B60" s="337" t="s">
        <v>672</v>
      </c>
      <c r="C60" s="336" t="s">
        <v>673</v>
      </c>
      <c r="D60" s="343" t="s">
        <v>588</v>
      </c>
      <c r="E60" s="72" t="s">
        <v>3244</v>
      </c>
      <c r="F60" s="72" t="s">
        <v>590</v>
      </c>
      <c r="G60" s="66" t="s">
        <v>3245</v>
      </c>
      <c r="H60" s="323" t="s">
        <v>3214</v>
      </c>
      <c r="I60" s="64" t="s">
        <v>3215</v>
      </c>
      <c r="J60" s="67" t="s">
        <v>251</v>
      </c>
    </row>
    <row r="61" customFormat="false" ht="111.75" hidden="false" customHeight="true" outlineLevel="0" collapsed="false">
      <c r="A61" s="322" t="s">
        <v>677</v>
      </c>
      <c r="B61" s="321" t="s">
        <v>3257</v>
      </c>
      <c r="C61" s="322" t="s">
        <v>679</v>
      </c>
      <c r="D61" s="341" t="s">
        <v>443</v>
      </c>
      <c r="E61" s="72" t="s">
        <v>3244</v>
      </c>
      <c r="F61" s="72" t="s">
        <v>590</v>
      </c>
      <c r="G61" s="66" t="s">
        <v>3245</v>
      </c>
      <c r="H61" s="323" t="s">
        <v>3214</v>
      </c>
      <c r="I61" s="69" t="s">
        <v>684</v>
      </c>
      <c r="J61" s="67" t="s">
        <v>251</v>
      </c>
    </row>
    <row r="62" customFormat="false" ht="111.75" hidden="false" customHeight="true" outlineLevel="0" collapsed="false">
      <c r="A62" s="336" t="s">
        <v>685</v>
      </c>
      <c r="B62" s="337" t="s">
        <v>3258</v>
      </c>
      <c r="C62" s="336" t="s">
        <v>687</v>
      </c>
      <c r="D62" s="342" t="s">
        <v>498</v>
      </c>
      <c r="E62" s="72" t="s">
        <v>3244</v>
      </c>
      <c r="F62" s="72" t="s">
        <v>590</v>
      </c>
      <c r="G62" s="66" t="s">
        <v>3245</v>
      </c>
      <c r="H62" s="323" t="s">
        <v>3214</v>
      </c>
      <c r="I62" s="64" t="s">
        <v>3215</v>
      </c>
      <c r="J62" s="67" t="s">
        <v>251</v>
      </c>
    </row>
    <row r="63" customFormat="false" ht="111.75" hidden="false" customHeight="true" outlineLevel="0" collapsed="false">
      <c r="A63" s="322" t="s">
        <v>690</v>
      </c>
      <c r="B63" s="321" t="s">
        <v>3259</v>
      </c>
      <c r="C63" s="322" t="s">
        <v>692</v>
      </c>
      <c r="D63" s="335" t="s">
        <v>235</v>
      </c>
      <c r="E63" s="72" t="s">
        <v>3244</v>
      </c>
      <c r="F63" s="72" t="s">
        <v>590</v>
      </c>
      <c r="G63" s="66" t="s">
        <v>3245</v>
      </c>
      <c r="H63" s="323" t="s">
        <v>3214</v>
      </c>
      <c r="I63" s="69" t="s">
        <v>697</v>
      </c>
      <c r="J63" s="65" t="s">
        <v>237</v>
      </c>
    </row>
    <row r="64" customFormat="false" ht="111.75" hidden="false" customHeight="true" outlineLevel="0" collapsed="false">
      <c r="A64" s="336" t="s">
        <v>698</v>
      </c>
      <c r="B64" s="336" t="s">
        <v>3260</v>
      </c>
      <c r="C64" s="336" t="s">
        <v>700</v>
      </c>
      <c r="D64" s="344" t="s">
        <v>707</v>
      </c>
      <c r="E64" s="66" t="s">
        <v>3261</v>
      </c>
      <c r="F64" s="72" t="s">
        <v>709</v>
      </c>
      <c r="G64" s="66" t="s">
        <v>3262</v>
      </c>
      <c r="H64" s="323" t="s">
        <v>3214</v>
      </c>
      <c r="I64" s="64" t="s">
        <v>708</v>
      </c>
      <c r="J64" s="65" t="s">
        <v>237</v>
      </c>
    </row>
    <row r="65" customFormat="false" ht="111.75" hidden="false" customHeight="true" outlineLevel="0" collapsed="false">
      <c r="A65" s="322" t="s">
        <v>710</v>
      </c>
      <c r="B65" s="322" t="s">
        <v>3263</v>
      </c>
      <c r="C65" s="322" t="s">
        <v>712</v>
      </c>
      <c r="D65" s="344" t="s">
        <v>707</v>
      </c>
      <c r="E65" s="66" t="s">
        <v>3261</v>
      </c>
      <c r="F65" s="72" t="s">
        <v>709</v>
      </c>
      <c r="G65" s="66" t="s">
        <v>3262</v>
      </c>
      <c r="H65" s="323" t="s">
        <v>3214</v>
      </c>
      <c r="I65" s="69" t="s">
        <v>715</v>
      </c>
      <c r="J65" s="65" t="s">
        <v>237</v>
      </c>
    </row>
    <row r="66" customFormat="false" ht="111.75" hidden="false" customHeight="true" outlineLevel="0" collapsed="false">
      <c r="A66" s="336" t="s">
        <v>716</v>
      </c>
      <c r="B66" s="337" t="s">
        <v>717</v>
      </c>
      <c r="C66" s="336" t="s">
        <v>718</v>
      </c>
      <c r="D66" s="344" t="s">
        <v>707</v>
      </c>
      <c r="E66" s="66" t="s">
        <v>3261</v>
      </c>
      <c r="F66" s="72" t="s">
        <v>709</v>
      </c>
      <c r="G66" s="66" t="s">
        <v>3262</v>
      </c>
      <c r="H66" s="323" t="s">
        <v>3214</v>
      </c>
      <c r="I66" s="69" t="s">
        <v>722</v>
      </c>
      <c r="J66" s="65" t="s">
        <v>237</v>
      </c>
    </row>
    <row r="67" customFormat="false" ht="111.75" hidden="false" customHeight="true" outlineLevel="0" collapsed="false">
      <c r="A67" s="322" t="s">
        <v>723</v>
      </c>
      <c r="B67" s="321" t="s">
        <v>724</v>
      </c>
      <c r="C67" s="322" t="s">
        <v>725</v>
      </c>
      <c r="D67" s="344" t="s">
        <v>707</v>
      </c>
      <c r="E67" s="66" t="s">
        <v>3261</v>
      </c>
      <c r="F67" s="72" t="s">
        <v>709</v>
      </c>
      <c r="G67" s="66" t="s">
        <v>3262</v>
      </c>
      <c r="H67" s="323" t="s">
        <v>3214</v>
      </c>
      <c r="I67" s="64" t="s">
        <v>729</v>
      </c>
      <c r="J67" s="65" t="s">
        <v>237</v>
      </c>
    </row>
    <row r="68" customFormat="false" ht="111.75" hidden="false" customHeight="true" outlineLevel="0" collapsed="false">
      <c r="A68" s="336" t="s">
        <v>730</v>
      </c>
      <c r="B68" s="337" t="s">
        <v>3264</v>
      </c>
      <c r="C68" s="336" t="s">
        <v>732</v>
      </c>
      <c r="D68" s="344" t="s">
        <v>707</v>
      </c>
      <c r="E68" s="72" t="s">
        <v>3265</v>
      </c>
      <c r="F68" s="66" t="s">
        <v>739</v>
      </c>
      <c r="G68" s="72" t="s">
        <v>3266</v>
      </c>
      <c r="H68" s="323" t="s">
        <v>3218</v>
      </c>
      <c r="I68" s="64" t="s">
        <v>738</v>
      </c>
      <c r="J68" s="73" t="s">
        <v>327</v>
      </c>
    </row>
    <row r="69" customFormat="false" ht="111.75" hidden="false" customHeight="true" outlineLevel="0" collapsed="false">
      <c r="A69" s="322" t="s">
        <v>740</v>
      </c>
      <c r="B69" s="321" t="s">
        <v>3267</v>
      </c>
      <c r="C69" s="322" t="s">
        <v>742</v>
      </c>
      <c r="D69" s="344" t="s">
        <v>707</v>
      </c>
      <c r="E69" s="72" t="s">
        <v>3265</v>
      </c>
      <c r="F69" s="66" t="s">
        <v>739</v>
      </c>
      <c r="G69" s="72" t="s">
        <v>3266</v>
      </c>
      <c r="H69" s="323" t="s">
        <v>3218</v>
      </c>
      <c r="I69" s="64" t="s">
        <v>748</v>
      </c>
      <c r="J69" s="73" t="s">
        <v>327</v>
      </c>
    </row>
    <row r="70" customFormat="false" ht="111.75" hidden="false" customHeight="true" outlineLevel="0" collapsed="false">
      <c r="A70" s="336" t="s">
        <v>749</v>
      </c>
      <c r="B70" s="337" t="s">
        <v>3268</v>
      </c>
      <c r="C70" s="336" t="s">
        <v>751</v>
      </c>
      <c r="D70" s="344" t="s">
        <v>707</v>
      </c>
      <c r="E70" s="72" t="s">
        <v>3265</v>
      </c>
      <c r="F70" s="66" t="s">
        <v>739</v>
      </c>
      <c r="G70" s="72" t="s">
        <v>3266</v>
      </c>
      <c r="H70" s="323" t="s">
        <v>3218</v>
      </c>
      <c r="I70" s="64" t="s">
        <v>756</v>
      </c>
      <c r="J70" s="65" t="s">
        <v>237</v>
      </c>
    </row>
    <row r="71" customFormat="false" ht="111.75" hidden="false" customHeight="true" outlineLevel="0" collapsed="false">
      <c r="A71" s="322" t="s">
        <v>757</v>
      </c>
      <c r="B71" s="321" t="s">
        <v>3269</v>
      </c>
      <c r="C71" s="322" t="s">
        <v>759</v>
      </c>
      <c r="D71" s="344" t="s">
        <v>707</v>
      </c>
      <c r="E71" s="72" t="s">
        <v>3265</v>
      </c>
      <c r="F71" s="66" t="s">
        <v>739</v>
      </c>
      <c r="G71" s="72" t="s">
        <v>3266</v>
      </c>
      <c r="H71" s="323" t="s">
        <v>3218</v>
      </c>
      <c r="I71" s="64" t="s">
        <v>762</v>
      </c>
      <c r="J71" s="65" t="s">
        <v>237</v>
      </c>
    </row>
    <row r="72" customFormat="false" ht="111.75" hidden="false" customHeight="true" outlineLevel="0" collapsed="false">
      <c r="A72" s="336" t="s">
        <v>763</v>
      </c>
      <c r="B72" s="337" t="s">
        <v>764</v>
      </c>
      <c r="C72" s="336" t="s">
        <v>765</v>
      </c>
      <c r="D72" s="344" t="s">
        <v>707</v>
      </c>
      <c r="E72" s="72" t="s">
        <v>3265</v>
      </c>
      <c r="F72" s="66" t="s">
        <v>739</v>
      </c>
      <c r="G72" s="72" t="s">
        <v>3266</v>
      </c>
      <c r="H72" s="323" t="s">
        <v>3218</v>
      </c>
      <c r="I72" s="64" t="s">
        <v>768</v>
      </c>
      <c r="J72" s="65" t="s">
        <v>237</v>
      </c>
    </row>
    <row r="73" customFormat="false" ht="111.75" hidden="false" customHeight="true" outlineLevel="0" collapsed="false">
      <c r="A73" s="322" t="s">
        <v>769</v>
      </c>
      <c r="B73" s="321" t="s">
        <v>770</v>
      </c>
      <c r="C73" s="322" t="s">
        <v>771</v>
      </c>
      <c r="D73" s="344" t="s">
        <v>707</v>
      </c>
      <c r="E73" s="72" t="s">
        <v>3265</v>
      </c>
      <c r="F73" s="66" t="s">
        <v>739</v>
      </c>
      <c r="G73" s="72" t="s">
        <v>3266</v>
      </c>
      <c r="H73" s="323" t="s">
        <v>3218</v>
      </c>
      <c r="I73" s="64" t="s">
        <v>774</v>
      </c>
      <c r="J73" s="65" t="s">
        <v>237</v>
      </c>
    </row>
    <row r="74" customFormat="false" ht="111.75" hidden="false" customHeight="true" outlineLevel="0" collapsed="false">
      <c r="A74" s="336" t="s">
        <v>775</v>
      </c>
      <c r="B74" s="337" t="s">
        <v>776</v>
      </c>
      <c r="C74" s="336" t="s">
        <v>777</v>
      </c>
      <c r="D74" s="344" t="s">
        <v>707</v>
      </c>
      <c r="E74" s="72" t="s">
        <v>3265</v>
      </c>
      <c r="F74" s="66" t="s">
        <v>739</v>
      </c>
      <c r="G74" s="72" t="s">
        <v>3266</v>
      </c>
      <c r="H74" s="323" t="s">
        <v>3218</v>
      </c>
      <c r="I74" s="64" t="s">
        <v>3215</v>
      </c>
      <c r="J74" s="67" t="s">
        <v>251</v>
      </c>
    </row>
    <row r="75" customFormat="false" ht="111.75" hidden="false" customHeight="true" outlineLevel="0" collapsed="false">
      <c r="A75" s="322" t="s">
        <v>780</v>
      </c>
      <c r="B75" s="321" t="s">
        <v>781</v>
      </c>
      <c r="C75" s="322" t="s">
        <v>782</v>
      </c>
      <c r="D75" s="344" t="s">
        <v>707</v>
      </c>
      <c r="E75" s="72" t="s">
        <v>3270</v>
      </c>
      <c r="F75" s="72" t="s">
        <v>790</v>
      </c>
      <c r="G75" s="66" t="s">
        <v>3271</v>
      </c>
      <c r="H75" s="323" t="s">
        <v>3214</v>
      </c>
      <c r="I75" s="64" t="s">
        <v>789</v>
      </c>
      <c r="J75" s="65" t="s">
        <v>237</v>
      </c>
    </row>
    <row r="76" customFormat="false" ht="111.75" hidden="false" customHeight="true" outlineLevel="0" collapsed="false">
      <c r="A76" s="336" t="s">
        <v>791</v>
      </c>
      <c r="B76" s="337" t="s">
        <v>3272</v>
      </c>
      <c r="C76" s="336" t="s">
        <v>793</v>
      </c>
      <c r="D76" s="344" t="s">
        <v>707</v>
      </c>
      <c r="E76" s="72" t="s">
        <v>3270</v>
      </c>
      <c r="F76" s="72" t="s">
        <v>790</v>
      </c>
      <c r="G76" s="66" t="s">
        <v>3271</v>
      </c>
      <c r="H76" s="323" t="s">
        <v>3214</v>
      </c>
      <c r="I76" s="64" t="s">
        <v>798</v>
      </c>
      <c r="J76" s="73" t="s">
        <v>327</v>
      </c>
    </row>
    <row r="77" customFormat="false" ht="111.75" hidden="false" customHeight="true" outlineLevel="0" collapsed="false">
      <c r="A77" s="322" t="s">
        <v>799</v>
      </c>
      <c r="B77" s="321" t="s">
        <v>800</v>
      </c>
      <c r="C77" s="322" t="s">
        <v>801</v>
      </c>
      <c r="D77" s="344" t="s">
        <v>707</v>
      </c>
      <c r="E77" s="72" t="s">
        <v>3270</v>
      </c>
      <c r="F77" s="72" t="s">
        <v>790</v>
      </c>
      <c r="G77" s="66" t="s">
        <v>3271</v>
      </c>
      <c r="H77" s="323" t="s">
        <v>3214</v>
      </c>
      <c r="I77" s="64" t="s">
        <v>806</v>
      </c>
      <c r="J77" s="65" t="s">
        <v>237</v>
      </c>
    </row>
    <row r="78" customFormat="false" ht="111.75" hidden="false" customHeight="true" outlineLevel="0" collapsed="false">
      <c r="A78" s="336" t="s">
        <v>807</v>
      </c>
      <c r="B78" s="337" t="s">
        <v>3273</v>
      </c>
      <c r="C78" s="336" t="s">
        <v>809</v>
      </c>
      <c r="D78" s="344" t="s">
        <v>707</v>
      </c>
      <c r="E78" s="72" t="s">
        <v>3270</v>
      </c>
      <c r="F78" s="72" t="s">
        <v>790</v>
      </c>
      <c r="G78" s="66" t="s">
        <v>3271</v>
      </c>
      <c r="H78" s="323" t="s">
        <v>3214</v>
      </c>
      <c r="I78" s="64" t="s">
        <v>812</v>
      </c>
      <c r="J78" s="65" t="s">
        <v>237</v>
      </c>
    </row>
    <row r="79" customFormat="false" ht="111.75" hidden="false" customHeight="true" outlineLevel="0" collapsed="false">
      <c r="A79" s="322" t="s">
        <v>813</v>
      </c>
      <c r="B79" s="321" t="s">
        <v>814</v>
      </c>
      <c r="C79" s="322" t="s">
        <v>815</v>
      </c>
      <c r="D79" s="344" t="s">
        <v>707</v>
      </c>
      <c r="E79" s="72" t="s">
        <v>3270</v>
      </c>
      <c r="F79" s="72" t="s">
        <v>790</v>
      </c>
      <c r="G79" s="66" t="s">
        <v>3271</v>
      </c>
      <c r="H79" s="323" t="s">
        <v>3214</v>
      </c>
      <c r="I79" s="69" t="s">
        <v>820</v>
      </c>
      <c r="J79" s="65" t="s">
        <v>237</v>
      </c>
    </row>
    <row r="80" customFormat="false" ht="111.75" hidden="false" customHeight="true" outlineLevel="0" collapsed="false">
      <c r="A80" s="336" t="s">
        <v>821</v>
      </c>
      <c r="B80" s="337" t="s">
        <v>822</v>
      </c>
      <c r="C80" s="336" t="s">
        <v>823</v>
      </c>
      <c r="D80" s="344" t="s">
        <v>707</v>
      </c>
      <c r="E80" s="72" t="s">
        <v>3270</v>
      </c>
      <c r="F80" s="72" t="s">
        <v>790</v>
      </c>
      <c r="G80" s="66" t="s">
        <v>3271</v>
      </c>
      <c r="H80" s="323" t="s">
        <v>3214</v>
      </c>
      <c r="I80" s="64" t="s">
        <v>3215</v>
      </c>
      <c r="J80" s="67" t="s">
        <v>251</v>
      </c>
    </row>
    <row r="81" customFormat="false" ht="111.75" hidden="false" customHeight="true" outlineLevel="0" collapsed="false">
      <c r="A81" s="322" t="s">
        <v>828</v>
      </c>
      <c r="B81" s="321" t="s">
        <v>829</v>
      </c>
      <c r="C81" s="322" t="s">
        <v>830</v>
      </c>
      <c r="D81" s="344" t="s">
        <v>707</v>
      </c>
      <c r="E81" s="72" t="s">
        <v>3270</v>
      </c>
      <c r="F81" s="72" t="s">
        <v>790</v>
      </c>
      <c r="G81" s="66" t="s">
        <v>3271</v>
      </c>
      <c r="H81" s="323" t="s">
        <v>3214</v>
      </c>
      <c r="I81" s="69" t="s">
        <v>835</v>
      </c>
      <c r="J81" s="65" t="s">
        <v>237</v>
      </c>
    </row>
    <row r="82" customFormat="false" ht="111.75" hidden="false" customHeight="true" outlineLevel="0" collapsed="false">
      <c r="A82" s="336" t="s">
        <v>836</v>
      </c>
      <c r="B82" s="337" t="s">
        <v>837</v>
      </c>
      <c r="C82" s="336" t="s">
        <v>838</v>
      </c>
      <c r="D82" s="344" t="s">
        <v>707</v>
      </c>
      <c r="E82" s="72" t="s">
        <v>3270</v>
      </c>
      <c r="F82" s="72" t="s">
        <v>790</v>
      </c>
      <c r="G82" s="66" t="s">
        <v>3271</v>
      </c>
      <c r="H82" s="323" t="s">
        <v>3214</v>
      </c>
      <c r="I82" s="64" t="s">
        <v>3215</v>
      </c>
      <c r="J82" s="67" t="s">
        <v>251</v>
      </c>
    </row>
    <row r="83" customFormat="false" ht="111.75" hidden="false" customHeight="true" outlineLevel="0" collapsed="false">
      <c r="A83" s="322" t="s">
        <v>843</v>
      </c>
      <c r="B83" s="321" t="s">
        <v>844</v>
      </c>
      <c r="C83" s="322" t="s">
        <v>845</v>
      </c>
      <c r="D83" s="344" t="s">
        <v>707</v>
      </c>
      <c r="E83" s="72" t="s">
        <v>3270</v>
      </c>
      <c r="F83" s="72" t="s">
        <v>790</v>
      </c>
      <c r="G83" s="66" t="s">
        <v>3271</v>
      </c>
      <c r="H83" s="323" t="s">
        <v>3214</v>
      </c>
      <c r="I83" s="64" t="s">
        <v>848</v>
      </c>
      <c r="J83" s="73" t="s">
        <v>327</v>
      </c>
    </row>
    <row r="84" customFormat="false" ht="111.75" hidden="false" customHeight="true" outlineLevel="0" collapsed="false">
      <c r="A84" s="336" t="s">
        <v>849</v>
      </c>
      <c r="B84" s="337" t="s">
        <v>850</v>
      </c>
      <c r="C84" s="336" t="s">
        <v>851</v>
      </c>
      <c r="D84" s="344" t="s">
        <v>707</v>
      </c>
      <c r="E84" s="72" t="s">
        <v>3270</v>
      </c>
      <c r="F84" s="72" t="s">
        <v>790</v>
      </c>
      <c r="G84" s="66" t="s">
        <v>3271</v>
      </c>
      <c r="H84" s="323" t="s">
        <v>3214</v>
      </c>
      <c r="I84" s="64" t="s">
        <v>856</v>
      </c>
      <c r="J84" s="65" t="s">
        <v>237</v>
      </c>
    </row>
    <row r="85" customFormat="false" ht="111.75" hidden="false" customHeight="true" outlineLevel="0" collapsed="false">
      <c r="A85" s="322" t="s">
        <v>857</v>
      </c>
      <c r="B85" s="321" t="s">
        <v>3274</v>
      </c>
      <c r="C85" s="322" t="s">
        <v>859</v>
      </c>
      <c r="D85" s="338" t="s">
        <v>263</v>
      </c>
      <c r="E85" s="72" t="s">
        <v>3275</v>
      </c>
      <c r="F85" s="66" t="s">
        <v>864</v>
      </c>
      <c r="G85" s="72" t="s">
        <v>3276</v>
      </c>
      <c r="H85" s="323" t="s">
        <v>3218</v>
      </c>
      <c r="I85" s="64" t="s">
        <v>863</v>
      </c>
      <c r="J85" s="65" t="s">
        <v>237</v>
      </c>
    </row>
    <row r="86" customFormat="false" ht="111.75" hidden="false" customHeight="true" outlineLevel="0" collapsed="false">
      <c r="A86" s="336" t="s">
        <v>865</v>
      </c>
      <c r="B86" s="337" t="s">
        <v>866</v>
      </c>
      <c r="C86" s="336" t="s">
        <v>867</v>
      </c>
      <c r="D86" s="338" t="s">
        <v>263</v>
      </c>
      <c r="E86" s="72" t="s">
        <v>3275</v>
      </c>
      <c r="F86" s="66" t="s">
        <v>864</v>
      </c>
      <c r="G86" s="72" t="s">
        <v>3276</v>
      </c>
      <c r="H86" s="323" t="s">
        <v>3218</v>
      </c>
      <c r="I86" s="69" t="s">
        <v>870</v>
      </c>
      <c r="J86" s="65" t="s">
        <v>237</v>
      </c>
    </row>
    <row r="87" customFormat="false" ht="111.75" hidden="false" customHeight="true" outlineLevel="0" collapsed="false">
      <c r="A87" s="322" t="s">
        <v>871</v>
      </c>
      <c r="B87" s="321" t="s">
        <v>872</v>
      </c>
      <c r="C87" s="322" t="s">
        <v>873</v>
      </c>
      <c r="D87" s="338" t="s">
        <v>263</v>
      </c>
      <c r="E87" s="72" t="s">
        <v>3275</v>
      </c>
      <c r="F87" s="66" t="s">
        <v>864</v>
      </c>
      <c r="G87" s="72" t="s">
        <v>3276</v>
      </c>
      <c r="H87" s="323" t="s">
        <v>3218</v>
      </c>
      <c r="I87" s="64" t="s">
        <v>879</v>
      </c>
      <c r="J87" s="65" t="s">
        <v>237</v>
      </c>
    </row>
    <row r="88" customFormat="false" ht="111.75" hidden="false" customHeight="true" outlineLevel="0" collapsed="false">
      <c r="A88" s="336" t="s">
        <v>880</v>
      </c>
      <c r="B88" s="337" t="s">
        <v>881</v>
      </c>
      <c r="C88" s="336" t="s">
        <v>882</v>
      </c>
      <c r="D88" s="338" t="s">
        <v>263</v>
      </c>
      <c r="E88" s="72" t="s">
        <v>3275</v>
      </c>
      <c r="F88" s="66" t="s">
        <v>864</v>
      </c>
      <c r="G88" s="72" t="s">
        <v>3276</v>
      </c>
      <c r="H88" s="323" t="s">
        <v>3218</v>
      </c>
      <c r="I88" s="64" t="s">
        <v>885</v>
      </c>
      <c r="J88" s="65" t="s">
        <v>237</v>
      </c>
    </row>
    <row r="89" customFormat="false" ht="111.75" hidden="false" customHeight="true" outlineLevel="0" collapsed="false">
      <c r="A89" s="322" t="s">
        <v>886</v>
      </c>
      <c r="B89" s="321" t="s">
        <v>887</v>
      </c>
      <c r="C89" s="322" t="s">
        <v>888</v>
      </c>
      <c r="D89" s="338" t="s">
        <v>263</v>
      </c>
      <c r="E89" s="72" t="s">
        <v>3275</v>
      </c>
      <c r="F89" s="66" t="s">
        <v>864</v>
      </c>
      <c r="G89" s="72" t="s">
        <v>3276</v>
      </c>
      <c r="H89" s="323" t="s">
        <v>3218</v>
      </c>
      <c r="I89" s="69" t="s">
        <v>892</v>
      </c>
      <c r="J89" s="65" t="s">
        <v>237</v>
      </c>
    </row>
  </sheetData>
  <autoFilter ref="A4:J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6E6B"/>
    <pageSetUpPr fitToPage="false"/>
  </sheetPr>
  <dimension ref="A1:J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0"/>
    <col collapsed="false" customWidth="true" hidden="false" outlineLevel="0" max="4" min="4" style="0" width="15"/>
    <col collapsed="false" customWidth="true" hidden="false" outlineLevel="0" max="5" min="5" style="0" width="46"/>
    <col collapsed="false" customWidth="true" hidden="false" outlineLevel="0" max="6" min="6" style="0" width="60"/>
    <col collapsed="false" customWidth="true" hidden="false" outlineLevel="0" max="7" min="7" style="0" width="46"/>
    <col collapsed="false" customWidth="true" hidden="false" outlineLevel="0" max="8" min="8" style="0" width="7"/>
    <col collapsed="false" customWidth="true" hidden="false" outlineLevel="0" max="9" min="9" style="0" width="60"/>
    <col collapsed="false" customWidth="true" hidden="false" outlineLevel="0" max="10" min="10" style="0" width="7"/>
  </cols>
  <sheetData>
    <row r="1" customFormat="false" ht="23.1" hidden="false" customHeight="false" outlineLevel="0" collapsed="false">
      <c r="A1" s="318" t="s">
        <v>3277</v>
      </c>
    </row>
    <row r="2" customFormat="false" ht="15" hidden="false" customHeight="false" outlineLevel="0" collapsed="false">
      <c r="A2" s="120" t="s">
        <v>3278</v>
      </c>
    </row>
    <row r="4" customFormat="false" ht="25.5" hidden="false" customHeight="true" outlineLevel="0" collapsed="false">
      <c r="A4" s="334" t="s">
        <v>2988</v>
      </c>
      <c r="B4" s="319" t="s">
        <v>3150</v>
      </c>
      <c r="C4" s="319" t="s">
        <v>3151</v>
      </c>
      <c r="D4" s="319" t="s">
        <v>3204</v>
      </c>
      <c r="E4" s="319" t="s">
        <v>3205</v>
      </c>
      <c r="F4" s="319" t="s">
        <v>3206</v>
      </c>
      <c r="G4" s="319" t="s">
        <v>3207</v>
      </c>
      <c r="H4" s="319" t="s">
        <v>3208</v>
      </c>
      <c r="I4" s="319" t="s">
        <v>3209</v>
      </c>
      <c r="J4" s="319" t="s">
        <v>3210</v>
      </c>
    </row>
    <row r="5" customFormat="false" ht="111.75" hidden="false" customHeight="true" outlineLevel="0" collapsed="false">
      <c r="A5" s="322" t="s">
        <v>1425</v>
      </c>
      <c r="B5" s="321" t="s">
        <v>1428</v>
      </c>
      <c r="C5" s="322" t="s">
        <v>1429</v>
      </c>
      <c r="D5" s="335" t="s">
        <v>235</v>
      </c>
      <c r="E5" s="72" t="s">
        <v>3279</v>
      </c>
      <c r="F5" s="66" t="s">
        <v>1442</v>
      </c>
      <c r="G5" s="66" t="s">
        <v>3280</v>
      </c>
      <c r="H5" s="323" t="s">
        <v>3214</v>
      </c>
      <c r="I5" s="69" t="s">
        <v>1441</v>
      </c>
      <c r="J5" s="65" t="s">
        <v>237</v>
      </c>
    </row>
    <row r="6" customFormat="false" ht="111.75" hidden="false" customHeight="true" outlineLevel="0" collapsed="false">
      <c r="A6" s="336" t="s">
        <v>1443</v>
      </c>
      <c r="B6" s="337" t="s">
        <v>1444</v>
      </c>
      <c r="C6" s="336" t="s">
        <v>1445</v>
      </c>
      <c r="D6" s="335" t="s">
        <v>235</v>
      </c>
      <c r="E6" s="72" t="s">
        <v>3279</v>
      </c>
      <c r="F6" s="66" t="s">
        <v>1442</v>
      </c>
      <c r="G6" s="66" t="s">
        <v>3280</v>
      </c>
      <c r="H6" s="323" t="s">
        <v>3214</v>
      </c>
      <c r="I6" s="64" t="s">
        <v>3215</v>
      </c>
      <c r="J6" s="67" t="s">
        <v>251</v>
      </c>
    </row>
    <row r="7" customFormat="false" ht="111.75" hidden="false" customHeight="true" outlineLevel="0" collapsed="false">
      <c r="A7" s="322" t="s">
        <v>1451</v>
      </c>
      <c r="B7" s="321" t="s">
        <v>1452</v>
      </c>
      <c r="C7" s="322" t="s">
        <v>1453</v>
      </c>
      <c r="D7" s="335" t="s">
        <v>235</v>
      </c>
      <c r="E7" s="72" t="s">
        <v>3279</v>
      </c>
      <c r="F7" s="66" t="s">
        <v>1442</v>
      </c>
      <c r="G7" s="66" t="s">
        <v>3280</v>
      </c>
      <c r="H7" s="323" t="s">
        <v>3214</v>
      </c>
      <c r="I7" s="64" t="s">
        <v>3215</v>
      </c>
      <c r="J7" s="67" t="s">
        <v>251</v>
      </c>
    </row>
    <row r="8" customFormat="false" ht="111.75" hidden="false" customHeight="true" outlineLevel="0" collapsed="false">
      <c r="A8" s="336" t="s">
        <v>1459</v>
      </c>
      <c r="B8" s="337" t="s">
        <v>1460</v>
      </c>
      <c r="C8" s="336" t="s">
        <v>1461</v>
      </c>
      <c r="D8" s="335" t="s">
        <v>235</v>
      </c>
      <c r="E8" s="72" t="s">
        <v>3279</v>
      </c>
      <c r="F8" s="66" t="s">
        <v>1442</v>
      </c>
      <c r="G8" s="66" t="s">
        <v>3280</v>
      </c>
      <c r="H8" s="323" t="s">
        <v>3214</v>
      </c>
      <c r="I8" s="64" t="s">
        <v>1467</v>
      </c>
      <c r="J8" s="65" t="s">
        <v>237</v>
      </c>
    </row>
    <row r="9" customFormat="false" ht="111.75" hidden="false" customHeight="true" outlineLevel="0" collapsed="false">
      <c r="A9" s="322" t="s">
        <v>1468</v>
      </c>
      <c r="B9" s="321" t="s">
        <v>1469</v>
      </c>
      <c r="C9" s="322" t="s">
        <v>1470</v>
      </c>
      <c r="D9" s="335" t="s">
        <v>235</v>
      </c>
      <c r="E9" s="72" t="s">
        <v>3279</v>
      </c>
      <c r="F9" s="66" t="s">
        <v>1442</v>
      </c>
      <c r="G9" s="66" t="s">
        <v>3280</v>
      </c>
      <c r="H9" s="323" t="s">
        <v>3214</v>
      </c>
      <c r="I9" s="64" t="s">
        <v>3215</v>
      </c>
      <c r="J9" s="67" t="s">
        <v>251</v>
      </c>
    </row>
    <row r="10" customFormat="false" ht="111.75" hidden="false" customHeight="true" outlineLevel="0" collapsed="false">
      <c r="A10" s="336" t="s">
        <v>1475</v>
      </c>
      <c r="B10" s="337" t="s">
        <v>1476</v>
      </c>
      <c r="C10" s="336" t="s">
        <v>1477</v>
      </c>
      <c r="D10" s="335" t="s">
        <v>235</v>
      </c>
      <c r="E10" s="72" t="s">
        <v>3279</v>
      </c>
      <c r="F10" s="66" t="s">
        <v>1442</v>
      </c>
      <c r="G10" s="66" t="s">
        <v>3280</v>
      </c>
      <c r="H10" s="323" t="s">
        <v>3214</v>
      </c>
      <c r="I10" s="64" t="s">
        <v>3215</v>
      </c>
      <c r="J10" s="67" t="s">
        <v>251</v>
      </c>
    </row>
    <row r="11" customFormat="false" ht="111.75" hidden="false" customHeight="true" outlineLevel="0" collapsed="false">
      <c r="A11" s="322" t="s">
        <v>1482</v>
      </c>
      <c r="B11" s="321" t="s">
        <v>1485</v>
      </c>
      <c r="C11" s="322" t="s">
        <v>1486</v>
      </c>
      <c r="D11" s="344" t="s">
        <v>707</v>
      </c>
      <c r="E11" s="72" t="s">
        <v>3281</v>
      </c>
      <c r="F11" s="66" t="s">
        <v>1492</v>
      </c>
      <c r="G11" s="72" t="s">
        <v>3282</v>
      </c>
      <c r="H11" s="323" t="s">
        <v>3218</v>
      </c>
      <c r="I11" s="64" t="s">
        <v>3215</v>
      </c>
      <c r="J11" s="67" t="s">
        <v>251</v>
      </c>
    </row>
    <row r="12" customFormat="false" ht="111.75" hidden="false" customHeight="true" outlineLevel="0" collapsed="false">
      <c r="A12" s="336" t="s">
        <v>1493</v>
      </c>
      <c r="B12" s="337" t="s">
        <v>1494</v>
      </c>
      <c r="C12" s="336" t="s">
        <v>1495</v>
      </c>
      <c r="D12" s="344" t="s">
        <v>707</v>
      </c>
      <c r="E12" s="72" t="s">
        <v>3281</v>
      </c>
      <c r="F12" s="66" t="s">
        <v>1492</v>
      </c>
      <c r="G12" s="72" t="s">
        <v>3282</v>
      </c>
      <c r="H12" s="323" t="s">
        <v>3218</v>
      </c>
      <c r="I12" s="64" t="s">
        <v>3215</v>
      </c>
      <c r="J12" s="67" t="s">
        <v>251</v>
      </c>
    </row>
    <row r="13" customFormat="false" ht="111.75" hidden="false" customHeight="true" outlineLevel="0" collapsed="false">
      <c r="A13" s="322" t="s">
        <v>1499</v>
      </c>
      <c r="B13" s="321" t="s">
        <v>1500</v>
      </c>
      <c r="C13" s="322" t="s">
        <v>1501</v>
      </c>
      <c r="D13" s="344" t="s">
        <v>707</v>
      </c>
      <c r="E13" s="72" t="s">
        <v>3281</v>
      </c>
      <c r="F13" s="66" t="s">
        <v>1492</v>
      </c>
      <c r="G13" s="72" t="s">
        <v>3282</v>
      </c>
      <c r="H13" s="323" t="s">
        <v>3218</v>
      </c>
      <c r="I13" s="64" t="s">
        <v>3215</v>
      </c>
      <c r="J13" s="67" t="s">
        <v>251</v>
      </c>
    </row>
    <row r="14" customFormat="false" ht="111.75" hidden="false" customHeight="true" outlineLevel="0" collapsed="false">
      <c r="A14" s="336" t="s">
        <v>1506</v>
      </c>
      <c r="B14" s="337" t="s">
        <v>1507</v>
      </c>
      <c r="C14" s="336" t="s">
        <v>1508</v>
      </c>
      <c r="D14" s="344" t="s">
        <v>707</v>
      </c>
      <c r="E14" s="72" t="s">
        <v>3281</v>
      </c>
      <c r="F14" s="66" t="s">
        <v>1492</v>
      </c>
      <c r="G14" s="72" t="s">
        <v>3282</v>
      </c>
      <c r="H14" s="323" t="s">
        <v>3218</v>
      </c>
      <c r="I14" s="64" t="s">
        <v>3215</v>
      </c>
      <c r="J14" s="67" t="s">
        <v>251</v>
      </c>
    </row>
    <row r="15" customFormat="false" ht="111.75" hidden="false" customHeight="true" outlineLevel="0" collapsed="false">
      <c r="A15" s="322" t="s">
        <v>1514</v>
      </c>
      <c r="B15" s="321" t="s">
        <v>1515</v>
      </c>
      <c r="C15" s="322" t="s">
        <v>1516</v>
      </c>
      <c r="D15" s="344" t="s">
        <v>707</v>
      </c>
      <c r="E15" s="72" t="s">
        <v>3281</v>
      </c>
      <c r="F15" s="66" t="s">
        <v>1492</v>
      </c>
      <c r="G15" s="72" t="s">
        <v>3282</v>
      </c>
      <c r="H15" s="323" t="s">
        <v>3218</v>
      </c>
      <c r="I15" s="64" t="s">
        <v>3215</v>
      </c>
      <c r="J15" s="67" t="s">
        <v>251</v>
      </c>
    </row>
    <row r="16" customFormat="false" ht="111.75" hidden="false" customHeight="true" outlineLevel="0" collapsed="false">
      <c r="A16" s="336" t="s">
        <v>1520</v>
      </c>
      <c r="B16" s="337" t="s">
        <v>1521</v>
      </c>
      <c r="C16" s="336" t="s">
        <v>1522</v>
      </c>
      <c r="D16" s="344" t="s">
        <v>707</v>
      </c>
      <c r="E16" s="72" t="s">
        <v>3281</v>
      </c>
      <c r="F16" s="66" t="s">
        <v>1492</v>
      </c>
      <c r="G16" s="72" t="s">
        <v>3282</v>
      </c>
      <c r="H16" s="323" t="s">
        <v>3218</v>
      </c>
      <c r="I16" s="64" t="s">
        <v>3215</v>
      </c>
      <c r="J16" s="67" t="s">
        <v>251</v>
      </c>
    </row>
    <row r="17" customFormat="false" ht="111.75" hidden="false" customHeight="true" outlineLevel="0" collapsed="false">
      <c r="A17" s="322" t="s">
        <v>1525</v>
      </c>
      <c r="B17" s="321" t="s">
        <v>1528</v>
      </c>
      <c r="C17" s="322" t="s">
        <v>1529</v>
      </c>
      <c r="D17" s="339" t="s">
        <v>287</v>
      </c>
      <c r="E17" s="72" t="s">
        <v>3283</v>
      </c>
      <c r="F17" s="72" t="s">
        <v>1536</v>
      </c>
      <c r="G17" s="66" t="s">
        <v>3284</v>
      </c>
      <c r="H17" s="323" t="s">
        <v>3218</v>
      </c>
      <c r="I17" s="64" t="s">
        <v>3215</v>
      </c>
      <c r="J17" s="67" t="s">
        <v>251</v>
      </c>
    </row>
    <row r="18" customFormat="false" ht="111.75" hidden="false" customHeight="true" outlineLevel="0" collapsed="false">
      <c r="A18" s="336" t="s">
        <v>1537</v>
      </c>
      <c r="B18" s="337" t="s">
        <v>1538</v>
      </c>
      <c r="C18" s="336" t="s">
        <v>1539</v>
      </c>
      <c r="D18" s="339" t="s">
        <v>287</v>
      </c>
      <c r="E18" s="72" t="s">
        <v>3283</v>
      </c>
      <c r="F18" s="72" t="s">
        <v>1536</v>
      </c>
      <c r="G18" s="66" t="s">
        <v>3284</v>
      </c>
      <c r="H18" s="323" t="s">
        <v>3218</v>
      </c>
      <c r="I18" s="64" t="s">
        <v>3215</v>
      </c>
      <c r="J18" s="67" t="s">
        <v>251</v>
      </c>
    </row>
    <row r="19" customFormat="false" ht="111.75" hidden="false" customHeight="true" outlineLevel="0" collapsed="false">
      <c r="A19" s="322" t="s">
        <v>1546</v>
      </c>
      <c r="B19" s="321" t="s">
        <v>1547</v>
      </c>
      <c r="C19" s="322" t="s">
        <v>1548</v>
      </c>
      <c r="D19" s="339" t="s">
        <v>287</v>
      </c>
      <c r="E19" s="72" t="s">
        <v>3283</v>
      </c>
      <c r="F19" s="72" t="s">
        <v>1536</v>
      </c>
      <c r="G19" s="66" t="s">
        <v>3284</v>
      </c>
      <c r="H19" s="323" t="s">
        <v>3218</v>
      </c>
      <c r="I19" s="64" t="s">
        <v>1554</v>
      </c>
      <c r="J19" s="65" t="s">
        <v>237</v>
      </c>
    </row>
    <row r="20" customFormat="false" ht="111.75" hidden="false" customHeight="true" outlineLevel="0" collapsed="false">
      <c r="A20" s="336" t="s">
        <v>1555</v>
      </c>
      <c r="B20" s="337" t="s">
        <v>1557</v>
      </c>
      <c r="C20" s="336" t="s">
        <v>1558</v>
      </c>
      <c r="D20" s="339" t="s">
        <v>287</v>
      </c>
      <c r="E20" s="72" t="s">
        <v>3283</v>
      </c>
      <c r="F20" s="72" t="s">
        <v>1536</v>
      </c>
      <c r="G20" s="66" t="s">
        <v>3284</v>
      </c>
      <c r="H20" s="323" t="s">
        <v>3218</v>
      </c>
      <c r="I20" s="64" t="s">
        <v>1564</v>
      </c>
      <c r="J20" s="73" t="s">
        <v>327</v>
      </c>
    </row>
    <row r="21" customFormat="false" ht="111.75" hidden="false" customHeight="true" outlineLevel="0" collapsed="false">
      <c r="A21" s="322" t="s">
        <v>1565</v>
      </c>
      <c r="B21" s="321" t="s">
        <v>1566</v>
      </c>
      <c r="C21" s="322" t="s">
        <v>1567</v>
      </c>
      <c r="D21" s="339" t="s">
        <v>287</v>
      </c>
      <c r="E21" s="72" t="s">
        <v>3283</v>
      </c>
      <c r="F21" s="72" t="s">
        <v>1536</v>
      </c>
      <c r="G21" s="66" t="s">
        <v>3284</v>
      </c>
      <c r="H21" s="323" t="s">
        <v>3218</v>
      </c>
      <c r="I21" s="69" t="s">
        <v>1571</v>
      </c>
      <c r="J21" s="65" t="s">
        <v>237</v>
      </c>
    </row>
    <row r="22" customFormat="false" ht="111.75" hidden="false" customHeight="true" outlineLevel="0" collapsed="false">
      <c r="A22" s="336" t="s">
        <v>1572</v>
      </c>
      <c r="B22" s="337" t="s">
        <v>1573</v>
      </c>
      <c r="C22" s="336" t="s">
        <v>1574</v>
      </c>
      <c r="D22" s="339" t="s">
        <v>287</v>
      </c>
      <c r="E22" s="72" t="s">
        <v>3283</v>
      </c>
      <c r="F22" s="72" t="s">
        <v>1536</v>
      </c>
      <c r="G22" s="66" t="s">
        <v>3284</v>
      </c>
      <c r="H22" s="323" t="s">
        <v>3218</v>
      </c>
      <c r="I22" s="69" t="s">
        <v>1580</v>
      </c>
      <c r="J22" s="65" t="s">
        <v>237</v>
      </c>
    </row>
    <row r="23" customFormat="false" ht="111.75" hidden="false" customHeight="true" outlineLevel="0" collapsed="false">
      <c r="A23" s="322" t="s">
        <v>1581</v>
      </c>
      <c r="B23" s="321" t="s">
        <v>1582</v>
      </c>
      <c r="C23" s="322" t="s">
        <v>1583</v>
      </c>
      <c r="D23" s="339" t="s">
        <v>287</v>
      </c>
      <c r="E23" s="72" t="s">
        <v>3283</v>
      </c>
      <c r="F23" s="72" t="s">
        <v>1536</v>
      </c>
      <c r="G23" s="66" t="s">
        <v>3284</v>
      </c>
      <c r="H23" s="323" t="s">
        <v>3218</v>
      </c>
      <c r="I23" s="69" t="s">
        <v>1587</v>
      </c>
      <c r="J23" s="65" t="s">
        <v>237</v>
      </c>
    </row>
    <row r="24" customFormat="false" ht="111.75" hidden="false" customHeight="true" outlineLevel="0" collapsed="false">
      <c r="A24" s="336" t="s">
        <v>1588</v>
      </c>
      <c r="B24" s="336" t="s">
        <v>3285</v>
      </c>
      <c r="C24" s="336" t="s">
        <v>1592</v>
      </c>
      <c r="D24" s="341" t="s">
        <v>443</v>
      </c>
      <c r="E24" s="72" t="s">
        <v>3286</v>
      </c>
      <c r="F24" s="72" t="s">
        <v>1599</v>
      </c>
      <c r="G24" s="66" t="s">
        <v>3287</v>
      </c>
      <c r="H24" s="323" t="s">
        <v>3214</v>
      </c>
      <c r="I24" s="69" t="s">
        <v>1598</v>
      </c>
      <c r="J24" s="65" t="s">
        <v>237</v>
      </c>
    </row>
    <row r="25" customFormat="false" ht="111.75" hidden="false" customHeight="true" outlineLevel="0" collapsed="false">
      <c r="A25" s="322" t="s">
        <v>1600</v>
      </c>
      <c r="B25" s="321" t="s">
        <v>1602</v>
      </c>
      <c r="C25" s="322" t="s">
        <v>1603</v>
      </c>
      <c r="D25" s="341" t="s">
        <v>443</v>
      </c>
      <c r="E25" s="72" t="s">
        <v>3286</v>
      </c>
      <c r="F25" s="72" t="s">
        <v>1599</v>
      </c>
      <c r="G25" s="66" t="s">
        <v>3287</v>
      </c>
      <c r="H25" s="323" t="s">
        <v>3214</v>
      </c>
      <c r="I25" s="64" t="s">
        <v>3215</v>
      </c>
      <c r="J25" s="67" t="s">
        <v>251</v>
      </c>
    </row>
    <row r="26" customFormat="false" ht="111.75" hidden="false" customHeight="true" outlineLevel="0" collapsed="false">
      <c r="A26" s="336" t="s">
        <v>1607</v>
      </c>
      <c r="B26" s="337" t="s">
        <v>1608</v>
      </c>
      <c r="C26" s="336" t="s">
        <v>1609</v>
      </c>
      <c r="D26" s="341" t="s">
        <v>443</v>
      </c>
      <c r="E26" s="72" t="s">
        <v>3286</v>
      </c>
      <c r="F26" s="72" t="s">
        <v>1599</v>
      </c>
      <c r="G26" s="66" t="s">
        <v>3287</v>
      </c>
      <c r="H26" s="323" t="s">
        <v>3214</v>
      </c>
      <c r="I26" s="64" t="s">
        <v>1616</v>
      </c>
      <c r="J26" s="65" t="s">
        <v>237</v>
      </c>
    </row>
    <row r="27" customFormat="false" ht="111.75" hidden="false" customHeight="true" outlineLevel="0" collapsed="false">
      <c r="A27" s="322" t="s">
        <v>1617</v>
      </c>
      <c r="B27" s="322" t="s">
        <v>3288</v>
      </c>
      <c r="C27" s="322" t="s">
        <v>1620</v>
      </c>
      <c r="D27" s="341" t="s">
        <v>443</v>
      </c>
      <c r="E27" s="72" t="s">
        <v>3286</v>
      </c>
      <c r="F27" s="72" t="s">
        <v>1599</v>
      </c>
      <c r="G27" s="66" t="s">
        <v>3287</v>
      </c>
      <c r="H27" s="323" t="s">
        <v>3214</v>
      </c>
      <c r="I27" s="69" t="s">
        <v>1625</v>
      </c>
      <c r="J27" s="65" t="s">
        <v>237</v>
      </c>
    </row>
    <row r="28" customFormat="false" ht="111.75" hidden="false" customHeight="true" outlineLevel="0" collapsed="false">
      <c r="A28" s="336" t="s">
        <v>1626</v>
      </c>
      <c r="B28" s="336" t="s">
        <v>3289</v>
      </c>
      <c r="C28" s="336" t="s">
        <v>1628</v>
      </c>
      <c r="D28" s="341" t="s">
        <v>443</v>
      </c>
      <c r="E28" s="72" t="s">
        <v>3286</v>
      </c>
      <c r="F28" s="72" t="s">
        <v>1599</v>
      </c>
      <c r="G28" s="66" t="s">
        <v>3287</v>
      </c>
      <c r="H28" s="323" t="s">
        <v>3214</v>
      </c>
      <c r="I28" s="64" t="s">
        <v>1632</v>
      </c>
      <c r="J28" s="65" t="s">
        <v>237</v>
      </c>
    </row>
    <row r="29" customFormat="false" ht="111.75" hidden="false" customHeight="true" outlineLevel="0" collapsed="false">
      <c r="A29" s="322" t="s">
        <v>1633</v>
      </c>
      <c r="B29" s="321" t="s">
        <v>1634</v>
      </c>
      <c r="C29" s="322" t="s">
        <v>1635</v>
      </c>
      <c r="D29" s="341" t="s">
        <v>443</v>
      </c>
      <c r="E29" s="72" t="s">
        <v>3286</v>
      </c>
      <c r="F29" s="72" t="s">
        <v>1599</v>
      </c>
      <c r="G29" s="66" t="s">
        <v>3287</v>
      </c>
      <c r="H29" s="323" t="s">
        <v>3214</v>
      </c>
      <c r="I29" s="64" t="s">
        <v>1640</v>
      </c>
      <c r="J29" s="65" t="s">
        <v>237</v>
      </c>
    </row>
    <row r="30" customFormat="false" ht="111.75" hidden="false" customHeight="true" outlineLevel="0" collapsed="false">
      <c r="A30" s="336" t="s">
        <v>1641</v>
      </c>
      <c r="B30" s="337" t="s">
        <v>1642</v>
      </c>
      <c r="C30" s="336" t="s">
        <v>1643</v>
      </c>
      <c r="D30" s="341" t="s">
        <v>443</v>
      </c>
      <c r="E30" s="72" t="s">
        <v>3286</v>
      </c>
      <c r="F30" s="72" t="s">
        <v>1599</v>
      </c>
      <c r="G30" s="66" t="s">
        <v>3287</v>
      </c>
      <c r="H30" s="323" t="s">
        <v>3214</v>
      </c>
      <c r="I30" s="69" t="s">
        <v>1648</v>
      </c>
      <c r="J30" s="65" t="s">
        <v>237</v>
      </c>
    </row>
    <row r="31" customFormat="false" ht="111.75" hidden="false" customHeight="true" outlineLevel="0" collapsed="false">
      <c r="A31" s="322" t="s">
        <v>1649</v>
      </c>
      <c r="B31" s="321" t="s">
        <v>1652</v>
      </c>
      <c r="C31" s="322" t="s">
        <v>1653</v>
      </c>
      <c r="D31" s="340" t="s">
        <v>367</v>
      </c>
      <c r="E31" s="66" t="s">
        <v>3290</v>
      </c>
      <c r="F31" s="66" t="s">
        <v>1661</v>
      </c>
      <c r="G31" s="72" t="s">
        <v>3291</v>
      </c>
      <c r="H31" s="323" t="s">
        <v>3214</v>
      </c>
      <c r="I31" s="64" t="s">
        <v>3215</v>
      </c>
      <c r="J31" s="67" t="s">
        <v>251</v>
      </c>
    </row>
    <row r="32" customFormat="false" ht="111.75" hidden="false" customHeight="true" outlineLevel="0" collapsed="false">
      <c r="A32" s="336" t="s">
        <v>1662</v>
      </c>
      <c r="B32" s="337" t="s">
        <v>3292</v>
      </c>
      <c r="C32" s="336" t="s">
        <v>1664</v>
      </c>
      <c r="D32" s="340" t="s">
        <v>367</v>
      </c>
      <c r="E32" s="66" t="s">
        <v>3290</v>
      </c>
      <c r="F32" s="66" t="s">
        <v>1661</v>
      </c>
      <c r="G32" s="72" t="s">
        <v>3291</v>
      </c>
      <c r="H32" s="323" t="s">
        <v>3214</v>
      </c>
      <c r="I32" s="64" t="s">
        <v>1673</v>
      </c>
      <c r="J32" s="65" t="s">
        <v>237</v>
      </c>
    </row>
    <row r="33" customFormat="false" ht="111.75" hidden="false" customHeight="true" outlineLevel="0" collapsed="false">
      <c r="A33" s="322" t="s">
        <v>1674</v>
      </c>
      <c r="B33" s="321" t="s">
        <v>3293</v>
      </c>
      <c r="C33" s="322" t="s">
        <v>1676</v>
      </c>
      <c r="D33" s="340" t="s">
        <v>367</v>
      </c>
      <c r="E33" s="66" t="s">
        <v>3290</v>
      </c>
      <c r="F33" s="66" t="s">
        <v>1661</v>
      </c>
      <c r="G33" s="72" t="s">
        <v>3291</v>
      </c>
      <c r="H33" s="323" t="s">
        <v>3214</v>
      </c>
      <c r="I33" s="69" t="s">
        <v>1682</v>
      </c>
      <c r="J33" s="65" t="s">
        <v>237</v>
      </c>
    </row>
    <row r="34" customFormat="false" ht="111.75" hidden="false" customHeight="true" outlineLevel="0" collapsed="false">
      <c r="A34" s="336" t="s">
        <v>1683</v>
      </c>
      <c r="B34" s="337" t="s">
        <v>1684</v>
      </c>
      <c r="C34" s="336" t="s">
        <v>1685</v>
      </c>
      <c r="D34" s="340" t="s">
        <v>367</v>
      </c>
      <c r="E34" s="66" t="s">
        <v>3290</v>
      </c>
      <c r="F34" s="66" t="s">
        <v>1661</v>
      </c>
      <c r="G34" s="72" t="s">
        <v>3291</v>
      </c>
      <c r="H34" s="323" t="s">
        <v>3214</v>
      </c>
      <c r="I34" s="64" t="s">
        <v>3215</v>
      </c>
      <c r="J34" s="67" t="s">
        <v>251</v>
      </c>
    </row>
    <row r="35" customFormat="false" ht="111.75" hidden="false" customHeight="true" outlineLevel="0" collapsed="false">
      <c r="A35" s="322" t="s">
        <v>1692</v>
      </c>
      <c r="B35" s="321" t="s">
        <v>1693</v>
      </c>
      <c r="C35" s="322" t="s">
        <v>1694</v>
      </c>
      <c r="D35" s="340" t="s">
        <v>367</v>
      </c>
      <c r="E35" s="66" t="s">
        <v>3290</v>
      </c>
      <c r="F35" s="66" t="s">
        <v>1661</v>
      </c>
      <c r="G35" s="72" t="s">
        <v>3291</v>
      </c>
      <c r="H35" s="323" t="s">
        <v>3214</v>
      </c>
      <c r="I35" s="64" t="s">
        <v>3215</v>
      </c>
      <c r="J35" s="67" t="s">
        <v>251</v>
      </c>
    </row>
    <row r="36" customFormat="false" ht="111.75" hidden="false" customHeight="true" outlineLevel="0" collapsed="false">
      <c r="A36" s="336" t="s">
        <v>1701</v>
      </c>
      <c r="B36" s="337" t="s">
        <v>1702</v>
      </c>
      <c r="C36" s="336" t="s">
        <v>1703</v>
      </c>
      <c r="D36" s="340" t="s">
        <v>367</v>
      </c>
      <c r="E36" s="66" t="s">
        <v>3290</v>
      </c>
      <c r="F36" s="66" t="s">
        <v>1661</v>
      </c>
      <c r="G36" s="72" t="s">
        <v>3291</v>
      </c>
      <c r="H36" s="323" t="s">
        <v>3214</v>
      </c>
      <c r="I36" s="69" t="s">
        <v>1709</v>
      </c>
      <c r="J36" s="65" t="s">
        <v>237</v>
      </c>
    </row>
    <row r="37" customFormat="false" ht="111.75" hidden="false" customHeight="true" outlineLevel="0" collapsed="false">
      <c r="A37" s="322" t="s">
        <v>1710</v>
      </c>
      <c r="B37" s="322" t="s">
        <v>3294</v>
      </c>
      <c r="C37" s="322" t="s">
        <v>1714</v>
      </c>
      <c r="D37" s="342" t="s">
        <v>498</v>
      </c>
      <c r="E37" s="66" t="s">
        <v>3295</v>
      </c>
      <c r="F37" s="66" t="s">
        <v>1721</v>
      </c>
      <c r="G37" s="72" t="s">
        <v>3296</v>
      </c>
      <c r="H37" s="323" t="s">
        <v>3214</v>
      </c>
      <c r="I37" s="64" t="s">
        <v>1720</v>
      </c>
      <c r="J37" s="65" t="s">
        <v>237</v>
      </c>
    </row>
    <row r="38" customFormat="false" ht="111.75" hidden="false" customHeight="true" outlineLevel="0" collapsed="false">
      <c r="A38" s="336" t="s">
        <v>1722</v>
      </c>
      <c r="B38" s="336" t="s">
        <v>3297</v>
      </c>
      <c r="C38" s="336" t="s">
        <v>1724</v>
      </c>
      <c r="D38" s="342" t="s">
        <v>498</v>
      </c>
      <c r="E38" s="66" t="s">
        <v>3295</v>
      </c>
      <c r="F38" s="66" t="s">
        <v>1721</v>
      </c>
      <c r="G38" s="72" t="s">
        <v>3296</v>
      </c>
      <c r="H38" s="323" t="s">
        <v>3214</v>
      </c>
      <c r="I38" s="69" t="s">
        <v>1729</v>
      </c>
      <c r="J38" s="65" t="s">
        <v>237</v>
      </c>
    </row>
    <row r="39" customFormat="false" ht="111.75" hidden="false" customHeight="true" outlineLevel="0" collapsed="false">
      <c r="A39" s="322" t="s">
        <v>1730</v>
      </c>
      <c r="B39" s="321" t="s">
        <v>1731</v>
      </c>
      <c r="C39" s="322" t="s">
        <v>1732</v>
      </c>
      <c r="D39" s="342" t="s">
        <v>498</v>
      </c>
      <c r="E39" s="66" t="s">
        <v>3295</v>
      </c>
      <c r="F39" s="66" t="s">
        <v>1721</v>
      </c>
      <c r="G39" s="72" t="s">
        <v>3296</v>
      </c>
      <c r="H39" s="323" t="s">
        <v>3214</v>
      </c>
      <c r="I39" s="69" t="s">
        <v>1738</v>
      </c>
      <c r="J39" s="65" t="s">
        <v>237</v>
      </c>
    </row>
    <row r="40" customFormat="false" ht="111.75" hidden="false" customHeight="true" outlineLevel="0" collapsed="false">
      <c r="A40" s="336" t="s">
        <v>1739</v>
      </c>
      <c r="B40" s="337" t="s">
        <v>1740</v>
      </c>
      <c r="C40" s="336" t="s">
        <v>1741</v>
      </c>
      <c r="D40" s="342" t="s">
        <v>498</v>
      </c>
      <c r="E40" s="66" t="s">
        <v>3295</v>
      </c>
      <c r="F40" s="66" t="s">
        <v>1721</v>
      </c>
      <c r="G40" s="72" t="s">
        <v>3296</v>
      </c>
      <c r="H40" s="323" t="s">
        <v>3214</v>
      </c>
      <c r="I40" s="64" t="s">
        <v>1746</v>
      </c>
      <c r="J40" s="73" t="s">
        <v>327</v>
      </c>
    </row>
    <row r="41" customFormat="false" ht="111.75" hidden="false" customHeight="true" outlineLevel="0" collapsed="false">
      <c r="A41" s="322" t="s">
        <v>1747</v>
      </c>
      <c r="B41" s="321" t="s">
        <v>1748</v>
      </c>
      <c r="C41" s="322" t="s">
        <v>1749</v>
      </c>
      <c r="D41" s="342" t="s">
        <v>498</v>
      </c>
      <c r="E41" s="66" t="s">
        <v>3295</v>
      </c>
      <c r="F41" s="66" t="s">
        <v>1721</v>
      </c>
      <c r="G41" s="72" t="s">
        <v>3296</v>
      </c>
      <c r="H41" s="323" t="s">
        <v>3214</v>
      </c>
      <c r="I41" s="69" t="s">
        <v>1755</v>
      </c>
      <c r="J41" s="65" t="s">
        <v>237</v>
      </c>
    </row>
    <row r="42" customFormat="false" ht="111.75" hidden="false" customHeight="true" outlineLevel="0" collapsed="false">
      <c r="A42" s="336" t="s">
        <v>1756</v>
      </c>
      <c r="B42" s="337" t="s">
        <v>3298</v>
      </c>
      <c r="C42" s="336" t="s">
        <v>1758</v>
      </c>
      <c r="D42" s="342" t="s">
        <v>498</v>
      </c>
      <c r="E42" s="66" t="s">
        <v>3295</v>
      </c>
      <c r="F42" s="66" t="s">
        <v>1721</v>
      </c>
      <c r="G42" s="72" t="s">
        <v>3296</v>
      </c>
      <c r="H42" s="323" t="s">
        <v>3214</v>
      </c>
      <c r="I42" s="64" t="s">
        <v>3215</v>
      </c>
      <c r="J42" s="67" t="s">
        <v>251</v>
      </c>
    </row>
    <row r="43" customFormat="false" ht="111.75" hidden="false" customHeight="true" outlineLevel="0" collapsed="false">
      <c r="A43" s="322" t="s">
        <v>1765</v>
      </c>
      <c r="B43" s="321" t="s">
        <v>3299</v>
      </c>
      <c r="C43" s="322" t="s">
        <v>1767</v>
      </c>
      <c r="D43" s="342" t="s">
        <v>498</v>
      </c>
      <c r="E43" s="66" t="s">
        <v>3295</v>
      </c>
      <c r="F43" s="66" t="s">
        <v>1721</v>
      </c>
      <c r="G43" s="72" t="s">
        <v>3296</v>
      </c>
      <c r="H43" s="323" t="s">
        <v>3214</v>
      </c>
      <c r="I43" s="64" t="s">
        <v>1774</v>
      </c>
      <c r="J43" s="65" t="s">
        <v>237</v>
      </c>
    </row>
    <row r="44" customFormat="false" ht="111.75" hidden="false" customHeight="true" outlineLevel="0" collapsed="false">
      <c r="A44" s="336" t="s">
        <v>1775</v>
      </c>
      <c r="B44" s="337" t="s">
        <v>3300</v>
      </c>
      <c r="C44" s="336" t="s">
        <v>1779</v>
      </c>
      <c r="D44" s="344" t="s">
        <v>707</v>
      </c>
      <c r="E44" s="66" t="s">
        <v>3301</v>
      </c>
      <c r="F44" s="72" t="s">
        <v>1784</v>
      </c>
      <c r="G44" s="72" t="s">
        <v>3302</v>
      </c>
      <c r="H44" s="323" t="s">
        <v>3214</v>
      </c>
      <c r="I44" s="64" t="s">
        <v>1783</v>
      </c>
      <c r="J44" s="65" t="s">
        <v>237</v>
      </c>
    </row>
    <row r="45" customFormat="false" ht="111.75" hidden="false" customHeight="true" outlineLevel="0" collapsed="false">
      <c r="A45" s="322" t="s">
        <v>1785</v>
      </c>
      <c r="B45" s="321" t="s">
        <v>1786</v>
      </c>
      <c r="C45" s="322" t="s">
        <v>1787</v>
      </c>
      <c r="D45" s="344" t="s">
        <v>707</v>
      </c>
      <c r="E45" s="66" t="s">
        <v>3301</v>
      </c>
      <c r="F45" s="72" t="s">
        <v>1784</v>
      </c>
      <c r="G45" s="72" t="s">
        <v>3302</v>
      </c>
      <c r="H45" s="323" t="s">
        <v>3214</v>
      </c>
      <c r="I45" s="64" t="s">
        <v>3215</v>
      </c>
      <c r="J45" s="67" t="s">
        <v>251</v>
      </c>
    </row>
    <row r="46" customFormat="false" ht="111.75" hidden="false" customHeight="true" outlineLevel="0" collapsed="false">
      <c r="A46" s="336" t="s">
        <v>1792</v>
      </c>
      <c r="B46" s="337" t="s">
        <v>1793</v>
      </c>
      <c r="C46" s="336" t="s">
        <v>1794</v>
      </c>
      <c r="D46" s="344" t="s">
        <v>707</v>
      </c>
      <c r="E46" s="66" t="s">
        <v>3301</v>
      </c>
      <c r="F46" s="72" t="s">
        <v>1784</v>
      </c>
      <c r="G46" s="72" t="s">
        <v>3302</v>
      </c>
      <c r="H46" s="323" t="s">
        <v>3214</v>
      </c>
      <c r="I46" s="64" t="s">
        <v>1798</v>
      </c>
      <c r="J46" s="73" t="s">
        <v>327</v>
      </c>
    </row>
    <row r="47" customFormat="false" ht="111.75" hidden="false" customHeight="true" outlineLevel="0" collapsed="false">
      <c r="A47" s="322" t="s">
        <v>1799</v>
      </c>
      <c r="B47" s="321" t="s">
        <v>1800</v>
      </c>
      <c r="C47" s="322" t="s">
        <v>1801</v>
      </c>
      <c r="D47" s="344" t="s">
        <v>707</v>
      </c>
      <c r="E47" s="66" t="s">
        <v>3301</v>
      </c>
      <c r="F47" s="72" t="s">
        <v>1784</v>
      </c>
      <c r="G47" s="72" t="s">
        <v>3302</v>
      </c>
      <c r="H47" s="323" t="s">
        <v>3214</v>
      </c>
      <c r="I47" s="69" t="s">
        <v>1805</v>
      </c>
      <c r="J47" s="73" t="s">
        <v>327</v>
      </c>
    </row>
    <row r="48" customFormat="false" ht="111.75" hidden="false" customHeight="true" outlineLevel="0" collapsed="false">
      <c r="A48" s="336" t="s">
        <v>1806</v>
      </c>
      <c r="B48" s="337" t="s">
        <v>1807</v>
      </c>
      <c r="C48" s="336" t="s">
        <v>1808</v>
      </c>
      <c r="D48" s="344" t="s">
        <v>707</v>
      </c>
      <c r="E48" s="66" t="s">
        <v>3301</v>
      </c>
      <c r="F48" s="72" t="s">
        <v>1784</v>
      </c>
      <c r="G48" s="72" t="s">
        <v>3302</v>
      </c>
      <c r="H48" s="323" t="s">
        <v>3214</v>
      </c>
      <c r="I48" s="69" t="s">
        <v>1815</v>
      </c>
      <c r="J48" s="65" t="s">
        <v>237</v>
      </c>
    </row>
    <row r="49" customFormat="false" ht="111.75" hidden="false" customHeight="true" outlineLevel="0" collapsed="false">
      <c r="A49" s="322" t="s">
        <v>1816</v>
      </c>
      <c r="B49" s="321" t="s">
        <v>1819</v>
      </c>
      <c r="C49" s="322" t="s">
        <v>1820</v>
      </c>
      <c r="D49" s="344" t="s">
        <v>707</v>
      </c>
      <c r="E49" s="72" t="s">
        <v>3303</v>
      </c>
      <c r="F49" s="72" t="s">
        <v>1827</v>
      </c>
      <c r="G49" s="66" t="s">
        <v>3304</v>
      </c>
      <c r="H49" s="323" t="s">
        <v>3214</v>
      </c>
      <c r="I49" s="64" t="s">
        <v>1826</v>
      </c>
      <c r="J49" s="65" t="s">
        <v>237</v>
      </c>
    </row>
    <row r="50" customFormat="false" ht="111.75" hidden="false" customHeight="true" outlineLevel="0" collapsed="false">
      <c r="A50" s="336" t="s">
        <v>1828</v>
      </c>
      <c r="B50" s="337" t="s">
        <v>1829</v>
      </c>
      <c r="C50" s="336" t="s">
        <v>1830</v>
      </c>
      <c r="D50" s="344" t="s">
        <v>707</v>
      </c>
      <c r="E50" s="72" t="s">
        <v>3303</v>
      </c>
      <c r="F50" s="72" t="s">
        <v>1827</v>
      </c>
      <c r="G50" s="66" t="s">
        <v>3304</v>
      </c>
      <c r="H50" s="323" t="s">
        <v>3214</v>
      </c>
      <c r="I50" s="64" t="s">
        <v>1833</v>
      </c>
      <c r="J50" s="65" t="s">
        <v>237</v>
      </c>
    </row>
    <row r="51" customFormat="false" ht="111.75" hidden="false" customHeight="true" outlineLevel="0" collapsed="false">
      <c r="A51" s="322" t="s">
        <v>1834</v>
      </c>
      <c r="B51" s="321" t="s">
        <v>1835</v>
      </c>
      <c r="C51" s="322" t="s">
        <v>1836</v>
      </c>
      <c r="D51" s="344" t="s">
        <v>707</v>
      </c>
      <c r="E51" s="72" t="s">
        <v>3303</v>
      </c>
      <c r="F51" s="72" t="s">
        <v>1827</v>
      </c>
      <c r="G51" s="66" t="s">
        <v>3304</v>
      </c>
      <c r="H51" s="323" t="s">
        <v>3214</v>
      </c>
      <c r="I51" s="64" t="s">
        <v>3215</v>
      </c>
      <c r="J51" s="67" t="s">
        <v>251</v>
      </c>
    </row>
    <row r="52" customFormat="false" ht="111.75" hidden="false" customHeight="true" outlineLevel="0" collapsed="false">
      <c r="A52" s="336" t="s">
        <v>1841</v>
      </c>
      <c r="B52" s="337" t="s">
        <v>1842</v>
      </c>
      <c r="C52" s="336" t="s">
        <v>1843</v>
      </c>
      <c r="D52" s="344" t="s">
        <v>707</v>
      </c>
      <c r="E52" s="72" t="s">
        <v>3303</v>
      </c>
      <c r="F52" s="72" t="s">
        <v>1827</v>
      </c>
      <c r="G52" s="66" t="s">
        <v>3304</v>
      </c>
      <c r="H52" s="323" t="s">
        <v>3214</v>
      </c>
      <c r="I52" s="69" t="s">
        <v>1848</v>
      </c>
      <c r="J52" s="65" t="s">
        <v>237</v>
      </c>
    </row>
    <row r="53" customFormat="false" ht="111.75" hidden="false" customHeight="true" outlineLevel="0" collapsed="false">
      <c r="A53" s="322" t="s">
        <v>1849</v>
      </c>
      <c r="B53" s="321" t="s">
        <v>1850</v>
      </c>
      <c r="C53" s="322" t="s">
        <v>1851</v>
      </c>
      <c r="D53" s="344" t="s">
        <v>707</v>
      </c>
      <c r="E53" s="72" t="s">
        <v>3303</v>
      </c>
      <c r="F53" s="72" t="s">
        <v>1827</v>
      </c>
      <c r="G53" s="66" t="s">
        <v>3304</v>
      </c>
      <c r="H53" s="323" t="s">
        <v>3214</v>
      </c>
      <c r="I53" s="64" t="s">
        <v>3215</v>
      </c>
      <c r="J53" s="67" t="s">
        <v>251</v>
      </c>
    </row>
    <row r="54" customFormat="false" ht="111.75" hidden="false" customHeight="true" outlineLevel="0" collapsed="false">
      <c r="A54" s="336" t="s">
        <v>1858</v>
      </c>
      <c r="B54" s="337" t="s">
        <v>1861</v>
      </c>
      <c r="C54" s="336" t="s">
        <v>1862</v>
      </c>
      <c r="D54" s="344" t="s">
        <v>707</v>
      </c>
      <c r="E54" s="72" t="s">
        <v>3305</v>
      </c>
      <c r="F54" s="66" t="s">
        <v>1869</v>
      </c>
      <c r="G54" s="72" t="s">
        <v>3306</v>
      </c>
      <c r="H54" s="323" t="s">
        <v>3218</v>
      </c>
      <c r="I54" s="64" t="s">
        <v>1868</v>
      </c>
      <c r="J54" s="65" t="s">
        <v>237</v>
      </c>
    </row>
    <row r="55" customFormat="false" ht="111.75" hidden="false" customHeight="true" outlineLevel="0" collapsed="false">
      <c r="A55" s="322" t="s">
        <v>1870</v>
      </c>
      <c r="B55" s="321" t="s">
        <v>3307</v>
      </c>
      <c r="C55" s="322" t="s">
        <v>1872</v>
      </c>
      <c r="D55" s="344" t="s">
        <v>707</v>
      </c>
      <c r="E55" s="72" t="s">
        <v>3305</v>
      </c>
      <c r="F55" s="66" t="s">
        <v>1869</v>
      </c>
      <c r="G55" s="72" t="s">
        <v>3306</v>
      </c>
      <c r="H55" s="323" t="s">
        <v>3218</v>
      </c>
      <c r="I55" s="64" t="s">
        <v>3215</v>
      </c>
      <c r="J55" s="67" t="s">
        <v>251</v>
      </c>
    </row>
    <row r="56" customFormat="false" ht="111.75" hidden="false" customHeight="true" outlineLevel="0" collapsed="false">
      <c r="A56" s="336" t="s">
        <v>1878</v>
      </c>
      <c r="B56" s="337" t="s">
        <v>1879</v>
      </c>
      <c r="C56" s="336" t="s">
        <v>1880</v>
      </c>
      <c r="D56" s="344" t="s">
        <v>707</v>
      </c>
      <c r="E56" s="72" t="s">
        <v>3305</v>
      </c>
      <c r="F56" s="66" t="s">
        <v>1869</v>
      </c>
      <c r="G56" s="72" t="s">
        <v>3306</v>
      </c>
      <c r="H56" s="323" t="s">
        <v>3218</v>
      </c>
      <c r="I56" s="64" t="s">
        <v>1884</v>
      </c>
      <c r="J56" s="65" t="s">
        <v>237</v>
      </c>
    </row>
    <row r="57" customFormat="false" ht="111.75" hidden="false" customHeight="true" outlineLevel="0" collapsed="false">
      <c r="A57" s="322" t="s">
        <v>1885</v>
      </c>
      <c r="B57" s="322" t="s">
        <v>3308</v>
      </c>
      <c r="C57" s="322" t="s">
        <v>1888</v>
      </c>
      <c r="D57" s="344" t="s">
        <v>707</v>
      </c>
      <c r="E57" s="72" t="s">
        <v>3305</v>
      </c>
      <c r="F57" s="66" t="s">
        <v>1869</v>
      </c>
      <c r="G57" s="72" t="s">
        <v>3306</v>
      </c>
      <c r="H57" s="323" t="s">
        <v>3218</v>
      </c>
      <c r="I57" s="64" t="s">
        <v>1893</v>
      </c>
      <c r="J57" s="67" t="s">
        <v>251</v>
      </c>
    </row>
    <row r="58" customFormat="false" ht="111.75" hidden="false" customHeight="true" outlineLevel="0" collapsed="false">
      <c r="A58" s="336" t="s">
        <v>1894</v>
      </c>
      <c r="B58" s="337" t="s">
        <v>1895</v>
      </c>
      <c r="C58" s="336" t="s">
        <v>1896</v>
      </c>
      <c r="D58" s="344" t="s">
        <v>707</v>
      </c>
      <c r="E58" s="72" t="s">
        <v>3305</v>
      </c>
      <c r="F58" s="66" t="s">
        <v>1869</v>
      </c>
      <c r="G58" s="72" t="s">
        <v>3306</v>
      </c>
      <c r="H58" s="323" t="s">
        <v>3218</v>
      </c>
      <c r="I58" s="64" t="s">
        <v>3215</v>
      </c>
      <c r="J58" s="67" t="s">
        <v>251</v>
      </c>
    </row>
    <row r="59" customFormat="false" ht="111.75" hidden="false" customHeight="true" outlineLevel="0" collapsed="false">
      <c r="A59" s="322" t="s">
        <v>1902</v>
      </c>
      <c r="B59" s="321" t="s">
        <v>1905</v>
      </c>
      <c r="C59" s="322" t="s">
        <v>1906</v>
      </c>
      <c r="D59" s="338" t="s">
        <v>263</v>
      </c>
      <c r="E59" s="66" t="s">
        <v>3309</v>
      </c>
      <c r="F59" s="66" t="s">
        <v>1913</v>
      </c>
      <c r="G59" s="66" t="s">
        <v>3310</v>
      </c>
      <c r="H59" s="323" t="s">
        <v>3218</v>
      </c>
      <c r="I59" s="69" t="s">
        <v>1912</v>
      </c>
      <c r="J59" s="65" t="s">
        <v>237</v>
      </c>
    </row>
    <row r="60" customFormat="false" ht="111.75" hidden="false" customHeight="true" outlineLevel="0" collapsed="false">
      <c r="A60" s="336" t="s">
        <v>1914</v>
      </c>
      <c r="B60" s="337" t="s">
        <v>1915</v>
      </c>
      <c r="C60" s="336" t="s">
        <v>1916</v>
      </c>
      <c r="D60" s="338" t="s">
        <v>263</v>
      </c>
      <c r="E60" s="66" t="s">
        <v>3309</v>
      </c>
      <c r="F60" s="66" t="s">
        <v>1913</v>
      </c>
      <c r="G60" s="66" t="s">
        <v>3310</v>
      </c>
      <c r="H60" s="323" t="s">
        <v>3218</v>
      </c>
      <c r="I60" s="69" t="s">
        <v>1922</v>
      </c>
      <c r="J60" s="65" t="s">
        <v>237</v>
      </c>
    </row>
    <row r="61" customFormat="false" ht="111.75" hidden="false" customHeight="true" outlineLevel="0" collapsed="false">
      <c r="A61" s="322" t="s">
        <v>1923</v>
      </c>
      <c r="B61" s="321" t="s">
        <v>1924</v>
      </c>
      <c r="C61" s="322" t="s">
        <v>1925</v>
      </c>
      <c r="D61" s="338" t="s">
        <v>263</v>
      </c>
      <c r="E61" s="66" t="s">
        <v>3309</v>
      </c>
      <c r="F61" s="66" t="s">
        <v>1913</v>
      </c>
      <c r="G61" s="66" t="s">
        <v>3310</v>
      </c>
      <c r="H61" s="323" t="s">
        <v>3218</v>
      </c>
      <c r="I61" s="64" t="s">
        <v>1931</v>
      </c>
      <c r="J61" s="65" t="s">
        <v>237</v>
      </c>
    </row>
    <row r="62" customFormat="false" ht="111.75" hidden="false" customHeight="true" outlineLevel="0" collapsed="false">
      <c r="A62" s="336" t="s">
        <v>1932</v>
      </c>
      <c r="B62" s="337" t="s">
        <v>1934</v>
      </c>
      <c r="C62" s="336" t="s">
        <v>1935</v>
      </c>
      <c r="D62" s="338" t="s">
        <v>263</v>
      </c>
      <c r="E62" s="66" t="s">
        <v>3309</v>
      </c>
      <c r="F62" s="66" t="s">
        <v>1913</v>
      </c>
      <c r="G62" s="66" t="s">
        <v>3310</v>
      </c>
      <c r="H62" s="323" t="s">
        <v>3218</v>
      </c>
      <c r="I62" s="64" t="s">
        <v>1940</v>
      </c>
      <c r="J62" s="65" t="s">
        <v>237</v>
      </c>
    </row>
    <row r="63" customFormat="false" ht="111.75" hidden="false" customHeight="true" outlineLevel="0" collapsed="false">
      <c r="A63" s="322" t="s">
        <v>1941</v>
      </c>
      <c r="B63" s="322" t="s">
        <v>3311</v>
      </c>
      <c r="C63" s="322" t="s">
        <v>1943</v>
      </c>
      <c r="D63" s="338" t="s">
        <v>263</v>
      </c>
      <c r="E63" s="66" t="s">
        <v>3309</v>
      </c>
      <c r="F63" s="66" t="s">
        <v>1913</v>
      </c>
      <c r="G63" s="66" t="s">
        <v>3310</v>
      </c>
      <c r="H63" s="323" t="s">
        <v>3218</v>
      </c>
      <c r="I63" s="64" t="s">
        <v>1947</v>
      </c>
      <c r="J63" s="65" t="s">
        <v>237</v>
      </c>
    </row>
    <row r="64" customFormat="false" ht="111.75" hidden="false" customHeight="true" outlineLevel="0" collapsed="false">
      <c r="A64" s="336" t="s">
        <v>1948</v>
      </c>
      <c r="B64" s="337" t="s">
        <v>1949</v>
      </c>
      <c r="C64" s="336" t="s">
        <v>1950</v>
      </c>
      <c r="D64" s="338" t="s">
        <v>263</v>
      </c>
      <c r="E64" s="66" t="s">
        <v>3309</v>
      </c>
      <c r="F64" s="66" t="s">
        <v>1913</v>
      </c>
      <c r="G64" s="66" t="s">
        <v>3310</v>
      </c>
      <c r="H64" s="323" t="s">
        <v>3218</v>
      </c>
      <c r="I64" s="69" t="s">
        <v>1955</v>
      </c>
      <c r="J64" s="65" t="s">
        <v>237</v>
      </c>
    </row>
  </sheetData>
  <autoFilter ref="A4:J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6E6B"/>
    <pageSetUpPr fitToPage="false"/>
  </sheetPr>
  <dimension ref="A1:C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8"/>
    <col collapsed="false" customWidth="true" hidden="false" outlineLevel="0" max="3" min="3" style="0" width="96"/>
  </cols>
  <sheetData>
    <row r="1" customFormat="false" ht="23.1" hidden="false" customHeight="false" outlineLevel="0" collapsed="false">
      <c r="A1" s="318" t="s">
        <v>3312</v>
      </c>
    </row>
    <row r="2" customFormat="false" ht="15" hidden="false" customHeight="false" outlineLevel="0" collapsed="false">
      <c r="A2" s="120" t="s">
        <v>3313</v>
      </c>
    </row>
    <row r="4" customFormat="false" ht="25.5" hidden="false" customHeight="true" outlineLevel="0" collapsed="false">
      <c r="A4" s="334" t="s">
        <v>902</v>
      </c>
      <c r="B4" s="319" t="s">
        <v>3314</v>
      </c>
      <c r="C4" s="319" t="s">
        <v>3315</v>
      </c>
    </row>
    <row r="5" customFormat="false" ht="15" hidden="false" customHeight="false" outlineLevel="0" collapsed="false">
      <c r="A5" s="345" t="n">
        <v>1</v>
      </c>
      <c r="B5" s="346" t="s">
        <v>3316</v>
      </c>
      <c r="C5" s="347" t="s">
        <v>3317</v>
      </c>
    </row>
    <row r="6" customFormat="false" ht="15" hidden="false" customHeight="false" outlineLevel="0" collapsed="false">
      <c r="A6" s="345" t="n">
        <v>2</v>
      </c>
      <c r="B6" s="346" t="s">
        <v>3318</v>
      </c>
      <c r="C6" s="347" t="s">
        <v>3319</v>
      </c>
    </row>
    <row r="7" customFormat="false" ht="29.85" hidden="false" customHeight="false" outlineLevel="0" collapsed="false">
      <c r="A7" s="345" t="n">
        <v>3</v>
      </c>
      <c r="B7" s="348" t="s">
        <v>3320</v>
      </c>
      <c r="C7" s="347" t="s">
        <v>3321</v>
      </c>
    </row>
    <row r="8" customFormat="false" ht="15" hidden="false" customHeight="false" outlineLevel="0" collapsed="false">
      <c r="A8" s="345" t="n">
        <v>4</v>
      </c>
      <c r="B8" s="348" t="s">
        <v>3322</v>
      </c>
      <c r="C8" s="347" t="s">
        <v>3323</v>
      </c>
    </row>
    <row r="9" customFormat="false" ht="15" hidden="false" customHeight="false" outlineLevel="0" collapsed="false">
      <c r="A9" s="345" t="n">
        <v>5</v>
      </c>
      <c r="B9" s="346" t="s">
        <v>3324</v>
      </c>
      <c r="C9" s="347" t="s">
        <v>3325</v>
      </c>
    </row>
    <row r="10" customFormat="false" ht="15" hidden="false" customHeight="false" outlineLevel="0" collapsed="false">
      <c r="A10" s="345" t="n">
        <v>6</v>
      </c>
      <c r="B10" s="348" t="s">
        <v>3326</v>
      </c>
      <c r="C10" s="347" t="s">
        <v>3327</v>
      </c>
    </row>
    <row r="11" customFormat="false" ht="15" hidden="false" customHeight="false" outlineLevel="0" collapsed="false">
      <c r="A11" s="345" t="n">
        <v>7</v>
      </c>
      <c r="B11" s="346" t="s">
        <v>3328</v>
      </c>
      <c r="C11" s="347" t="s">
        <v>3329</v>
      </c>
    </row>
    <row r="12" customFormat="false" ht="15" hidden="false" customHeight="false" outlineLevel="0" collapsed="false">
      <c r="A12" s="345" t="n">
        <v>8</v>
      </c>
      <c r="B12" s="346" t="s">
        <v>3330</v>
      </c>
      <c r="C12" s="347" t="s">
        <v>3331</v>
      </c>
    </row>
    <row r="13" customFormat="false" ht="15" hidden="false" customHeight="false" outlineLevel="0" collapsed="false">
      <c r="A13" s="345" t="n">
        <v>9</v>
      </c>
      <c r="B13" s="346" t="s">
        <v>3332</v>
      </c>
      <c r="C13" s="347" t="s">
        <v>3333</v>
      </c>
    </row>
    <row r="14" customFormat="false" ht="29.85" hidden="false" customHeight="false" outlineLevel="0" collapsed="false">
      <c r="A14" s="345" t="n">
        <v>10</v>
      </c>
      <c r="B14" s="348" t="s">
        <v>3334</v>
      </c>
      <c r="C14" s="347" t="s">
        <v>3335</v>
      </c>
    </row>
    <row r="15" customFormat="false" ht="15" hidden="false" customHeight="false" outlineLevel="0" collapsed="false">
      <c r="A15" s="345" t="n">
        <v>11</v>
      </c>
      <c r="B15" s="346" t="s">
        <v>3336</v>
      </c>
      <c r="C15" s="347" t="s">
        <v>3337</v>
      </c>
    </row>
    <row r="16" customFormat="false" ht="29.85" hidden="false" customHeight="false" outlineLevel="0" collapsed="false">
      <c r="A16" s="345" t="n">
        <v>12</v>
      </c>
      <c r="B16" s="348" t="s">
        <v>3338</v>
      </c>
      <c r="C16" s="347" t="s">
        <v>3339</v>
      </c>
    </row>
    <row r="17" customFormat="false" ht="15" hidden="false" customHeight="false" outlineLevel="0" collapsed="false">
      <c r="A17" s="345" t="n">
        <v>13</v>
      </c>
      <c r="B17" s="346" t="s">
        <v>3340</v>
      </c>
      <c r="C17" s="347" t="s">
        <v>3341</v>
      </c>
    </row>
    <row r="18" customFormat="false" ht="15" hidden="false" customHeight="false" outlineLevel="0" collapsed="false">
      <c r="A18" s="345" t="n">
        <v>14</v>
      </c>
      <c r="B18" s="346" t="s">
        <v>3342</v>
      </c>
      <c r="C18" s="347" t="s">
        <v>3343</v>
      </c>
    </row>
    <row r="19" customFormat="false" ht="15" hidden="false" customHeight="false" outlineLevel="0" collapsed="false">
      <c r="A19" s="345" t="n">
        <v>15</v>
      </c>
      <c r="B19" s="348" t="s">
        <v>3344</v>
      </c>
      <c r="C19" s="347" t="s">
        <v>3345</v>
      </c>
    </row>
    <row r="20" customFormat="false" ht="15" hidden="false" customHeight="false" outlineLevel="0" collapsed="false">
      <c r="A20" s="345" t="n">
        <v>16</v>
      </c>
      <c r="B20" s="348" t="s">
        <v>3346</v>
      </c>
      <c r="C20" s="347" t="s">
        <v>3347</v>
      </c>
    </row>
    <row r="21" customFormat="false" ht="29.85" hidden="false" customHeight="false" outlineLevel="0" collapsed="false">
      <c r="A21" s="345" t="n">
        <v>17</v>
      </c>
      <c r="B21" s="348" t="s">
        <v>3348</v>
      </c>
      <c r="C21" s="347" t="s">
        <v>3349</v>
      </c>
    </row>
    <row r="22" customFormat="false" ht="15" hidden="false" customHeight="false" outlineLevel="0" collapsed="false">
      <c r="A22" s="345" t="n">
        <v>18</v>
      </c>
      <c r="B22" s="346" t="s">
        <v>3350</v>
      </c>
      <c r="C22" s="347" t="s">
        <v>3351</v>
      </c>
    </row>
    <row r="23" customFormat="false" ht="15" hidden="false" customHeight="false" outlineLevel="0" collapsed="false">
      <c r="A23" s="345" t="n">
        <v>19</v>
      </c>
      <c r="B23" s="348" t="s">
        <v>3352</v>
      </c>
      <c r="C23" s="347" t="s">
        <v>3353</v>
      </c>
    </row>
    <row r="24" customFormat="false" ht="15" hidden="false" customHeight="false" outlineLevel="0" collapsed="false">
      <c r="A24" s="345" t="n">
        <v>20</v>
      </c>
      <c r="B24" s="346" t="s">
        <v>3354</v>
      </c>
      <c r="C24" s="347" t="s">
        <v>3355</v>
      </c>
    </row>
    <row r="25" customFormat="false" ht="15" hidden="false" customHeight="false" outlineLevel="0" collapsed="false">
      <c r="A25" s="345" t="n">
        <v>21</v>
      </c>
      <c r="B25" s="346" t="s">
        <v>3356</v>
      </c>
      <c r="C25" s="347" t="s">
        <v>3357</v>
      </c>
    </row>
    <row r="26" customFormat="false" ht="29.85" hidden="false" customHeight="false" outlineLevel="0" collapsed="false">
      <c r="A26" s="345" t="n">
        <v>22</v>
      </c>
      <c r="B26" s="348" t="s">
        <v>3358</v>
      </c>
      <c r="C26" s="347" t="s">
        <v>3359</v>
      </c>
    </row>
    <row r="27" customFormat="false" ht="15" hidden="false" customHeight="false" outlineLevel="0" collapsed="false">
      <c r="A27" s="345" t="n">
        <v>23</v>
      </c>
      <c r="B27" s="348" t="s">
        <v>3360</v>
      </c>
      <c r="C27" s="347" t="s">
        <v>3361</v>
      </c>
    </row>
    <row r="28" customFormat="false" ht="15" hidden="false" customHeight="false" outlineLevel="0" collapsed="false">
      <c r="A28" s="345" t="n">
        <v>24</v>
      </c>
      <c r="B28" s="346" t="s">
        <v>3362</v>
      </c>
      <c r="C28" s="347" t="s">
        <v>3363</v>
      </c>
    </row>
    <row r="29" customFormat="false" ht="15" hidden="false" customHeight="false" outlineLevel="0" collapsed="false">
      <c r="A29" s="345" t="n">
        <v>25</v>
      </c>
      <c r="B29" s="348" t="s">
        <v>3364</v>
      </c>
      <c r="C29" s="347" t="s">
        <v>3365</v>
      </c>
    </row>
    <row r="30" customFormat="false" ht="15" hidden="false" customHeight="false" outlineLevel="0" collapsed="false">
      <c r="A30" s="345" t="n">
        <v>26</v>
      </c>
      <c r="B30" s="346" t="s">
        <v>3366</v>
      </c>
      <c r="C30" s="347" t="s">
        <v>3367</v>
      </c>
    </row>
    <row r="31" customFormat="false" ht="15" hidden="false" customHeight="false" outlineLevel="0" collapsed="false">
      <c r="A31" s="345" t="n">
        <v>27</v>
      </c>
      <c r="B31" s="348" t="s">
        <v>3368</v>
      </c>
      <c r="C31" s="347" t="s">
        <v>3369</v>
      </c>
    </row>
    <row r="32" customFormat="false" ht="15" hidden="false" customHeight="false" outlineLevel="0" collapsed="false">
      <c r="A32" s="345" t="n">
        <v>28</v>
      </c>
      <c r="B32" s="346" t="s">
        <v>3370</v>
      </c>
      <c r="C32" s="347" t="s">
        <v>3371</v>
      </c>
    </row>
    <row r="33" customFormat="false" ht="15" hidden="false" customHeight="false" outlineLevel="0" collapsed="false">
      <c r="A33" s="345" t="n">
        <v>29</v>
      </c>
      <c r="B33" s="346" t="s">
        <v>3372</v>
      </c>
      <c r="C33" s="347" t="s">
        <v>3373</v>
      </c>
    </row>
    <row r="34" customFormat="false" ht="15" hidden="false" customHeight="false" outlineLevel="0" collapsed="false">
      <c r="A34" s="345" t="n">
        <v>30</v>
      </c>
      <c r="B34" s="346" t="s">
        <v>3374</v>
      </c>
      <c r="C34" s="347" t="s">
        <v>3375</v>
      </c>
    </row>
    <row r="35" customFormat="false" ht="15" hidden="false" customHeight="false" outlineLevel="0" collapsed="false">
      <c r="A35" s="345" t="n">
        <v>31</v>
      </c>
      <c r="B35" s="348" t="s">
        <v>3376</v>
      </c>
      <c r="C35" s="347" t="s">
        <v>3377</v>
      </c>
    </row>
    <row r="36" customFormat="false" ht="15" hidden="false" customHeight="false" outlineLevel="0" collapsed="false">
      <c r="A36" s="345" t="n">
        <v>32</v>
      </c>
      <c r="B36" s="348" t="s">
        <v>3378</v>
      </c>
      <c r="C36" s="347" t="s">
        <v>3379</v>
      </c>
    </row>
    <row r="37" customFormat="false" ht="29.85" hidden="false" customHeight="false" outlineLevel="0" collapsed="false">
      <c r="A37" s="345" t="n">
        <v>33</v>
      </c>
      <c r="B37" s="348" t="s">
        <v>3380</v>
      </c>
      <c r="C37" s="347" t="s">
        <v>3381</v>
      </c>
    </row>
    <row r="38" customFormat="false" ht="15" hidden="false" customHeight="false" outlineLevel="0" collapsed="false">
      <c r="A38" s="345" t="n">
        <v>34</v>
      </c>
      <c r="B38" s="348" t="s">
        <v>3382</v>
      </c>
      <c r="C38" s="347" t="s">
        <v>3383</v>
      </c>
    </row>
    <row r="39" customFormat="false" ht="15" hidden="false" customHeight="false" outlineLevel="0" collapsed="false">
      <c r="A39" s="345" t="n">
        <v>35</v>
      </c>
      <c r="B39" s="346" t="s">
        <v>3384</v>
      </c>
      <c r="C39" s="347" t="s">
        <v>3385</v>
      </c>
    </row>
    <row r="40" customFormat="false" ht="15" hidden="false" customHeight="false" outlineLevel="0" collapsed="false">
      <c r="A40" s="345" t="n">
        <v>36</v>
      </c>
      <c r="B40" s="346" t="s">
        <v>3386</v>
      </c>
      <c r="C40" s="347" t="s">
        <v>3387</v>
      </c>
    </row>
    <row r="41" customFormat="false" ht="15" hidden="false" customHeight="false" outlineLevel="0" collapsed="false">
      <c r="A41" s="345" t="n">
        <v>37</v>
      </c>
      <c r="B41" s="346" t="s">
        <v>3388</v>
      </c>
      <c r="C41" s="347" t="s">
        <v>3389</v>
      </c>
    </row>
    <row r="42" customFormat="false" ht="15" hidden="false" customHeight="false" outlineLevel="0" collapsed="false">
      <c r="A42" s="345" t="n">
        <v>38</v>
      </c>
      <c r="B42" s="346" t="s">
        <v>3390</v>
      </c>
      <c r="C42" s="347" t="s">
        <v>3391</v>
      </c>
    </row>
    <row r="43" customFormat="false" ht="29.85" hidden="false" customHeight="false" outlineLevel="0" collapsed="false">
      <c r="A43" s="345" t="n">
        <v>39</v>
      </c>
      <c r="B43" s="346" t="s">
        <v>3392</v>
      </c>
      <c r="C43" s="347" t="s">
        <v>3393</v>
      </c>
    </row>
    <row r="44" customFormat="false" ht="15" hidden="false" customHeight="false" outlineLevel="0" collapsed="false">
      <c r="A44" s="345" t="n">
        <v>40</v>
      </c>
      <c r="B44" s="346" t="s">
        <v>3394</v>
      </c>
      <c r="C44" s="347" t="s">
        <v>3395</v>
      </c>
    </row>
    <row r="45" customFormat="false" ht="15" hidden="false" customHeight="false" outlineLevel="0" collapsed="false">
      <c r="A45" s="345" t="n">
        <v>41</v>
      </c>
      <c r="B45" s="348" t="s">
        <v>3396</v>
      </c>
      <c r="C45" s="347" t="s">
        <v>3397</v>
      </c>
    </row>
    <row r="46" customFormat="false" ht="15" hidden="false" customHeight="false" outlineLevel="0" collapsed="false">
      <c r="A46" s="345" t="n">
        <v>42</v>
      </c>
      <c r="B46" s="346" t="s">
        <v>3398</v>
      </c>
      <c r="C46" s="347" t="s">
        <v>3399</v>
      </c>
    </row>
    <row r="47" customFormat="false" ht="15" hidden="false" customHeight="false" outlineLevel="0" collapsed="false">
      <c r="A47" s="345" t="n">
        <v>43</v>
      </c>
      <c r="B47" s="346" t="s">
        <v>3400</v>
      </c>
      <c r="C47" s="347" t="s">
        <v>3401</v>
      </c>
    </row>
    <row r="48" customFormat="false" ht="15" hidden="false" customHeight="false" outlineLevel="0" collapsed="false">
      <c r="A48" s="345" t="n">
        <v>44</v>
      </c>
      <c r="B48" s="346" t="s">
        <v>3402</v>
      </c>
      <c r="C48" s="347" t="s">
        <v>3403</v>
      </c>
    </row>
    <row r="49" customFormat="false" ht="15" hidden="false" customHeight="false" outlineLevel="0" collapsed="false">
      <c r="A49" s="345" t="n">
        <v>45</v>
      </c>
      <c r="B49" s="346" t="s">
        <v>3404</v>
      </c>
      <c r="C49" s="347" t="s">
        <v>3405</v>
      </c>
    </row>
    <row r="51" customFormat="false" ht="15" hidden="false" customHeight="false" outlineLevel="0" collapsed="false">
      <c r="B51" s="121" t="s">
        <v>3406</v>
      </c>
    </row>
    <row r="52" customFormat="false" ht="15" hidden="false" customHeight="true" outlineLevel="0" collapsed="false">
      <c r="B52" s="333" t="s">
        <v>3407</v>
      </c>
      <c r="C52" s="333"/>
    </row>
    <row r="53" customFormat="false" ht="15" hidden="false" customHeight="true" outlineLevel="0" collapsed="false">
      <c r="B53" s="333" t="s">
        <v>3408</v>
      </c>
      <c r="C53" s="333"/>
    </row>
    <row r="54" customFormat="false" ht="15" hidden="false" customHeight="true" outlineLevel="0" collapsed="false">
      <c r="B54" s="333" t="s">
        <v>3409</v>
      </c>
      <c r="C54" s="333"/>
    </row>
    <row r="55" customFormat="false" ht="15" hidden="false" customHeight="true" outlineLevel="0" collapsed="false">
      <c r="B55" s="333" t="s">
        <v>3410</v>
      </c>
      <c r="C55" s="333"/>
    </row>
    <row r="56" customFormat="false" ht="15" hidden="false" customHeight="true" outlineLevel="0" collapsed="false">
      <c r="B56" s="333" t="s">
        <v>3411</v>
      </c>
      <c r="C56" s="333"/>
    </row>
    <row r="58" customFormat="false" ht="15" hidden="false" customHeight="false" outlineLevel="0" collapsed="false">
      <c r="B58" s="349" t="s">
        <v>3412</v>
      </c>
    </row>
    <row r="59" customFormat="false" ht="15" hidden="false" customHeight="false" outlineLevel="0" collapsed="false">
      <c r="A59" s="345" t="s">
        <v>3413</v>
      </c>
      <c r="B59" s="348" t="s">
        <v>3414</v>
      </c>
      <c r="C59" s="347" t="s">
        <v>3415</v>
      </c>
    </row>
    <row r="60" customFormat="false" ht="15" hidden="false" customHeight="false" outlineLevel="0" collapsed="false">
      <c r="A60" s="345" t="s">
        <v>3416</v>
      </c>
      <c r="B60" s="348" t="s">
        <v>3417</v>
      </c>
      <c r="C60" s="347" t="s">
        <v>3418</v>
      </c>
    </row>
    <row r="61" customFormat="false" ht="15" hidden="false" customHeight="false" outlineLevel="0" collapsed="false">
      <c r="A61" s="345" t="s">
        <v>3419</v>
      </c>
      <c r="B61" s="346" t="s">
        <v>3420</v>
      </c>
      <c r="C61" s="347" t="s">
        <v>3421</v>
      </c>
    </row>
    <row r="62" customFormat="false" ht="15" hidden="false" customHeight="false" outlineLevel="0" collapsed="false">
      <c r="A62" s="345" t="s">
        <v>3422</v>
      </c>
      <c r="B62" s="346" t="s">
        <v>3423</v>
      </c>
      <c r="C62" s="347" t="s">
        <v>3424</v>
      </c>
    </row>
    <row r="63" customFormat="false" ht="15" hidden="false" customHeight="false" outlineLevel="0" collapsed="false">
      <c r="A63" s="345" t="s">
        <v>3425</v>
      </c>
      <c r="B63" s="348" t="s">
        <v>3426</v>
      </c>
      <c r="C63" s="347" t="s">
        <v>3427</v>
      </c>
    </row>
    <row r="64" customFormat="false" ht="15" hidden="false" customHeight="false" outlineLevel="0" collapsed="false">
      <c r="A64" s="345" t="s">
        <v>3428</v>
      </c>
      <c r="B64" s="346" t="s">
        <v>3429</v>
      </c>
      <c r="C64" s="347" t="s">
        <v>3430</v>
      </c>
    </row>
    <row r="65" customFormat="false" ht="15" hidden="false" customHeight="false" outlineLevel="0" collapsed="false">
      <c r="A65" s="345" t="s">
        <v>3431</v>
      </c>
      <c r="B65" s="346" t="s">
        <v>3432</v>
      </c>
      <c r="C65" s="347" t="s">
        <v>3433</v>
      </c>
    </row>
    <row r="66" customFormat="false" ht="15" hidden="false" customHeight="false" outlineLevel="0" collapsed="false">
      <c r="A66" s="345" t="s">
        <v>3434</v>
      </c>
      <c r="B66" s="348" t="s">
        <v>3435</v>
      </c>
      <c r="C66" s="347" t="s">
        <v>3436</v>
      </c>
    </row>
    <row r="67" customFormat="false" ht="15" hidden="false" customHeight="false" outlineLevel="0" collapsed="false">
      <c r="A67" s="345" t="s">
        <v>3437</v>
      </c>
      <c r="B67" s="348" t="s">
        <v>3438</v>
      </c>
      <c r="C67" s="347" t="s">
        <v>3439</v>
      </c>
    </row>
    <row r="68" customFormat="false" ht="15" hidden="false" customHeight="false" outlineLevel="0" collapsed="false">
      <c r="A68" s="345" t="s">
        <v>3440</v>
      </c>
      <c r="B68" s="346" t="s">
        <v>3441</v>
      </c>
      <c r="C68" s="347" t="s">
        <v>3442</v>
      </c>
    </row>
    <row r="69" customFormat="false" ht="15" hidden="false" customHeight="false" outlineLevel="0" collapsed="false">
      <c r="A69" s="345" t="s">
        <v>3443</v>
      </c>
      <c r="B69" s="346" t="s">
        <v>3444</v>
      </c>
      <c r="C69" s="347" t="s">
        <v>3445</v>
      </c>
    </row>
    <row r="70" customFormat="false" ht="15" hidden="false" customHeight="false" outlineLevel="0" collapsed="false">
      <c r="A70" s="345" t="s">
        <v>3446</v>
      </c>
      <c r="B70" s="346" t="s">
        <v>3447</v>
      </c>
      <c r="C70" s="347" t="s">
        <v>3448</v>
      </c>
    </row>
    <row r="71" customFormat="false" ht="15" hidden="false" customHeight="false" outlineLevel="0" collapsed="false">
      <c r="A71" s="345" t="s">
        <v>3449</v>
      </c>
      <c r="B71" s="346" t="s">
        <v>3450</v>
      </c>
      <c r="C71" s="347" t="s">
        <v>3451</v>
      </c>
    </row>
    <row r="72" customFormat="false" ht="15" hidden="false" customHeight="false" outlineLevel="0" collapsed="false">
      <c r="A72" s="345" t="s">
        <v>3452</v>
      </c>
      <c r="B72" s="346" t="s">
        <v>3453</v>
      </c>
      <c r="C72" s="347" t="s">
        <v>3454</v>
      </c>
    </row>
    <row r="73" customFormat="false" ht="15" hidden="false" customHeight="false" outlineLevel="0" collapsed="false">
      <c r="A73" s="345" t="s">
        <v>3455</v>
      </c>
      <c r="B73" s="348" t="s">
        <v>3456</v>
      </c>
      <c r="C73" s="347" t="s">
        <v>3457</v>
      </c>
    </row>
    <row r="74" customFormat="false" ht="15" hidden="false" customHeight="false" outlineLevel="0" collapsed="false">
      <c r="A74" s="345" t="s">
        <v>3458</v>
      </c>
      <c r="B74" s="346" t="s">
        <v>3459</v>
      </c>
      <c r="C74" s="347" t="s">
        <v>3460</v>
      </c>
    </row>
    <row r="75" customFormat="false" ht="15" hidden="false" customHeight="false" outlineLevel="0" collapsed="false">
      <c r="A75" s="345" t="s">
        <v>3461</v>
      </c>
      <c r="B75" s="348" t="s">
        <v>3462</v>
      </c>
      <c r="C75" s="347" t="s">
        <v>3463</v>
      </c>
    </row>
    <row r="76" customFormat="false" ht="15" hidden="false" customHeight="false" outlineLevel="0" collapsed="false">
      <c r="A76" s="345" t="s">
        <v>3464</v>
      </c>
      <c r="B76" s="348" t="s">
        <v>3465</v>
      </c>
      <c r="C76" s="347" t="s">
        <v>3466</v>
      </c>
    </row>
    <row r="77" customFormat="false" ht="15" hidden="false" customHeight="false" outlineLevel="0" collapsed="false">
      <c r="A77" s="345" t="s">
        <v>3467</v>
      </c>
      <c r="B77" s="348" t="s">
        <v>3468</v>
      </c>
      <c r="C77" s="347" t="s">
        <v>3469</v>
      </c>
    </row>
    <row r="78" customFormat="false" ht="15" hidden="false" customHeight="false" outlineLevel="0" collapsed="false">
      <c r="A78" s="345" t="s">
        <v>3470</v>
      </c>
      <c r="B78" s="346" t="s">
        <v>3471</v>
      </c>
      <c r="C78" s="347" t="s">
        <v>3472</v>
      </c>
    </row>
    <row r="79" customFormat="false" ht="15" hidden="false" customHeight="false" outlineLevel="0" collapsed="false">
      <c r="A79" s="345" t="s">
        <v>3473</v>
      </c>
      <c r="B79" s="346" t="s">
        <v>3474</v>
      </c>
      <c r="C79" s="347" t="s">
        <v>3475</v>
      </c>
    </row>
    <row r="80" customFormat="false" ht="15" hidden="false" customHeight="false" outlineLevel="0" collapsed="false">
      <c r="A80" s="345" t="s">
        <v>3476</v>
      </c>
      <c r="B80" s="346" t="s">
        <v>3477</v>
      </c>
      <c r="C80" s="347" t="s">
        <v>3478</v>
      </c>
    </row>
    <row r="81" customFormat="false" ht="15" hidden="false" customHeight="false" outlineLevel="0" collapsed="false">
      <c r="A81" s="345" t="s">
        <v>3479</v>
      </c>
      <c r="B81" s="346" t="s">
        <v>3480</v>
      </c>
      <c r="C81" s="347" t="s">
        <v>3481</v>
      </c>
    </row>
    <row r="82" customFormat="false" ht="15" hidden="false" customHeight="false" outlineLevel="0" collapsed="false">
      <c r="A82" s="345" t="s">
        <v>3482</v>
      </c>
      <c r="B82" s="346" t="s">
        <v>3483</v>
      </c>
      <c r="C82" s="347" t="s">
        <v>3484</v>
      </c>
    </row>
    <row r="83" customFormat="false" ht="15" hidden="false" customHeight="false" outlineLevel="0" collapsed="false">
      <c r="A83" s="345" t="s">
        <v>3485</v>
      </c>
      <c r="B83" s="348" t="s">
        <v>3486</v>
      </c>
      <c r="C83" s="347" t="s">
        <v>3487</v>
      </c>
    </row>
    <row r="84" customFormat="false" ht="15" hidden="false" customHeight="false" outlineLevel="0" collapsed="false">
      <c r="A84" s="345" t="s">
        <v>3488</v>
      </c>
      <c r="B84" s="346" t="s">
        <v>3489</v>
      </c>
      <c r="C84" s="347" t="s">
        <v>3387</v>
      </c>
    </row>
    <row r="85" customFormat="false" ht="15" hidden="false" customHeight="false" outlineLevel="0" collapsed="false">
      <c r="A85" s="345" t="s">
        <v>3490</v>
      </c>
      <c r="B85" s="346" t="s">
        <v>3491</v>
      </c>
      <c r="C85" s="347" t="s">
        <v>3492</v>
      </c>
    </row>
    <row r="86" customFormat="false" ht="15" hidden="false" customHeight="false" outlineLevel="0" collapsed="false">
      <c r="A86" s="345" t="s">
        <v>3493</v>
      </c>
      <c r="B86" s="348" t="s">
        <v>3494</v>
      </c>
      <c r="C86" s="347" t="s">
        <v>3495</v>
      </c>
    </row>
    <row r="87" customFormat="false" ht="15" hidden="false" customHeight="false" outlineLevel="0" collapsed="false">
      <c r="A87" s="345" t="s">
        <v>3496</v>
      </c>
      <c r="B87" s="348" t="s">
        <v>3497</v>
      </c>
      <c r="C87" s="347" t="s">
        <v>3498</v>
      </c>
    </row>
    <row r="88" customFormat="false" ht="15" hidden="false" customHeight="false" outlineLevel="0" collapsed="false">
      <c r="A88" s="345" t="s">
        <v>3499</v>
      </c>
      <c r="B88" s="348" t="s">
        <v>3500</v>
      </c>
      <c r="C88" s="347" t="s">
        <v>3501</v>
      </c>
    </row>
    <row r="89" customFormat="false" ht="15" hidden="false" customHeight="false" outlineLevel="0" collapsed="false">
      <c r="A89" s="345" t="s">
        <v>3502</v>
      </c>
      <c r="B89" s="348" t="s">
        <v>3503</v>
      </c>
      <c r="C89" s="347" t="s">
        <v>3504</v>
      </c>
    </row>
    <row r="90" customFormat="false" ht="15" hidden="false" customHeight="false" outlineLevel="0" collapsed="false">
      <c r="A90" s="345" t="s">
        <v>3505</v>
      </c>
      <c r="B90" s="346" t="s">
        <v>3506</v>
      </c>
      <c r="C90" s="347" t="s">
        <v>3507</v>
      </c>
    </row>
    <row r="91" customFormat="false" ht="15" hidden="false" customHeight="false" outlineLevel="0" collapsed="false">
      <c r="A91" s="345" t="s">
        <v>3508</v>
      </c>
      <c r="B91" s="346" t="s">
        <v>3509</v>
      </c>
      <c r="C91" s="347" t="s">
        <v>3510</v>
      </c>
    </row>
    <row r="92" customFormat="false" ht="15" hidden="false" customHeight="false" outlineLevel="0" collapsed="false">
      <c r="A92" s="345" t="s">
        <v>3511</v>
      </c>
      <c r="B92" s="346" t="s">
        <v>3512</v>
      </c>
      <c r="C92" s="347" t="s">
        <v>3513</v>
      </c>
    </row>
    <row r="93" customFormat="false" ht="15" hidden="false" customHeight="false" outlineLevel="0" collapsed="false">
      <c r="A93" s="345" t="s">
        <v>3514</v>
      </c>
      <c r="B93" s="346" t="s">
        <v>3515</v>
      </c>
      <c r="C93" s="347" t="s">
        <v>3516</v>
      </c>
    </row>
    <row r="94" customFormat="false" ht="15" hidden="false" customHeight="false" outlineLevel="0" collapsed="false">
      <c r="A94" s="345" t="s">
        <v>3517</v>
      </c>
      <c r="B94" s="346" t="s">
        <v>3518</v>
      </c>
      <c r="C94" s="347" t="s">
        <v>3519</v>
      </c>
    </row>
    <row r="95" customFormat="false" ht="15" hidden="false" customHeight="false" outlineLevel="0" collapsed="false">
      <c r="A95" s="345" t="s">
        <v>3520</v>
      </c>
      <c r="B95" s="346" t="s">
        <v>3521</v>
      </c>
      <c r="C95" s="347" t="s">
        <v>3522</v>
      </c>
    </row>
    <row r="96" customFormat="false" ht="15" hidden="false" customHeight="false" outlineLevel="0" collapsed="false">
      <c r="A96" s="345" t="s">
        <v>3523</v>
      </c>
      <c r="B96" s="346" t="s">
        <v>3524</v>
      </c>
      <c r="C96" s="347" t="s">
        <v>3525</v>
      </c>
    </row>
    <row r="97" customFormat="false" ht="15" hidden="false" customHeight="false" outlineLevel="0" collapsed="false">
      <c r="A97" s="345" t="s">
        <v>3526</v>
      </c>
      <c r="B97" s="346" t="s">
        <v>3527</v>
      </c>
      <c r="C97" s="347" t="s">
        <v>3528</v>
      </c>
    </row>
    <row r="98" customFormat="false" ht="15" hidden="false" customHeight="false" outlineLevel="0" collapsed="false">
      <c r="A98" s="345" t="s">
        <v>3529</v>
      </c>
      <c r="B98" s="348" t="s">
        <v>3530</v>
      </c>
      <c r="C98" s="347" t="s">
        <v>3531</v>
      </c>
    </row>
  </sheetData>
  <mergeCells count="5">
    <mergeCell ref="B52:C52"/>
    <mergeCell ref="B53:C53"/>
    <mergeCell ref="B54:C54"/>
    <mergeCell ref="B55:C55"/>
    <mergeCell ref="B56:C56"/>
  </mergeCells>
  <hyperlinks>
    <hyperlink ref="C5" r:id="rId1" display="https://www.trade.gov/country-commercial-guides/vietnam-healthcare"/>
    <hyperlink ref="C6" r:id="rId2" display="https://en.vietnamplus.vn/master-plan-on-healthcare-network-by-2050-approved/280091.vnp"/>
    <hyperlink ref="C7" r:id="rId3" display="https://www.dfdl.com/insights/legal-and-tax-updates/legal-update-on-amendments-and-supplements-to-the-decree-detailing-and-guiding-the-implementation-of-the-law-on-investment-in-the-form-of-public-private-partnership/"/>
    <hyperlink ref="C8" r:id="rId4" display="https://www.allenandgledhill.com/publication/articles/29956/introduces-simplified-processes-and-expands-investment-opportunities"/>
    <hyperlink ref="C9" r:id="rId5" display="https://en.vietnamplus.vn/vietnam-embraces-ppp-to-transform-healthcare-services-post292306.vnp"/>
    <hyperlink ref="C10" r:id="rId6" display="https://www.health365.sg/thomson-medical-acquires-fv-hospital/"/>
    <hyperlink ref="C11" r:id="rId7" display="https://vietanlaw.com/conditions-for-establishing-a-foreign-invested-hospital-in-vietnam/"/>
    <hyperlink ref="C12" r:id="rId8" display="https://vietnamnet.vn/en/hospital-projects-to-resume-after-years-of-delay-pm-pledges-full-support-2404326.html"/>
    <hyperlink ref="C13" r:id="rId9" display="https://globalreferral.group/hospital-construction-standards-in-2025-a-comprehensive-guide-for-investors/"/>
    <hyperlink ref="C14" r:id="rId10" display="https://blogs.duanemorris.com/vietnam/2025/08/27/vietnam-decree-58-on-development-of-renewable-energy-power-mechanisms-and-policies-for-self-production-and-self-consumption-rooftop-solar-power-systems/"/>
    <hyperlink ref="C15" r:id="rId11" display="https://www.thema-med.com/en/2025/06/16/vietnam-end-of-derogations-for-import-licences-as-of-july-1-2025/"/>
    <hyperlink ref="C16" r:id="rId12" display="https://eurochamvn.org/vietnam-passes-new-law-on-tender-an-advocacy-success-for-the-eurocham-medical-devices-and-diagnostics-sector-committee/"/>
    <hyperlink ref="C17" r:id="rId13" display="https://ascopubs.org/doi/10.1200/GO-24-00530"/>
    <hyperlink ref="C18" r:id="rId14" display="https://pmc.ncbi.nlm.nih.gov/articles/PMC8815609/"/>
    <hyperlink ref="C19" r:id="rId15" display="https://vietnamnews.vn/society/1716334/infertility-treatment-challenges-and-opportunities.html"/>
    <hyperlink ref="C20" r:id="rId16" display="https://thuvienphapluat.vn/van-ban/EN/Cong-nghe-thong-tin/Circular-13-2025-TT-BYT-providing-guidance-on-adoption-of-electronic-medical-records/662324/tieng-anh.aspx"/>
    <hyperlink ref="C21" r:id="rId17" display="https://www.vietnamplus.vn/tien-do-trien-khai-benh-an-dien-tu-tren-toan-quoc-van-chua-dat-yeu-cau-post1068289.vnp"/>
    <hyperlink ref="C22" r:id="rId18" display="https://thuvienphapluat.vn/chinh-sach-phap-luat-moi/vn/ho-tro-phap-luat/chinh-sach-moi/89231/tu-01-10-2025-tat-ca-cac-benh-vien-bat-buoc-ke-don-thuoc-dien-tu"/>
    <hyperlink ref="C23" r:id="rId19" display="https://www.tilleke.com/insights/vietnams-new-personal-data-protection-law-a-closer-look/"/>
    <hyperlink ref="C24" r:id="rId20" display="https://kpmg.com/vn/en/insights/2024/12/vietnam-enacts-its-first-ever-data-law.html"/>
    <hyperlink ref="C25" r:id="rId21" display="https://www.trade.gov/market-intelligence/vietnam-data-centers"/>
    <hyperlink ref="C26" r:id="rId22" display="https://baochinhphu.vn/lien-thong-so-suc-khoe-dien-tu-toi-tat-ca-co-so-kham-chua-benh-trong-nam-2025-102250720150929958.htm"/>
    <hyperlink ref="C27" r:id="rId23" display="https://healthtechasia.co/vietnam-allows-vneid-electronic-health-records-to-replace-paper-medical-files/"/>
    <hyperlink ref="C28" r:id="rId24" display="https://www.ghspjournal.org/content/12/3/e2400024"/>
    <hyperlink ref="C29" r:id="rId25" display="https://www.malaymail.com/news/money/mediaoutreach/2024/02/29/vinbrain-and-global-fund-continue-joining-forces-to-tackle-vietnams-tuberculosis-challenge-through-ai-in-2024/280779"/>
    <hyperlink ref="C30" r:id="rId26" display="https://www.dfdl.com/insights/legal-and-tax-updates/vietnam-landmark-law-on-digital-technology-industry-new-frameworks-for-ai-digital-assets/"/>
    <hyperlink ref="C31" r:id="rId27" display="https://iapp.org/news/a/vietnam-s-draft-ai-law-racing-toward-regulation-with-eu-inspirations"/>
    <hyperlink ref="C32" r:id="rId28" display="https://global.ecovis.com/telemedicine-in-vietnam-regulations-and-their-impact-on-healthcare-service-providers/"/>
    <hyperlink ref="C33" r:id="rId29" display="https://www.vietnam.vn/en/bo-y-te-thua-nhan-bo-tieu-chuan-chat-luong-quoc-te-cua-jci"/>
    <hyperlink ref="C34" r:id="rId30" display="https://vnexpress.net/benh-vien-cong-dau-tien-dat-chuan-quoc-te-jci-4842164.html"/>
    <hyperlink ref="C35" r:id="rId31" display="https://www.boa.gov.vn/en/vilas-med"/>
    <hyperlink ref="C36" r:id="rId32" display="https://www.clearhq.org/news/vietname-to-establish-licensure-examination-for-health-professionals-6-25-25"/>
    <hyperlink ref="C37" r:id="rId33" display="https://www.vietnam.vn/en/bao-phu-bao-hiem-y-te-diem-sang-noi-bat-trong-thuc-hien-nghi-quyet-dai-hoi-xiii-cua-dang"/>
    <hyperlink ref="C38" r:id="rId34" display="https://www.peah.it/2026/05/healthcare-provider-payment-reform-in-vietnam-current-policy-directions-and-potential-solutions/"/>
    <hyperlink ref="C39" r:id="rId35" display="https://vietnamnet.vn/en/cashless-payment-navigates-vietnam-s-hospitals-2505946.html"/>
    <hyperlink ref="C40" r:id="rId36" display="https://dtinews.dantri.com.vn/lifestyle/vietnam-targets-750000-medical-tourists-by-2030-20260812071810418.htm"/>
    <hyperlink ref="C41" r:id="rId37" display="https://www.vietnam.vn/en/ly-do-moi-nam-40-000-nguoi-viet-co-thu-nhap-cao-ra-nuoc-ngoai-kham-chua-benh"/>
    <hyperlink ref="C42" r:id="rId38" display="https://www.imarcgroup.com/vietnam-health-insurance-market"/>
    <hyperlink ref="C43" r:id="rId39" display="https://e.vnexpress.net/news/news/vietnam-aims-for-15-doctors-per-10-000-people-4716651.html"/>
    <hyperlink ref="C44" r:id="rId40" display="https://www.techsciresearch.com/news/8597-vietnam-cold-chain-logistics-market.html"/>
    <hyperlink ref="C45" r:id="rId41" display="https://www.kenresearch.com/vietnam-facility-management-outsourcing-market"/>
    <hyperlink ref="C46" r:id="rId42" display="https://pmc.ncbi.nlm.nih.gov/articles/PMC9589545/"/>
    <hyperlink ref="C47" r:id="rId43" display="https://vietnam.unfpa.org/en/news/population-ageing-viet-nam-demographic-transition-development-opportunity"/>
    <hyperlink ref="C48" r:id="rId44" display="https://www.databridgemarketresearch.com/reports/vietnam-interventional-cardiology-market"/>
    <hyperlink ref="C49" r:id="rId45" display="https://www.imarcgroup.com/vietnam-digital-health-marke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K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7" min="1" style="0" width="22"/>
  </cols>
  <sheetData>
    <row r="1" customFormat="false" ht="30" hidden="false" customHeight="true" outlineLevel="0" collapsed="false">
      <c r="A1" s="1" t="s">
        <v>3532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25.5" hidden="false" customHeight="true" outlineLevel="0" collapsed="false">
      <c r="A2" s="4" t="s">
        <v>3533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" hidden="false" customHeight="false" outlineLevel="0" collapsed="false">
      <c r="A3" s="5" t="s">
        <v>946</v>
      </c>
    </row>
    <row r="4" customFormat="false" ht="30" hidden="false" customHeight="true" outlineLevel="0" collapsed="false">
      <c r="A4" s="350" t="s">
        <v>3534</v>
      </c>
      <c r="B4" s="350" t="s">
        <v>3535</v>
      </c>
      <c r="C4" s="350" t="s">
        <v>3536</v>
      </c>
      <c r="D4" s="350" t="s">
        <v>3537</v>
      </c>
      <c r="E4" s="350" t="s">
        <v>3538</v>
      </c>
      <c r="F4" s="350" t="s">
        <v>3539</v>
      </c>
      <c r="G4" s="350" t="s">
        <v>3540</v>
      </c>
      <c r="H4" s="350" t="s">
        <v>3541</v>
      </c>
      <c r="I4" s="350" t="s">
        <v>3542</v>
      </c>
      <c r="J4" s="350" t="s">
        <v>3543</v>
      </c>
      <c r="K4" s="350" t="s">
        <v>3544</v>
      </c>
      <c r="L4" s="350" t="s">
        <v>3545</v>
      </c>
      <c r="M4" s="350" t="s">
        <v>3546</v>
      </c>
      <c r="N4" s="350" t="s">
        <v>3547</v>
      </c>
      <c r="O4" s="350" t="s">
        <v>3548</v>
      </c>
      <c r="P4" s="350" t="s">
        <v>3549</v>
      </c>
      <c r="Q4" s="350" t="s">
        <v>3550</v>
      </c>
      <c r="R4" s="350" t="s">
        <v>3551</v>
      </c>
      <c r="S4" s="350" t="s">
        <v>3552</v>
      </c>
      <c r="T4" s="152" t="s">
        <v>3553</v>
      </c>
      <c r="U4" s="152" t="s">
        <v>3554</v>
      </c>
      <c r="V4" s="350" t="s">
        <v>3555</v>
      </c>
      <c r="W4" s="350" t="s">
        <v>3556</v>
      </c>
      <c r="X4" s="350" t="s">
        <v>3557</v>
      </c>
      <c r="Y4" s="350" t="s">
        <v>3558</v>
      </c>
      <c r="Z4" s="350" t="s">
        <v>3559</v>
      </c>
      <c r="AA4" s="350" t="s">
        <v>3560</v>
      </c>
      <c r="AB4" s="350" t="s">
        <v>3561</v>
      </c>
      <c r="AC4" s="350" t="s">
        <v>3562</v>
      </c>
      <c r="AD4" s="350" t="s">
        <v>3563</v>
      </c>
      <c r="AE4" s="350" t="s">
        <v>3564</v>
      </c>
      <c r="AF4" s="350" t="s">
        <v>3565</v>
      </c>
      <c r="AG4" s="350" t="s">
        <v>3566</v>
      </c>
      <c r="AH4" s="350" t="s">
        <v>3567</v>
      </c>
      <c r="AI4" s="350" t="s">
        <v>3568</v>
      </c>
      <c r="AJ4" s="350" t="s">
        <v>3569</v>
      </c>
      <c r="AK4" s="350" t="s">
        <v>3570</v>
      </c>
    </row>
    <row r="5" customFormat="false" ht="15" hidden="false" customHeight="false" outlineLevel="0" collapsed="false">
      <c r="A5" s="351" t="s">
        <v>3571</v>
      </c>
      <c r="B5" s="351" t="s">
        <v>3572</v>
      </c>
      <c r="C5" s="351" t="s">
        <v>3573</v>
      </c>
      <c r="D5" s="351" t="s">
        <v>3574</v>
      </c>
      <c r="E5" s="351" t="s">
        <v>3575</v>
      </c>
      <c r="F5" s="351" t="s">
        <v>3576</v>
      </c>
      <c r="G5" s="351" t="s">
        <v>3577</v>
      </c>
      <c r="H5" s="351" t="s">
        <v>3578</v>
      </c>
      <c r="I5" s="351" t="s">
        <v>3579</v>
      </c>
      <c r="J5" s="351" t="s">
        <v>3580</v>
      </c>
      <c r="K5" s="351" t="s">
        <v>3581</v>
      </c>
      <c r="L5" s="351" t="s">
        <v>3582</v>
      </c>
      <c r="M5" s="351" t="s">
        <v>3583</v>
      </c>
      <c r="N5" s="351" t="s">
        <v>3584</v>
      </c>
      <c r="O5" s="351" t="s">
        <v>3585</v>
      </c>
      <c r="P5" s="351" t="s">
        <v>3586</v>
      </c>
      <c r="Q5" s="351" t="s">
        <v>3587</v>
      </c>
      <c r="R5" s="351" t="s">
        <v>3588</v>
      </c>
      <c r="S5" s="351" t="s">
        <v>3589</v>
      </c>
      <c r="T5" s="351" t="s">
        <v>3590</v>
      </c>
      <c r="U5" s="351" t="s">
        <v>3591</v>
      </c>
      <c r="V5" s="351" t="s">
        <v>3592</v>
      </c>
      <c r="W5" s="351" t="s">
        <v>3593</v>
      </c>
      <c r="X5" s="351" t="s">
        <v>3594</v>
      </c>
      <c r="Y5" s="351" t="s">
        <v>3595</v>
      </c>
      <c r="Z5" s="351" t="s">
        <v>3596</v>
      </c>
      <c r="AA5" s="351" t="s">
        <v>3597</v>
      </c>
      <c r="AB5" s="351" t="s">
        <v>3598</v>
      </c>
      <c r="AC5" s="351" t="s">
        <v>3599</v>
      </c>
      <c r="AD5" s="351" t="s">
        <v>3600</v>
      </c>
      <c r="AE5" s="351" t="s">
        <v>3601</v>
      </c>
      <c r="AF5" s="351" t="s">
        <v>3602</v>
      </c>
      <c r="AG5" s="351" t="s">
        <v>3603</v>
      </c>
      <c r="AH5" s="351" t="s">
        <v>3604</v>
      </c>
      <c r="AI5" s="351" t="s">
        <v>3605</v>
      </c>
      <c r="AJ5" s="351" t="s">
        <v>3606</v>
      </c>
      <c r="AK5" s="351" t="s">
        <v>3607</v>
      </c>
    </row>
    <row r="6" customFormat="false" ht="26.85" hidden="false" customHeight="false" outlineLevel="0" collapsed="false">
      <c r="A6" s="352" t="s">
        <v>1426</v>
      </c>
      <c r="B6" s="352" t="s">
        <v>226</v>
      </c>
      <c r="C6" s="353" t="s">
        <v>1427</v>
      </c>
      <c r="D6" s="353" t="s">
        <v>899</v>
      </c>
      <c r="E6" s="352" t="s">
        <v>890</v>
      </c>
      <c r="F6" s="353" t="s">
        <v>2235</v>
      </c>
      <c r="G6" s="353" t="s">
        <v>3608</v>
      </c>
      <c r="H6" s="352" t="s">
        <v>3609</v>
      </c>
      <c r="I6" s="352" t="s">
        <v>3610</v>
      </c>
      <c r="J6" s="353" t="s">
        <v>3611</v>
      </c>
      <c r="K6" s="352" t="s">
        <v>2002</v>
      </c>
      <c r="L6" s="352" t="s">
        <v>2004</v>
      </c>
      <c r="M6" s="352" t="s">
        <v>2005</v>
      </c>
      <c r="N6" s="352" t="s">
        <v>1996</v>
      </c>
      <c r="O6" s="353" t="s">
        <v>2195</v>
      </c>
      <c r="P6" s="353" t="s">
        <v>2198</v>
      </c>
      <c r="Q6" s="352" t="s">
        <v>2199</v>
      </c>
      <c r="R6" s="353" t="s">
        <v>2427</v>
      </c>
      <c r="S6" s="352" t="s">
        <v>2621</v>
      </c>
      <c r="T6" s="352" t="s">
        <v>2621</v>
      </c>
      <c r="U6" s="353" t="s">
        <v>2751</v>
      </c>
      <c r="V6" s="352" t="s">
        <v>2972</v>
      </c>
      <c r="W6" s="353" t="s">
        <v>1438</v>
      </c>
      <c r="X6" s="353" t="s">
        <v>282</v>
      </c>
      <c r="Y6" s="353" t="s">
        <v>3608</v>
      </c>
      <c r="Z6" s="353" t="s">
        <v>3612</v>
      </c>
      <c r="AA6" s="353" t="s">
        <v>1440</v>
      </c>
      <c r="AB6" s="353" t="s">
        <v>230</v>
      </c>
      <c r="AC6" s="353" t="s">
        <v>282</v>
      </c>
      <c r="AD6" s="352" t="s">
        <v>568</v>
      </c>
      <c r="AE6" s="352" t="s">
        <v>1286</v>
      </c>
      <c r="AF6" s="352" t="s">
        <v>1305</v>
      </c>
      <c r="AG6" s="353" t="s">
        <v>227</v>
      </c>
      <c r="AH6" s="352" t="s">
        <v>223</v>
      </c>
      <c r="AI6" s="353" t="s">
        <v>280</v>
      </c>
      <c r="AJ6" s="352" t="s">
        <v>3613</v>
      </c>
      <c r="AK6" s="353" t="s">
        <v>3614</v>
      </c>
    </row>
    <row r="7" customFormat="false" ht="39.55" hidden="false" customHeight="false" outlineLevel="0" collapsed="false">
      <c r="A7" s="352" t="s">
        <v>1483</v>
      </c>
      <c r="B7" s="352" t="s">
        <v>243</v>
      </c>
      <c r="C7" s="353" t="s">
        <v>1484</v>
      </c>
      <c r="D7" s="353" t="s">
        <v>3615</v>
      </c>
      <c r="E7" s="352" t="s">
        <v>273</v>
      </c>
      <c r="F7" s="353" t="s">
        <v>1435</v>
      </c>
      <c r="G7" s="353" t="s">
        <v>1595</v>
      </c>
      <c r="H7" s="352" t="s">
        <v>3610</v>
      </c>
      <c r="I7" s="352" t="s">
        <v>3616</v>
      </c>
      <c r="J7" s="353" t="s">
        <v>3617</v>
      </c>
      <c r="K7" s="352" t="s">
        <v>1992</v>
      </c>
      <c r="L7" s="352" t="s">
        <v>2019</v>
      </c>
      <c r="M7" s="352" t="s">
        <v>1995</v>
      </c>
      <c r="N7" s="352" t="s">
        <v>2006</v>
      </c>
      <c r="O7" s="352" t="s">
        <v>2231</v>
      </c>
      <c r="P7" s="353" t="s">
        <v>2234</v>
      </c>
      <c r="Q7" s="352"/>
      <c r="R7" s="353" t="s">
        <v>3618</v>
      </c>
      <c r="S7" s="352" t="s">
        <v>2630</v>
      </c>
      <c r="T7" s="352" t="s">
        <v>2648</v>
      </c>
      <c r="U7" s="353" t="s">
        <v>2770</v>
      </c>
      <c r="V7" s="352" t="s">
        <v>2955</v>
      </c>
      <c r="W7" s="353" t="s">
        <v>3619</v>
      </c>
      <c r="X7" s="353" t="s">
        <v>362</v>
      </c>
      <c r="Y7" s="353" t="s">
        <v>1595</v>
      </c>
      <c r="Z7" s="353" t="s">
        <v>3620</v>
      </c>
      <c r="AA7" s="353" t="s">
        <v>3621</v>
      </c>
      <c r="AB7" s="353" t="s">
        <v>3622</v>
      </c>
      <c r="AC7" s="353" t="s">
        <v>362</v>
      </c>
      <c r="AD7" s="352" t="s">
        <v>245</v>
      </c>
      <c r="AE7" s="352" t="s">
        <v>1275</v>
      </c>
      <c r="AF7" s="354"/>
      <c r="AG7" s="353" t="s">
        <v>281</v>
      </c>
      <c r="AH7" s="352" t="s">
        <v>292</v>
      </c>
      <c r="AI7" s="353" t="s">
        <v>225</v>
      </c>
      <c r="AJ7" s="352" t="s">
        <v>3623</v>
      </c>
      <c r="AK7" s="353" t="s">
        <v>3624</v>
      </c>
    </row>
    <row r="8" customFormat="false" ht="39.55" hidden="false" customHeight="false" outlineLevel="0" collapsed="false">
      <c r="A8" s="352" t="s">
        <v>1526</v>
      </c>
      <c r="B8" s="352" t="s">
        <v>269</v>
      </c>
      <c r="C8" s="353" t="s">
        <v>1527</v>
      </c>
      <c r="D8" s="353" t="s">
        <v>1431</v>
      </c>
      <c r="E8" s="352" t="s">
        <v>424</v>
      </c>
      <c r="F8" s="353" t="s">
        <v>3625</v>
      </c>
      <c r="G8" s="353" t="s">
        <v>1436</v>
      </c>
      <c r="H8" s="352" t="s">
        <v>3616</v>
      </c>
      <c r="I8" s="352" t="s">
        <v>3626</v>
      </c>
      <c r="J8" s="353" t="s">
        <v>3627</v>
      </c>
      <c r="K8" s="352" t="s">
        <v>2043</v>
      </c>
      <c r="L8" s="352" t="s">
        <v>1994</v>
      </c>
      <c r="M8" s="352" t="s">
        <v>2045</v>
      </c>
      <c r="N8" s="352" t="s">
        <v>2046</v>
      </c>
      <c r="O8" s="352" t="s">
        <v>2239</v>
      </c>
      <c r="P8" s="353" t="s">
        <v>2278</v>
      </c>
      <c r="Q8" s="354"/>
      <c r="R8" s="353" t="s">
        <v>3628</v>
      </c>
      <c r="S8" s="352" t="s">
        <v>2635</v>
      </c>
      <c r="T8" s="352" t="s">
        <v>2784</v>
      </c>
      <c r="U8" s="353" t="s">
        <v>2820</v>
      </c>
      <c r="V8" s="352" t="s">
        <v>2962</v>
      </c>
      <c r="W8" s="353" t="s">
        <v>3629</v>
      </c>
      <c r="X8" s="353" t="s">
        <v>270</v>
      </c>
      <c r="Y8" s="353" t="s">
        <v>1436</v>
      </c>
      <c r="Z8" s="353" t="s">
        <v>3630</v>
      </c>
      <c r="AA8" s="353" t="s">
        <v>3631</v>
      </c>
      <c r="AB8" s="353" t="s">
        <v>272</v>
      </c>
      <c r="AC8" s="353" t="s">
        <v>303</v>
      </c>
      <c r="AD8" s="352" t="s">
        <v>229</v>
      </c>
      <c r="AE8" s="352" t="s">
        <v>1271</v>
      </c>
      <c r="AF8" s="354"/>
      <c r="AG8" s="353" t="s">
        <v>244</v>
      </c>
      <c r="AH8" s="352" t="s">
        <v>359</v>
      </c>
      <c r="AI8" s="353" t="s">
        <v>343</v>
      </c>
      <c r="AJ8" s="352" t="s">
        <v>3632</v>
      </c>
      <c r="AK8" s="353" t="s">
        <v>3633</v>
      </c>
    </row>
    <row r="9" customFormat="false" ht="39.55" hidden="false" customHeight="false" outlineLevel="0" collapsed="false">
      <c r="A9" s="352" t="s">
        <v>1589</v>
      </c>
      <c r="B9" s="352" t="s">
        <v>361</v>
      </c>
      <c r="C9" s="353" t="s">
        <v>1556</v>
      </c>
      <c r="D9" s="353" t="s">
        <v>1666</v>
      </c>
      <c r="E9" s="352" t="s">
        <v>231</v>
      </c>
      <c r="F9" s="353" t="s">
        <v>3634</v>
      </c>
      <c r="G9" s="353" t="s">
        <v>3635</v>
      </c>
      <c r="H9" s="352" t="s">
        <v>3626</v>
      </c>
      <c r="I9" s="352" t="s">
        <v>3636</v>
      </c>
      <c r="J9" s="353" t="s">
        <v>3637</v>
      </c>
      <c r="K9" s="352" t="s">
        <v>3638</v>
      </c>
      <c r="L9" s="354"/>
      <c r="M9" s="352" t="s">
        <v>3639</v>
      </c>
      <c r="N9" s="352" t="s">
        <v>2094</v>
      </c>
      <c r="O9" s="353" t="s">
        <v>2259</v>
      </c>
      <c r="P9" s="353" t="s">
        <v>3640</v>
      </c>
      <c r="Q9" s="354"/>
      <c r="R9" s="353" t="s">
        <v>3641</v>
      </c>
      <c r="S9" s="352" t="s">
        <v>2641</v>
      </c>
      <c r="T9" s="352" t="s">
        <v>2817</v>
      </c>
      <c r="U9" s="354"/>
      <c r="V9" s="352" t="s">
        <v>3642</v>
      </c>
      <c r="W9" s="353" t="s">
        <v>3634</v>
      </c>
      <c r="X9" s="353" t="s">
        <v>257</v>
      </c>
      <c r="Y9" s="354"/>
      <c r="Z9" s="353" t="s">
        <v>3643</v>
      </c>
      <c r="AA9" s="353" t="s">
        <v>3644</v>
      </c>
      <c r="AB9" s="354"/>
      <c r="AC9" s="353" t="s">
        <v>353</v>
      </c>
      <c r="AD9" s="352" t="s">
        <v>271</v>
      </c>
      <c r="AE9" s="352" t="s">
        <v>1279</v>
      </c>
      <c r="AF9" s="354"/>
      <c r="AG9" s="353" t="s">
        <v>332</v>
      </c>
      <c r="AH9" s="352" t="s">
        <v>437</v>
      </c>
      <c r="AI9" s="354"/>
      <c r="AJ9" s="352" t="s">
        <v>3645</v>
      </c>
      <c r="AK9" s="353" t="s">
        <v>3646</v>
      </c>
    </row>
    <row r="10" customFormat="false" ht="39.55" hidden="false" customHeight="false" outlineLevel="0" collapsed="false">
      <c r="A10" s="352" t="s">
        <v>1650</v>
      </c>
      <c r="B10" s="352" t="s">
        <v>302</v>
      </c>
      <c r="C10" s="352" t="s">
        <v>1590</v>
      </c>
      <c r="D10" s="354"/>
      <c r="E10" s="352" t="s">
        <v>246</v>
      </c>
      <c r="F10" s="354"/>
      <c r="G10" s="354"/>
      <c r="H10" s="352" t="s">
        <v>3636</v>
      </c>
      <c r="I10" s="352" t="s">
        <v>3647</v>
      </c>
      <c r="J10" s="353" t="s">
        <v>2278</v>
      </c>
      <c r="K10" s="352" t="s">
        <v>3648</v>
      </c>
      <c r="L10" s="354"/>
      <c r="M10" s="354"/>
      <c r="N10" s="352" t="s">
        <v>3649</v>
      </c>
      <c r="O10" s="353" t="s">
        <v>2266</v>
      </c>
      <c r="P10" s="353" t="s">
        <v>2334</v>
      </c>
      <c r="Q10" s="354"/>
      <c r="R10" s="353" t="s">
        <v>3650</v>
      </c>
      <c r="S10" s="352" t="s">
        <v>2648</v>
      </c>
      <c r="T10" s="352" t="s">
        <v>2843</v>
      </c>
      <c r="U10" s="354"/>
      <c r="V10" s="352" t="s">
        <v>3651</v>
      </c>
      <c r="W10" s="354"/>
      <c r="X10" s="353" t="s">
        <v>333</v>
      </c>
      <c r="Y10" s="354"/>
      <c r="Z10" s="354"/>
      <c r="AA10" s="354"/>
      <c r="AB10" s="354"/>
      <c r="AC10" s="353" t="s">
        <v>450</v>
      </c>
      <c r="AD10" s="352" t="s">
        <v>258</v>
      </c>
      <c r="AE10" s="352" t="s">
        <v>3652</v>
      </c>
      <c r="AF10" s="354"/>
      <c r="AG10" s="352" t="s">
        <v>3653</v>
      </c>
      <c r="AH10" s="352" t="s">
        <v>493</v>
      </c>
      <c r="AI10" s="354"/>
      <c r="AJ10" s="352" t="s">
        <v>3654</v>
      </c>
      <c r="AK10" s="353" t="s">
        <v>3655</v>
      </c>
    </row>
    <row r="11" customFormat="false" ht="39.55" hidden="false" customHeight="false" outlineLevel="0" collapsed="false">
      <c r="A11" s="352" t="s">
        <v>1711</v>
      </c>
      <c r="B11" s="352" t="s">
        <v>344</v>
      </c>
      <c r="C11" s="353" t="s">
        <v>1601</v>
      </c>
      <c r="D11" s="354"/>
      <c r="E11" s="352" t="s">
        <v>785</v>
      </c>
      <c r="F11" s="354"/>
      <c r="G11" s="354"/>
      <c r="H11" s="352" t="s">
        <v>3647</v>
      </c>
      <c r="I11" s="354"/>
      <c r="J11" s="352" t="s">
        <v>2031</v>
      </c>
      <c r="K11" s="352" t="s">
        <v>3656</v>
      </c>
      <c r="L11" s="354"/>
      <c r="M11" s="354"/>
      <c r="N11" s="353" t="s">
        <v>1666</v>
      </c>
      <c r="O11" s="353" t="s">
        <v>1971</v>
      </c>
      <c r="P11" s="353" t="s">
        <v>2298</v>
      </c>
      <c r="Q11" s="354"/>
      <c r="R11" s="353" t="s">
        <v>3657</v>
      </c>
      <c r="S11" s="352" t="s">
        <v>2654</v>
      </c>
      <c r="T11" s="352" t="s">
        <v>2671</v>
      </c>
      <c r="U11" s="354"/>
      <c r="V11" s="352" t="s">
        <v>3658</v>
      </c>
      <c r="W11" s="354"/>
      <c r="X11" s="353" t="s">
        <v>3659</v>
      </c>
      <c r="Y11" s="354"/>
      <c r="Z11" s="354"/>
      <c r="AA11" s="354"/>
      <c r="AB11" s="354"/>
      <c r="AC11" s="353" t="s">
        <v>333</v>
      </c>
      <c r="AD11" s="352" t="s">
        <v>1994</v>
      </c>
      <c r="AE11" s="352" t="s">
        <v>3660</v>
      </c>
      <c r="AF11" s="354"/>
      <c r="AG11" s="353" t="s">
        <v>583</v>
      </c>
      <c r="AH11" s="352" t="s">
        <v>581</v>
      </c>
      <c r="AI11" s="354"/>
      <c r="AJ11" s="352" t="s">
        <v>3661</v>
      </c>
      <c r="AK11" s="353" t="s">
        <v>3662</v>
      </c>
    </row>
    <row r="12" customFormat="false" ht="39.55" hidden="false" customHeight="false" outlineLevel="0" collapsed="false">
      <c r="A12" s="352" t="s">
        <v>1776</v>
      </c>
      <c r="B12" s="352" t="s">
        <v>744</v>
      </c>
      <c r="C12" s="352" t="s">
        <v>1618</v>
      </c>
      <c r="D12" s="354"/>
      <c r="E12" s="352" t="s">
        <v>283</v>
      </c>
      <c r="F12" s="354"/>
      <c r="G12" s="354"/>
      <c r="H12" s="354"/>
      <c r="I12" s="354"/>
      <c r="J12" s="353" t="s">
        <v>2127</v>
      </c>
      <c r="K12" s="352" t="s">
        <v>3663</v>
      </c>
      <c r="L12" s="354"/>
      <c r="M12" s="354"/>
      <c r="N12" s="352" t="s">
        <v>3664</v>
      </c>
      <c r="O12" s="353" t="s">
        <v>2296</v>
      </c>
      <c r="P12" s="354"/>
      <c r="Q12" s="354"/>
      <c r="R12" s="354"/>
      <c r="S12" s="352" t="s">
        <v>2660</v>
      </c>
      <c r="T12" s="352" t="s">
        <v>2677</v>
      </c>
      <c r="U12" s="354"/>
      <c r="V12" s="352" t="s">
        <v>3665</v>
      </c>
      <c r="W12" s="354"/>
      <c r="X12" s="354"/>
      <c r="Y12" s="354"/>
      <c r="Z12" s="354"/>
      <c r="AA12" s="354"/>
      <c r="AB12" s="354"/>
      <c r="AC12" s="353" t="s">
        <v>559</v>
      </c>
      <c r="AD12" s="354"/>
      <c r="AE12" s="352" t="s">
        <v>3666</v>
      </c>
      <c r="AF12" s="354"/>
      <c r="AG12" s="353" t="s">
        <v>256</v>
      </c>
      <c r="AH12" s="352" t="s">
        <v>701</v>
      </c>
      <c r="AI12" s="354"/>
      <c r="AJ12" s="352" t="s">
        <v>3667</v>
      </c>
      <c r="AK12" s="353" t="s">
        <v>3668</v>
      </c>
    </row>
    <row r="13" customFormat="false" ht="39.55" hidden="false" customHeight="false" outlineLevel="0" collapsed="false">
      <c r="A13" s="352" t="s">
        <v>1817</v>
      </c>
      <c r="B13" s="354"/>
      <c r="C13" s="352" t="s">
        <v>1886</v>
      </c>
      <c r="D13" s="354"/>
      <c r="E13" s="352" t="s">
        <v>1550</v>
      </c>
      <c r="F13" s="354"/>
      <c r="G13" s="354"/>
      <c r="H13" s="354"/>
      <c r="I13" s="354"/>
      <c r="J13" s="353" t="s">
        <v>3669</v>
      </c>
      <c r="K13" s="352" t="s">
        <v>1994</v>
      </c>
      <c r="L13" s="354"/>
      <c r="M13" s="354"/>
      <c r="N13" s="354"/>
      <c r="O13" s="353" t="s">
        <v>2311</v>
      </c>
      <c r="P13" s="354"/>
      <c r="Q13" s="354"/>
      <c r="R13" s="354"/>
      <c r="S13" s="352" t="s">
        <v>2666</v>
      </c>
      <c r="T13" s="352" t="s">
        <v>2911</v>
      </c>
      <c r="U13" s="354"/>
      <c r="V13" s="352" t="s">
        <v>3670</v>
      </c>
      <c r="W13" s="354"/>
      <c r="X13" s="354"/>
      <c r="Y13" s="354"/>
      <c r="Z13" s="354"/>
      <c r="AA13" s="354"/>
      <c r="AB13" s="354"/>
      <c r="AC13" s="353" t="s">
        <v>228</v>
      </c>
      <c r="AD13" s="354"/>
      <c r="AE13" s="354"/>
      <c r="AF13" s="354"/>
      <c r="AG13" s="353" t="s">
        <v>645</v>
      </c>
      <c r="AH13" s="352" t="s">
        <v>733</v>
      </c>
      <c r="AI13" s="354"/>
      <c r="AJ13" s="352" t="s">
        <v>3671</v>
      </c>
      <c r="AK13" s="353" t="s">
        <v>3672</v>
      </c>
    </row>
    <row r="14" customFormat="false" ht="39.55" hidden="false" customHeight="false" outlineLevel="0" collapsed="false">
      <c r="A14" s="352" t="s">
        <v>1859</v>
      </c>
      <c r="B14" s="354"/>
      <c r="C14" s="353" t="s">
        <v>1651</v>
      </c>
      <c r="D14" s="354"/>
      <c r="E14" s="352" t="s">
        <v>304</v>
      </c>
      <c r="F14" s="354"/>
      <c r="G14" s="354"/>
      <c r="H14" s="354"/>
      <c r="I14" s="354"/>
      <c r="J14" s="353" t="s">
        <v>2110</v>
      </c>
      <c r="K14" s="354"/>
      <c r="L14" s="354"/>
      <c r="M14" s="354"/>
      <c r="N14" s="354"/>
      <c r="O14" s="353" t="s">
        <v>2322</v>
      </c>
      <c r="P14" s="354"/>
      <c r="Q14" s="354"/>
      <c r="R14" s="354"/>
      <c r="S14" s="352" t="s">
        <v>2671</v>
      </c>
      <c r="T14" s="352" t="s">
        <v>2682</v>
      </c>
      <c r="U14" s="354"/>
      <c r="V14" s="354"/>
      <c r="W14" s="354"/>
      <c r="X14" s="354"/>
      <c r="Y14" s="354"/>
      <c r="Z14" s="354"/>
      <c r="AA14" s="354"/>
      <c r="AB14" s="354"/>
      <c r="AC14" s="353" t="s">
        <v>345</v>
      </c>
      <c r="AD14" s="354"/>
      <c r="AE14" s="354"/>
      <c r="AF14" s="354"/>
      <c r="AG14" s="353" t="s">
        <v>407</v>
      </c>
      <c r="AH14" s="352" t="s">
        <v>783</v>
      </c>
      <c r="AI14" s="354"/>
      <c r="AJ14" s="353" t="s">
        <v>2841</v>
      </c>
      <c r="AK14" s="353" t="s">
        <v>3673</v>
      </c>
    </row>
    <row r="15" customFormat="false" ht="39.55" hidden="false" customHeight="false" outlineLevel="0" collapsed="false">
      <c r="A15" s="352" t="s">
        <v>1903</v>
      </c>
      <c r="B15" s="354"/>
      <c r="C15" s="353" t="s">
        <v>1712</v>
      </c>
      <c r="D15" s="354"/>
      <c r="E15" s="352" t="s">
        <v>334</v>
      </c>
      <c r="F15" s="354"/>
      <c r="G15" s="354"/>
      <c r="H15" s="354"/>
      <c r="I15" s="354"/>
      <c r="J15" s="353" t="s">
        <v>3674</v>
      </c>
      <c r="K15" s="354"/>
      <c r="L15" s="354"/>
      <c r="M15" s="354"/>
      <c r="N15" s="354"/>
      <c r="O15" s="353" t="s">
        <v>2326</v>
      </c>
      <c r="P15" s="354"/>
      <c r="Q15" s="354"/>
      <c r="R15" s="354"/>
      <c r="S15" s="352" t="s">
        <v>2677</v>
      </c>
      <c r="T15" s="352" t="s">
        <v>2925</v>
      </c>
      <c r="U15" s="354"/>
      <c r="V15" s="354"/>
      <c r="W15" s="354"/>
      <c r="X15" s="354"/>
      <c r="Y15" s="354"/>
      <c r="Z15" s="354"/>
      <c r="AA15" s="354"/>
      <c r="AB15" s="354"/>
      <c r="AC15" s="353" t="s">
        <v>270</v>
      </c>
      <c r="AD15" s="354"/>
      <c r="AE15" s="354"/>
      <c r="AF15" s="354"/>
      <c r="AG15" s="353" t="s">
        <v>875</v>
      </c>
      <c r="AH15" s="352" t="s">
        <v>860</v>
      </c>
      <c r="AI15" s="354"/>
      <c r="AJ15" s="353" t="s">
        <v>3675</v>
      </c>
      <c r="AK15" s="352" t="s">
        <v>3676</v>
      </c>
    </row>
    <row r="16" customFormat="false" ht="26.85" hidden="false" customHeight="false" outlineLevel="0" collapsed="false">
      <c r="A16" s="354"/>
      <c r="B16" s="354"/>
      <c r="C16" s="353" t="s">
        <v>1777</v>
      </c>
      <c r="D16" s="354"/>
      <c r="E16" s="352" t="s">
        <v>346</v>
      </c>
      <c r="F16" s="354"/>
      <c r="G16" s="354"/>
      <c r="H16" s="354"/>
      <c r="I16" s="354"/>
      <c r="J16" s="353" t="s">
        <v>3677</v>
      </c>
      <c r="K16" s="354"/>
      <c r="L16" s="354"/>
      <c r="M16" s="354"/>
      <c r="N16" s="354"/>
      <c r="O16" s="353" t="s">
        <v>2332</v>
      </c>
      <c r="P16" s="354"/>
      <c r="Q16" s="354"/>
      <c r="R16" s="354"/>
      <c r="S16" s="352" t="s">
        <v>2682</v>
      </c>
      <c r="T16" s="352" t="s">
        <v>2940</v>
      </c>
      <c r="U16" s="354"/>
      <c r="V16" s="354"/>
      <c r="W16" s="354"/>
      <c r="X16" s="354"/>
      <c r="Y16" s="354"/>
      <c r="Z16" s="354"/>
      <c r="AA16" s="354"/>
      <c r="AB16" s="354"/>
      <c r="AC16" s="353" t="s">
        <v>257</v>
      </c>
      <c r="AD16" s="354"/>
      <c r="AE16" s="354"/>
      <c r="AF16" s="354"/>
      <c r="AG16" s="353" t="s">
        <v>423</v>
      </c>
      <c r="AH16" s="354"/>
      <c r="AI16" s="354"/>
      <c r="AJ16" s="353" t="s">
        <v>3678</v>
      </c>
      <c r="AK16" s="353" t="s">
        <v>3679</v>
      </c>
    </row>
    <row r="17" customFormat="false" ht="26.85" hidden="false" customHeight="false" outlineLevel="0" collapsed="false">
      <c r="A17" s="354"/>
      <c r="B17" s="354"/>
      <c r="C17" s="353" t="s">
        <v>1818</v>
      </c>
      <c r="D17" s="354"/>
      <c r="E17" s="352" t="s">
        <v>439</v>
      </c>
      <c r="F17" s="354"/>
      <c r="G17" s="354"/>
      <c r="H17" s="354"/>
      <c r="I17" s="354"/>
      <c r="J17" s="353" t="s">
        <v>3680</v>
      </c>
      <c r="K17" s="354"/>
      <c r="L17" s="354"/>
      <c r="M17" s="354"/>
      <c r="N17" s="354"/>
      <c r="O17" s="353" t="s">
        <v>2338</v>
      </c>
      <c r="P17" s="354"/>
      <c r="Q17" s="354"/>
      <c r="R17" s="354"/>
      <c r="S17" s="352" t="s">
        <v>2687</v>
      </c>
      <c r="T17" s="354"/>
      <c r="U17" s="354"/>
      <c r="V17" s="354"/>
      <c r="W17" s="354"/>
      <c r="X17" s="354"/>
      <c r="Y17" s="354"/>
      <c r="Z17" s="354"/>
      <c r="AA17" s="354"/>
      <c r="AB17" s="354"/>
      <c r="AC17" s="352" t="s">
        <v>584</v>
      </c>
      <c r="AD17" s="354"/>
      <c r="AE17" s="354"/>
      <c r="AF17" s="354"/>
      <c r="AG17" s="353" t="s">
        <v>3681</v>
      </c>
      <c r="AH17" s="354"/>
      <c r="AI17" s="354"/>
      <c r="AJ17" s="352" t="s">
        <v>3682</v>
      </c>
      <c r="AK17" s="353" t="s">
        <v>3683</v>
      </c>
    </row>
    <row r="18" customFormat="false" ht="26.85" hidden="false" customHeight="false" outlineLevel="0" collapsed="false">
      <c r="A18" s="354"/>
      <c r="B18" s="354"/>
      <c r="C18" s="353" t="s">
        <v>1860</v>
      </c>
      <c r="D18" s="354"/>
      <c r="E18" s="352" t="s">
        <v>1605</v>
      </c>
      <c r="F18" s="354"/>
      <c r="G18" s="354"/>
      <c r="H18" s="354"/>
      <c r="I18" s="354"/>
      <c r="J18" s="353" t="s">
        <v>3684</v>
      </c>
      <c r="K18" s="354"/>
      <c r="L18" s="354"/>
      <c r="M18" s="354"/>
      <c r="N18" s="354"/>
      <c r="O18" s="353" t="s">
        <v>2344</v>
      </c>
      <c r="P18" s="354"/>
      <c r="Q18" s="354"/>
      <c r="R18" s="354"/>
      <c r="S18" s="352" t="s">
        <v>2693</v>
      </c>
      <c r="T18" s="354"/>
      <c r="U18" s="354"/>
      <c r="V18" s="354"/>
      <c r="W18" s="354"/>
      <c r="X18" s="354"/>
      <c r="Y18" s="354"/>
      <c r="Z18" s="354"/>
      <c r="AA18" s="354"/>
      <c r="AB18" s="354"/>
      <c r="AC18" s="353" t="s">
        <v>3659</v>
      </c>
      <c r="AD18" s="354"/>
      <c r="AE18" s="354"/>
      <c r="AF18" s="354"/>
      <c r="AG18" s="352" t="s">
        <v>1994</v>
      </c>
      <c r="AH18" s="354"/>
      <c r="AI18" s="354"/>
      <c r="AJ18" s="352" t="s">
        <v>3685</v>
      </c>
      <c r="AK18" s="353" t="s">
        <v>3686</v>
      </c>
    </row>
    <row r="19" customFormat="false" ht="26.85" hidden="false" customHeight="false" outlineLevel="0" collapsed="false">
      <c r="A19" s="354"/>
      <c r="B19" s="354"/>
      <c r="C19" s="353" t="s">
        <v>1904</v>
      </c>
      <c r="D19" s="354"/>
      <c r="E19" s="352" t="s">
        <v>464</v>
      </c>
      <c r="F19" s="354"/>
      <c r="G19" s="354"/>
      <c r="H19" s="354"/>
      <c r="I19" s="354"/>
      <c r="J19" s="353" t="s">
        <v>2139</v>
      </c>
      <c r="K19" s="354"/>
      <c r="L19" s="354"/>
      <c r="M19" s="354"/>
      <c r="N19" s="354"/>
      <c r="O19" s="352" t="s">
        <v>2348</v>
      </c>
      <c r="P19" s="354"/>
      <c r="Q19" s="354"/>
      <c r="R19" s="354"/>
      <c r="S19" s="352" t="s">
        <v>2698</v>
      </c>
      <c r="T19" s="354"/>
      <c r="U19" s="354"/>
      <c r="V19" s="354"/>
      <c r="W19" s="354"/>
      <c r="X19" s="354"/>
      <c r="Y19" s="354"/>
      <c r="Z19" s="354"/>
      <c r="AA19" s="354"/>
      <c r="AB19" s="354"/>
      <c r="AC19" s="354"/>
      <c r="AD19" s="354"/>
      <c r="AE19" s="354"/>
      <c r="AF19" s="354"/>
      <c r="AG19" s="354"/>
      <c r="AH19" s="354"/>
      <c r="AI19" s="354"/>
      <c r="AJ19" s="353" t="s">
        <v>3687</v>
      </c>
      <c r="AK19" s="353" t="s">
        <v>3688</v>
      </c>
    </row>
    <row r="20" customFormat="false" ht="26.85" hidden="false" customHeight="false" outlineLevel="0" collapsed="false">
      <c r="A20" s="354"/>
      <c r="B20" s="354"/>
      <c r="C20" s="353" t="s">
        <v>1933</v>
      </c>
      <c r="D20" s="354"/>
      <c r="E20" s="352" t="s">
        <v>457</v>
      </c>
      <c r="F20" s="354"/>
      <c r="G20" s="354"/>
      <c r="H20" s="354"/>
      <c r="I20" s="354"/>
      <c r="J20" s="353" t="s">
        <v>3689</v>
      </c>
      <c r="K20" s="354"/>
      <c r="L20" s="354"/>
      <c r="M20" s="354"/>
      <c r="N20" s="354"/>
      <c r="O20" s="353" t="s">
        <v>2354</v>
      </c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354"/>
      <c r="AB20" s="354"/>
      <c r="AC20" s="354"/>
      <c r="AD20" s="354"/>
      <c r="AE20" s="354"/>
      <c r="AF20" s="354"/>
      <c r="AG20" s="354"/>
      <c r="AH20" s="354"/>
      <c r="AI20" s="354"/>
      <c r="AJ20" s="353" t="s">
        <v>3690</v>
      </c>
      <c r="AK20" s="353" t="s">
        <v>3691</v>
      </c>
    </row>
    <row r="21" customFormat="false" ht="39.55" hidden="false" customHeight="false" outlineLevel="0" collapsed="false">
      <c r="A21" s="354"/>
      <c r="B21" s="354"/>
      <c r="C21" s="354"/>
      <c r="D21" s="354"/>
      <c r="E21" s="352" t="s">
        <v>480</v>
      </c>
      <c r="F21" s="354"/>
      <c r="G21" s="354"/>
      <c r="H21" s="354"/>
      <c r="I21" s="354"/>
      <c r="J21" s="353" t="s">
        <v>2133</v>
      </c>
      <c r="K21" s="354"/>
      <c r="L21" s="354"/>
      <c r="M21" s="354"/>
      <c r="N21" s="354"/>
      <c r="O21" s="354"/>
      <c r="P21" s="354"/>
      <c r="Q21" s="354"/>
      <c r="R21" s="354"/>
      <c r="S21" s="354"/>
      <c r="T21" s="354"/>
      <c r="U21" s="354"/>
      <c r="V21" s="354"/>
      <c r="W21" s="354"/>
      <c r="X21" s="354"/>
      <c r="Y21" s="354"/>
      <c r="Z21" s="354"/>
      <c r="AA21" s="354"/>
      <c r="AB21" s="354"/>
      <c r="AC21" s="354"/>
      <c r="AD21" s="354"/>
      <c r="AE21" s="354"/>
      <c r="AF21" s="354"/>
      <c r="AG21" s="354"/>
      <c r="AH21" s="354"/>
      <c r="AI21" s="354"/>
      <c r="AJ21" s="354"/>
      <c r="AK21" s="353" t="s">
        <v>3692</v>
      </c>
    </row>
    <row r="22" customFormat="false" ht="39.55" hidden="false" customHeight="false" outlineLevel="0" collapsed="false">
      <c r="A22" s="354"/>
      <c r="B22" s="354"/>
      <c r="C22" s="354"/>
      <c r="D22" s="354"/>
      <c r="E22" s="352" t="s">
        <v>1655</v>
      </c>
      <c r="F22" s="354"/>
      <c r="G22" s="354"/>
      <c r="H22" s="354"/>
      <c r="I22" s="354"/>
      <c r="J22" s="353" t="s">
        <v>2155</v>
      </c>
      <c r="K22" s="354"/>
      <c r="L22" s="354"/>
      <c r="M22" s="354"/>
      <c r="N22" s="354"/>
      <c r="O22" s="354"/>
      <c r="P22" s="354"/>
      <c r="Q22" s="354"/>
      <c r="R22" s="354"/>
      <c r="S22" s="354"/>
      <c r="T22" s="354"/>
      <c r="U22" s="354"/>
      <c r="V22" s="354"/>
      <c r="W22" s="354"/>
      <c r="X22" s="354"/>
      <c r="Y22" s="354"/>
      <c r="Z22" s="354"/>
      <c r="AA22" s="354"/>
      <c r="AB22" s="354"/>
      <c r="AC22" s="354"/>
      <c r="AD22" s="354"/>
      <c r="AE22" s="354"/>
      <c r="AF22" s="354"/>
      <c r="AG22" s="354"/>
      <c r="AH22" s="354"/>
      <c r="AI22" s="354"/>
      <c r="AJ22" s="354"/>
      <c r="AK22" s="353" t="s">
        <v>3693</v>
      </c>
    </row>
    <row r="23" customFormat="false" ht="39.55" hidden="false" customHeight="false" outlineLevel="0" collapsed="false">
      <c r="A23" s="354"/>
      <c r="B23" s="354"/>
      <c r="C23" s="354"/>
      <c r="D23" s="354"/>
      <c r="E23" s="352" t="s">
        <v>363</v>
      </c>
      <c r="F23" s="354"/>
      <c r="G23" s="354"/>
      <c r="H23" s="354"/>
      <c r="I23" s="354"/>
      <c r="J23" s="353" t="s">
        <v>2104</v>
      </c>
      <c r="K23" s="354"/>
      <c r="L23" s="354"/>
      <c r="M23" s="354"/>
      <c r="N23" s="354"/>
      <c r="O23" s="354"/>
      <c r="P23" s="354"/>
      <c r="Q23" s="354"/>
      <c r="R23" s="354"/>
      <c r="S23" s="354"/>
      <c r="T23" s="354"/>
      <c r="U23" s="354"/>
      <c r="V23" s="354"/>
      <c r="W23" s="354"/>
      <c r="X23" s="354"/>
      <c r="Y23" s="354"/>
      <c r="Z23" s="354"/>
      <c r="AA23" s="354"/>
      <c r="AB23" s="354"/>
      <c r="AC23" s="354"/>
      <c r="AD23" s="354"/>
      <c r="AE23" s="354"/>
      <c r="AF23" s="354"/>
      <c r="AG23" s="354"/>
      <c r="AH23" s="354"/>
      <c r="AI23" s="354"/>
      <c r="AJ23" s="354"/>
      <c r="AK23" s="353" t="s">
        <v>3694</v>
      </c>
    </row>
    <row r="24" customFormat="false" ht="39.55" hidden="false" customHeight="false" outlineLevel="0" collapsed="false">
      <c r="A24" s="354"/>
      <c r="B24" s="354"/>
      <c r="C24" s="354"/>
      <c r="D24" s="354"/>
      <c r="E24" s="352" t="s">
        <v>414</v>
      </c>
      <c r="F24" s="354"/>
      <c r="G24" s="354"/>
      <c r="H24" s="354"/>
      <c r="I24" s="354"/>
      <c r="J24" s="353" t="s">
        <v>2092</v>
      </c>
      <c r="K24" s="354"/>
      <c r="L24" s="354"/>
      <c r="M24" s="354"/>
      <c r="N24" s="354"/>
      <c r="O24" s="354"/>
      <c r="P24" s="354"/>
      <c r="Q24" s="354"/>
      <c r="R24" s="354"/>
      <c r="S24" s="354"/>
      <c r="T24" s="354"/>
      <c r="U24" s="354"/>
      <c r="V24" s="354"/>
      <c r="W24" s="354"/>
      <c r="X24" s="354"/>
      <c r="Y24" s="354"/>
      <c r="Z24" s="354"/>
      <c r="AA24" s="354"/>
      <c r="AB24" s="354"/>
      <c r="AC24" s="354"/>
      <c r="AD24" s="354"/>
      <c r="AE24" s="354"/>
      <c r="AF24" s="354"/>
      <c r="AG24" s="354"/>
      <c r="AH24" s="354"/>
      <c r="AI24" s="354"/>
      <c r="AJ24" s="354"/>
      <c r="AK24" s="353" t="s">
        <v>3695</v>
      </c>
    </row>
    <row r="25" customFormat="false" ht="26.85" hidden="false" customHeight="false" outlineLevel="0" collapsed="false">
      <c r="A25" s="354"/>
      <c r="B25" s="354"/>
      <c r="C25" s="354"/>
      <c r="D25" s="354"/>
      <c r="E25" s="352" t="s">
        <v>354</v>
      </c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  <c r="T25" s="354"/>
      <c r="U25" s="354"/>
      <c r="V25" s="354"/>
      <c r="W25" s="354"/>
      <c r="X25" s="354"/>
      <c r="Y25" s="354"/>
      <c r="Z25" s="354"/>
      <c r="AA25" s="354"/>
      <c r="AB25" s="354"/>
      <c r="AC25" s="354"/>
      <c r="AD25" s="354"/>
      <c r="AE25" s="354"/>
      <c r="AF25" s="354"/>
      <c r="AG25" s="354"/>
      <c r="AH25" s="354"/>
      <c r="AI25" s="354"/>
      <c r="AJ25" s="354"/>
      <c r="AK25" s="353" t="s">
        <v>3696</v>
      </c>
    </row>
    <row r="26" customFormat="false" ht="26.85" hidden="false" customHeight="false" outlineLevel="0" collapsed="false">
      <c r="A26" s="354"/>
      <c r="B26" s="354"/>
      <c r="C26" s="354"/>
      <c r="D26" s="354"/>
      <c r="E26" s="352" t="s">
        <v>487</v>
      </c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3" t="s">
        <v>3697</v>
      </c>
    </row>
    <row r="27" customFormat="false" ht="26.85" hidden="false" customHeight="false" outlineLevel="0" collapsed="false">
      <c r="A27" s="354"/>
      <c r="B27" s="354"/>
      <c r="C27" s="354"/>
      <c r="D27" s="354"/>
      <c r="E27" s="352" t="s">
        <v>513</v>
      </c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3" t="s">
        <v>3698</v>
      </c>
    </row>
    <row r="28" customFormat="false" ht="26.85" hidden="false" customHeight="false" outlineLevel="0" collapsed="false">
      <c r="A28" s="354"/>
      <c r="B28" s="354"/>
      <c r="C28" s="354"/>
      <c r="D28" s="354"/>
      <c r="E28" s="352" t="s">
        <v>536</v>
      </c>
      <c r="F28" s="354"/>
      <c r="G28" s="354"/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  <c r="T28" s="354"/>
      <c r="U28" s="354"/>
      <c r="V28" s="354"/>
      <c r="W28" s="354"/>
      <c r="X28" s="354"/>
      <c r="Y28" s="354"/>
      <c r="Z28" s="354"/>
      <c r="AA28" s="354"/>
      <c r="AB28" s="354"/>
      <c r="AC28" s="354"/>
      <c r="AD28" s="354"/>
      <c r="AE28" s="354"/>
      <c r="AF28" s="354"/>
      <c r="AG28" s="354"/>
      <c r="AH28" s="354"/>
      <c r="AI28" s="354"/>
      <c r="AJ28" s="354"/>
      <c r="AK28" s="353" t="s">
        <v>3699</v>
      </c>
    </row>
    <row r="29" customFormat="false" ht="39.55" hidden="false" customHeight="false" outlineLevel="0" collapsed="false">
      <c r="A29" s="354"/>
      <c r="B29" s="354"/>
      <c r="C29" s="354"/>
      <c r="D29" s="354"/>
      <c r="E29" s="352" t="s">
        <v>522</v>
      </c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  <c r="T29" s="354"/>
      <c r="U29" s="354"/>
      <c r="V29" s="354"/>
      <c r="W29" s="354"/>
      <c r="X29" s="354"/>
      <c r="Y29" s="354"/>
      <c r="Z29" s="354"/>
      <c r="AA29" s="354"/>
      <c r="AB29" s="354"/>
      <c r="AC29" s="354"/>
      <c r="AD29" s="354"/>
      <c r="AE29" s="354"/>
      <c r="AF29" s="354"/>
      <c r="AG29" s="354"/>
      <c r="AH29" s="354"/>
      <c r="AI29" s="354"/>
      <c r="AJ29" s="354"/>
      <c r="AK29" s="353" t="s">
        <v>3700</v>
      </c>
    </row>
    <row r="30" customFormat="false" ht="15" hidden="false" customHeight="false" outlineLevel="0" collapsed="false">
      <c r="A30" s="354"/>
      <c r="B30" s="354"/>
      <c r="C30" s="354"/>
      <c r="D30" s="354"/>
      <c r="E30" s="352" t="s">
        <v>569</v>
      </c>
      <c r="F30" s="354"/>
      <c r="G30" s="354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4"/>
      <c r="V30" s="354"/>
      <c r="W30" s="354"/>
      <c r="X30" s="354"/>
      <c r="Y30" s="354"/>
      <c r="Z30" s="354"/>
      <c r="AA30" s="354"/>
      <c r="AB30" s="354"/>
      <c r="AC30" s="354"/>
      <c r="AD30" s="354"/>
      <c r="AE30" s="354"/>
      <c r="AF30" s="354"/>
      <c r="AG30" s="354"/>
      <c r="AH30" s="354"/>
      <c r="AI30" s="354"/>
      <c r="AJ30" s="354"/>
      <c r="AK30" s="353" t="s">
        <v>3701</v>
      </c>
    </row>
    <row r="31" customFormat="false" ht="15" hidden="false" customHeight="false" outlineLevel="0" collapsed="false">
      <c r="A31" s="354"/>
      <c r="B31" s="354"/>
      <c r="C31" s="354"/>
      <c r="D31" s="354"/>
      <c r="E31" s="352" t="s">
        <v>543</v>
      </c>
      <c r="F31" s="354"/>
      <c r="G31" s="354"/>
      <c r="H31" s="354"/>
      <c r="I31" s="354"/>
      <c r="J31" s="354"/>
      <c r="K31" s="354"/>
      <c r="L31" s="354"/>
      <c r="M31" s="354"/>
      <c r="N31" s="354"/>
      <c r="O31" s="354"/>
      <c r="P31" s="354"/>
      <c r="Q31" s="354"/>
      <c r="R31" s="354"/>
      <c r="S31" s="354"/>
      <c r="T31" s="354"/>
      <c r="U31" s="354"/>
      <c r="V31" s="354"/>
      <c r="W31" s="354"/>
      <c r="X31" s="354"/>
      <c r="Y31" s="354"/>
      <c r="Z31" s="354"/>
      <c r="AA31" s="354"/>
      <c r="AB31" s="354"/>
      <c r="AC31" s="354"/>
      <c r="AD31" s="354"/>
      <c r="AE31" s="354"/>
      <c r="AF31" s="354"/>
      <c r="AG31" s="354"/>
      <c r="AH31" s="354"/>
      <c r="AI31" s="354"/>
      <c r="AJ31" s="354"/>
      <c r="AK31" s="353" t="s">
        <v>3702</v>
      </c>
    </row>
    <row r="32" customFormat="false" ht="15" hidden="false" customHeight="false" outlineLevel="0" collapsed="false">
      <c r="A32" s="354"/>
      <c r="B32" s="354"/>
      <c r="C32" s="354"/>
      <c r="D32" s="354"/>
      <c r="E32" s="352" t="s">
        <v>675</v>
      </c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354"/>
      <c r="AB32" s="354"/>
      <c r="AC32" s="354"/>
      <c r="AD32" s="354"/>
      <c r="AE32" s="354"/>
      <c r="AF32" s="354"/>
      <c r="AG32" s="354"/>
      <c r="AH32" s="354"/>
      <c r="AI32" s="354"/>
      <c r="AJ32" s="354"/>
      <c r="AK32" s="352" t="s">
        <v>3703</v>
      </c>
    </row>
    <row r="33" customFormat="false" ht="15" hidden="false" customHeight="false" outlineLevel="0" collapsed="false">
      <c r="A33" s="354"/>
      <c r="B33" s="354"/>
      <c r="C33" s="354"/>
      <c r="D33" s="354"/>
      <c r="E33" s="352" t="s">
        <v>703</v>
      </c>
      <c r="F33" s="354"/>
      <c r="G33" s="354"/>
      <c r="H33" s="354"/>
      <c r="I33" s="354"/>
      <c r="J33" s="354"/>
      <c r="K33" s="354"/>
      <c r="L33" s="354"/>
      <c r="M33" s="354"/>
      <c r="N33" s="354"/>
      <c r="O33" s="354"/>
      <c r="P33" s="354"/>
      <c r="Q33" s="354"/>
      <c r="R33" s="354"/>
      <c r="S33" s="354"/>
      <c r="T33" s="354"/>
      <c r="U33" s="354"/>
      <c r="V33" s="354"/>
      <c r="W33" s="354"/>
      <c r="X33" s="354"/>
      <c r="Y33" s="354"/>
      <c r="Z33" s="354"/>
      <c r="AA33" s="354"/>
      <c r="AB33" s="354"/>
      <c r="AC33" s="354"/>
      <c r="AD33" s="354"/>
      <c r="AE33" s="354"/>
      <c r="AF33" s="354"/>
      <c r="AG33" s="354"/>
      <c r="AH33" s="354"/>
      <c r="AI33" s="354"/>
      <c r="AJ33" s="354"/>
      <c r="AK33" s="353" t="s">
        <v>3704</v>
      </c>
    </row>
    <row r="34" customFormat="false" ht="15" hidden="false" customHeight="false" outlineLevel="0" collapsed="false">
      <c r="A34" s="354"/>
      <c r="B34" s="354"/>
      <c r="C34" s="354"/>
      <c r="D34" s="354"/>
      <c r="E34" s="352" t="s">
        <v>576</v>
      </c>
      <c r="F34" s="354"/>
      <c r="G34" s="354"/>
      <c r="H34" s="354"/>
      <c r="I34" s="354"/>
      <c r="J34" s="354"/>
      <c r="K34" s="354"/>
      <c r="L34" s="354"/>
      <c r="M34" s="354"/>
      <c r="N34" s="354"/>
      <c r="O34" s="354"/>
      <c r="P34" s="354"/>
      <c r="Q34" s="354"/>
      <c r="R34" s="354"/>
      <c r="S34" s="354"/>
      <c r="T34" s="354"/>
      <c r="U34" s="354"/>
      <c r="V34" s="354"/>
      <c r="W34" s="354"/>
      <c r="X34" s="354"/>
      <c r="Y34" s="354"/>
      <c r="Z34" s="354"/>
      <c r="AA34" s="354"/>
      <c r="AB34" s="354"/>
      <c r="AC34" s="354"/>
      <c r="AD34" s="354"/>
      <c r="AE34" s="354"/>
      <c r="AF34" s="354"/>
      <c r="AG34" s="354"/>
      <c r="AH34" s="354"/>
      <c r="AI34" s="354"/>
      <c r="AJ34" s="354"/>
      <c r="AK34" s="353" t="s">
        <v>1989</v>
      </c>
    </row>
    <row r="35" customFormat="false" ht="22.35" hidden="false" customHeight="false" outlineLevel="0" collapsed="false">
      <c r="A35" s="354"/>
      <c r="B35" s="354"/>
      <c r="C35" s="354"/>
      <c r="D35" s="354"/>
      <c r="E35" s="352" t="s">
        <v>727</v>
      </c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54"/>
      <c r="W35" s="354"/>
      <c r="X35" s="354"/>
      <c r="Y35" s="354"/>
      <c r="Z35" s="354"/>
      <c r="AA35" s="354"/>
      <c r="AB35" s="354"/>
      <c r="AC35" s="354"/>
      <c r="AD35" s="354"/>
      <c r="AE35" s="354"/>
      <c r="AF35" s="354"/>
      <c r="AG35" s="354"/>
      <c r="AH35" s="354"/>
      <c r="AI35" s="354"/>
      <c r="AJ35" s="354"/>
      <c r="AK35" s="353" t="s">
        <v>1999</v>
      </c>
    </row>
    <row r="36" customFormat="false" ht="22.35" hidden="false" customHeight="false" outlineLevel="0" collapsed="false">
      <c r="A36" s="354"/>
      <c r="B36" s="354"/>
      <c r="C36" s="354"/>
      <c r="D36" s="354"/>
      <c r="E36" s="352" t="s">
        <v>1822</v>
      </c>
      <c r="F36" s="354"/>
      <c r="G36" s="354"/>
      <c r="H36" s="354"/>
      <c r="I36" s="354"/>
      <c r="J36" s="354"/>
      <c r="K36" s="354"/>
      <c r="L36" s="354"/>
      <c r="M36" s="354"/>
      <c r="N36" s="354"/>
      <c r="O36" s="354"/>
      <c r="P36" s="354"/>
      <c r="Q36" s="354"/>
      <c r="R36" s="354"/>
      <c r="S36" s="354"/>
      <c r="T36" s="354"/>
      <c r="U36" s="354"/>
      <c r="V36" s="354"/>
      <c r="W36" s="354"/>
      <c r="X36" s="354"/>
      <c r="Y36" s="354"/>
      <c r="Z36" s="354"/>
      <c r="AA36" s="354"/>
      <c r="AB36" s="354"/>
      <c r="AC36" s="354"/>
      <c r="AD36" s="354"/>
      <c r="AE36" s="354"/>
      <c r="AF36" s="354"/>
      <c r="AG36" s="354"/>
      <c r="AH36" s="354"/>
      <c r="AI36" s="354"/>
      <c r="AJ36" s="354"/>
      <c r="AK36" s="353" t="s">
        <v>2009</v>
      </c>
    </row>
    <row r="37" customFormat="false" ht="15" hidden="false" customHeight="false" outlineLevel="0" collapsed="false">
      <c r="A37" s="354"/>
      <c r="B37" s="354"/>
      <c r="C37" s="354"/>
      <c r="D37" s="354"/>
      <c r="E37" s="352" t="s">
        <v>720</v>
      </c>
      <c r="F37" s="354"/>
      <c r="G37" s="354"/>
      <c r="H37" s="354"/>
      <c r="I37" s="354"/>
      <c r="J37" s="354"/>
      <c r="K37" s="354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  <c r="Z37" s="354"/>
      <c r="AA37" s="354"/>
      <c r="AB37" s="354"/>
      <c r="AC37" s="354"/>
      <c r="AD37" s="354"/>
      <c r="AE37" s="354"/>
      <c r="AF37" s="354"/>
      <c r="AG37" s="354"/>
      <c r="AH37" s="354"/>
      <c r="AI37" s="354"/>
      <c r="AJ37" s="354"/>
      <c r="AK37" s="353" t="s">
        <v>2015</v>
      </c>
    </row>
    <row r="38" customFormat="false" ht="15" hidden="false" customHeight="false" outlineLevel="0" collapsed="false">
      <c r="A38" s="354"/>
      <c r="B38" s="354"/>
      <c r="C38" s="354"/>
      <c r="D38" s="354"/>
      <c r="E38" s="352" t="s">
        <v>1838</v>
      </c>
      <c r="F38" s="354"/>
      <c r="G38" s="354"/>
      <c r="H38" s="354"/>
      <c r="I38" s="354"/>
      <c r="J38" s="354"/>
      <c r="K38" s="354"/>
      <c r="L38" s="354"/>
      <c r="M38" s="354"/>
      <c r="N38" s="354"/>
      <c r="O38" s="354"/>
      <c r="P38" s="354"/>
      <c r="Q38" s="354"/>
      <c r="R38" s="354"/>
      <c r="S38" s="354"/>
      <c r="T38" s="354"/>
      <c r="U38" s="354"/>
      <c r="V38" s="354"/>
      <c r="W38" s="354"/>
      <c r="X38" s="354"/>
      <c r="Y38" s="354"/>
      <c r="Z38" s="354"/>
      <c r="AA38" s="354"/>
      <c r="AB38" s="354"/>
      <c r="AC38" s="354"/>
      <c r="AD38" s="354"/>
      <c r="AE38" s="354"/>
      <c r="AF38" s="354"/>
      <c r="AG38" s="354"/>
      <c r="AH38" s="354"/>
      <c r="AI38" s="354"/>
      <c r="AJ38" s="354"/>
      <c r="AK38" s="353" t="s">
        <v>2022</v>
      </c>
    </row>
    <row r="39" customFormat="false" ht="15" hidden="false" customHeight="false" outlineLevel="0" collapsed="false">
      <c r="A39" s="354"/>
      <c r="B39" s="354"/>
      <c r="C39" s="354"/>
      <c r="D39" s="354"/>
      <c r="E39" s="352" t="s">
        <v>1845</v>
      </c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  <c r="Z39" s="354"/>
      <c r="AA39" s="354"/>
      <c r="AB39" s="354"/>
      <c r="AC39" s="354"/>
      <c r="AD39" s="354"/>
      <c r="AE39" s="354"/>
      <c r="AF39" s="354"/>
      <c r="AG39" s="354"/>
      <c r="AH39" s="354"/>
      <c r="AI39" s="354"/>
      <c r="AJ39" s="354"/>
      <c r="AK39" s="353" t="s">
        <v>2029</v>
      </c>
    </row>
    <row r="40" customFormat="false" ht="15" hidden="false" customHeight="false" outlineLevel="0" collapsed="false">
      <c r="A40" s="354"/>
      <c r="B40" s="354"/>
      <c r="C40" s="354"/>
      <c r="D40" s="354"/>
      <c r="E40" s="352" t="s">
        <v>1853</v>
      </c>
      <c r="F40" s="354"/>
      <c r="G40" s="354"/>
      <c r="H40" s="354"/>
      <c r="I40" s="354"/>
      <c r="J40" s="354"/>
      <c r="K40" s="354"/>
      <c r="L40" s="354"/>
      <c r="M40" s="354"/>
      <c r="N40" s="354"/>
      <c r="O40" s="354"/>
      <c r="P40" s="354"/>
      <c r="Q40" s="354"/>
      <c r="R40" s="354"/>
      <c r="S40" s="354"/>
      <c r="T40" s="354"/>
      <c r="U40" s="354"/>
      <c r="V40" s="354"/>
      <c r="W40" s="354"/>
      <c r="X40" s="354"/>
      <c r="Y40" s="354"/>
      <c r="Z40" s="354"/>
      <c r="AA40" s="354"/>
      <c r="AB40" s="354"/>
      <c r="AC40" s="354"/>
      <c r="AD40" s="354"/>
      <c r="AE40" s="354"/>
      <c r="AF40" s="354"/>
      <c r="AG40" s="354"/>
      <c r="AH40" s="354"/>
      <c r="AI40" s="354"/>
      <c r="AJ40" s="354"/>
      <c r="AK40" s="353" t="s">
        <v>1110</v>
      </c>
    </row>
    <row r="41" customFormat="false" ht="15" hidden="false" customHeight="false" outlineLevel="0" collapsed="false">
      <c r="A41" s="354"/>
      <c r="B41" s="354"/>
      <c r="C41" s="354"/>
      <c r="D41" s="354"/>
      <c r="E41" s="352" t="s">
        <v>1864</v>
      </c>
      <c r="F41" s="354"/>
      <c r="G41" s="354"/>
      <c r="H41" s="354"/>
      <c r="I41" s="354"/>
      <c r="J41" s="354"/>
      <c r="K41" s="354"/>
      <c r="L41" s="354"/>
      <c r="M41" s="354"/>
      <c r="N41" s="354"/>
      <c r="O41" s="354"/>
      <c r="P41" s="354"/>
      <c r="Q41" s="354"/>
      <c r="R41" s="354"/>
      <c r="S41" s="354"/>
      <c r="T41" s="354"/>
      <c r="U41" s="354"/>
      <c r="V41" s="354"/>
      <c r="W41" s="354"/>
      <c r="X41" s="354"/>
      <c r="Y41" s="354"/>
      <c r="Z41" s="354"/>
      <c r="AA41" s="354"/>
      <c r="AB41" s="354"/>
      <c r="AC41" s="354"/>
      <c r="AD41" s="354"/>
      <c r="AE41" s="354"/>
      <c r="AF41" s="354"/>
      <c r="AG41" s="354"/>
      <c r="AH41" s="354"/>
      <c r="AI41" s="354"/>
      <c r="AJ41" s="354"/>
      <c r="AK41" s="353" t="s">
        <v>2040</v>
      </c>
    </row>
    <row r="42" customFormat="false" ht="15" hidden="false" customHeight="false" outlineLevel="0" collapsed="false">
      <c r="A42" s="354"/>
      <c r="B42" s="354"/>
      <c r="C42" s="354"/>
      <c r="D42" s="354"/>
      <c r="E42" s="352" t="s">
        <v>658</v>
      </c>
      <c r="F42" s="354"/>
      <c r="G42" s="354"/>
      <c r="H42" s="354"/>
      <c r="I42" s="354"/>
      <c r="J42" s="354"/>
      <c r="K42" s="354"/>
      <c r="L42" s="354"/>
      <c r="M42" s="354"/>
      <c r="N42" s="354"/>
      <c r="O42" s="354"/>
      <c r="P42" s="354"/>
      <c r="Q42" s="354"/>
      <c r="R42" s="354"/>
      <c r="S42" s="354"/>
      <c r="T42" s="354"/>
      <c r="U42" s="354"/>
      <c r="V42" s="354"/>
      <c r="W42" s="354"/>
      <c r="X42" s="354"/>
      <c r="Y42" s="354"/>
      <c r="Z42" s="354"/>
      <c r="AA42" s="354"/>
      <c r="AB42" s="354"/>
      <c r="AC42" s="354"/>
      <c r="AD42" s="354"/>
      <c r="AE42" s="354"/>
      <c r="AF42" s="354"/>
      <c r="AG42" s="354"/>
      <c r="AH42" s="354"/>
      <c r="AI42" s="354"/>
      <c r="AJ42" s="354"/>
      <c r="AK42" s="353" t="s">
        <v>2049</v>
      </c>
    </row>
    <row r="43" customFormat="false" ht="15" hidden="false" customHeight="false" outlineLevel="0" collapsed="false">
      <c r="A43" s="354"/>
      <c r="B43" s="354"/>
      <c r="C43" s="354"/>
      <c r="D43" s="354"/>
      <c r="E43" s="352" t="s">
        <v>664</v>
      </c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54"/>
      <c r="W43" s="354"/>
      <c r="X43" s="354"/>
      <c r="Y43" s="354"/>
      <c r="Z43" s="354"/>
      <c r="AA43" s="354"/>
      <c r="AB43" s="354"/>
      <c r="AC43" s="354"/>
      <c r="AD43" s="354"/>
      <c r="AE43" s="354"/>
      <c r="AF43" s="354"/>
      <c r="AG43" s="354"/>
      <c r="AH43" s="354"/>
      <c r="AI43" s="354"/>
      <c r="AJ43" s="354"/>
      <c r="AK43" s="353" t="s">
        <v>2055</v>
      </c>
    </row>
    <row r="44" customFormat="false" ht="15" hidden="false" customHeight="false" outlineLevel="0" collapsed="false">
      <c r="A44" s="354"/>
      <c r="B44" s="354"/>
      <c r="C44" s="354"/>
      <c r="D44" s="354"/>
      <c r="E44" s="352" t="s">
        <v>1908</v>
      </c>
      <c r="F44" s="354"/>
      <c r="G44" s="354"/>
      <c r="H44" s="354"/>
      <c r="I44" s="354"/>
      <c r="J44" s="354"/>
      <c r="K44" s="354"/>
      <c r="L44" s="354"/>
      <c r="M44" s="354"/>
      <c r="N44" s="354"/>
      <c r="O44" s="354"/>
      <c r="P44" s="354"/>
      <c r="Q44" s="354"/>
      <c r="R44" s="354"/>
      <c r="S44" s="354"/>
      <c r="T44" s="354"/>
      <c r="U44" s="354"/>
      <c r="V44" s="354"/>
      <c r="W44" s="354"/>
      <c r="X44" s="354"/>
      <c r="Y44" s="354"/>
      <c r="Z44" s="354"/>
      <c r="AA44" s="354"/>
      <c r="AB44" s="354"/>
      <c r="AC44" s="354"/>
      <c r="AD44" s="354"/>
      <c r="AE44" s="354"/>
      <c r="AF44" s="354"/>
      <c r="AG44" s="354"/>
      <c r="AH44" s="354"/>
      <c r="AI44" s="354"/>
      <c r="AJ44" s="354"/>
      <c r="AK44" s="353" t="s">
        <v>2061</v>
      </c>
    </row>
    <row r="45" customFormat="false" ht="15" hidden="false" customHeight="false" outlineLevel="0" collapsed="false">
      <c r="A45" s="354"/>
      <c r="B45" s="354"/>
      <c r="C45" s="354"/>
      <c r="D45" s="354"/>
      <c r="E45" s="352" t="s">
        <v>646</v>
      </c>
      <c r="F45" s="354"/>
      <c r="G45" s="354"/>
      <c r="H45" s="354"/>
      <c r="I45" s="354"/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  <c r="AA45" s="354"/>
      <c r="AB45" s="354"/>
      <c r="AC45" s="354"/>
      <c r="AD45" s="354"/>
      <c r="AE45" s="354"/>
      <c r="AF45" s="354"/>
      <c r="AG45" s="354"/>
      <c r="AH45" s="354"/>
      <c r="AI45" s="354"/>
      <c r="AJ45" s="354"/>
      <c r="AK45" s="353" t="s">
        <v>2067</v>
      </c>
    </row>
    <row r="46" customFormat="false" ht="22.35" hidden="false" customHeight="false" outlineLevel="0" collapsed="false">
      <c r="A46" s="354"/>
      <c r="B46" s="354"/>
      <c r="C46" s="354"/>
      <c r="D46" s="354"/>
      <c r="E46" s="352" t="s">
        <v>1927</v>
      </c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354"/>
      <c r="Q46" s="354"/>
      <c r="R46" s="354"/>
      <c r="S46" s="354"/>
      <c r="T46" s="354"/>
      <c r="U46" s="354"/>
      <c r="V46" s="354"/>
      <c r="W46" s="354"/>
      <c r="X46" s="354"/>
      <c r="Y46" s="354"/>
      <c r="Z46" s="354"/>
      <c r="AA46" s="354"/>
      <c r="AB46" s="354"/>
      <c r="AC46" s="354"/>
      <c r="AD46" s="354"/>
      <c r="AE46" s="354"/>
      <c r="AF46" s="354"/>
      <c r="AG46" s="354"/>
      <c r="AH46" s="354"/>
      <c r="AI46" s="354"/>
      <c r="AJ46" s="354"/>
      <c r="AK46" s="353" t="s">
        <v>2073</v>
      </c>
    </row>
    <row r="47" customFormat="false" ht="15" hidden="false" customHeight="false" outlineLevel="0" collapsed="false">
      <c r="A47" s="354"/>
      <c r="B47" s="354"/>
      <c r="C47" s="354"/>
      <c r="D47" s="354"/>
      <c r="E47" s="352" t="s">
        <v>259</v>
      </c>
      <c r="F47" s="354"/>
      <c r="G47" s="354"/>
      <c r="H47" s="354"/>
      <c r="I47" s="354"/>
      <c r="J47" s="354"/>
      <c r="K47" s="354"/>
      <c r="L47" s="354"/>
      <c r="M47" s="354"/>
      <c r="N47" s="354"/>
      <c r="O47" s="354"/>
      <c r="P47" s="354"/>
      <c r="Q47" s="354"/>
      <c r="R47" s="354"/>
      <c r="S47" s="354"/>
      <c r="T47" s="354"/>
      <c r="U47" s="354"/>
      <c r="V47" s="354"/>
      <c r="W47" s="354"/>
      <c r="X47" s="354"/>
      <c r="Y47" s="354"/>
      <c r="Z47" s="354"/>
      <c r="AA47" s="354"/>
      <c r="AB47" s="354"/>
      <c r="AC47" s="354"/>
      <c r="AD47" s="354"/>
      <c r="AE47" s="354"/>
      <c r="AF47" s="354"/>
      <c r="AG47" s="354"/>
      <c r="AH47" s="354"/>
      <c r="AI47" s="354"/>
      <c r="AJ47" s="354"/>
      <c r="AK47" s="353" t="s">
        <v>2079</v>
      </c>
    </row>
    <row r="48" customFormat="false" ht="15" hidden="false" customHeight="false" outlineLevel="0" collapsed="false">
      <c r="A48" s="354"/>
      <c r="B48" s="354"/>
      <c r="C48" s="354"/>
      <c r="D48" s="354"/>
      <c r="E48" s="352" t="s">
        <v>2242</v>
      </c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4"/>
      <c r="Y48" s="354"/>
      <c r="Z48" s="354"/>
      <c r="AA48" s="354"/>
      <c r="AB48" s="354"/>
      <c r="AC48" s="354"/>
      <c r="AD48" s="354"/>
      <c r="AE48" s="354"/>
      <c r="AF48" s="354"/>
      <c r="AG48" s="354"/>
      <c r="AH48" s="354"/>
      <c r="AI48" s="354"/>
      <c r="AJ48" s="354"/>
      <c r="AK48" s="353" t="s">
        <v>2085</v>
      </c>
    </row>
    <row r="49" customFormat="false" ht="15" hidden="false" customHeight="false" outlineLevel="0" collapsed="false">
      <c r="A49" s="354"/>
      <c r="B49" s="354"/>
      <c r="C49" s="354"/>
      <c r="D49" s="354"/>
      <c r="E49" s="352" t="s">
        <v>473</v>
      </c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4"/>
      <c r="Y49" s="354"/>
      <c r="Z49" s="354"/>
      <c r="AA49" s="354"/>
      <c r="AB49" s="354"/>
      <c r="AC49" s="354"/>
      <c r="AD49" s="354"/>
      <c r="AE49" s="354"/>
      <c r="AF49" s="354"/>
      <c r="AG49" s="354"/>
      <c r="AH49" s="354"/>
      <c r="AI49" s="354"/>
      <c r="AJ49" s="354"/>
      <c r="AK49" s="352" t="s">
        <v>2090</v>
      </c>
    </row>
    <row r="50" customFormat="false" ht="15" hidden="false" customHeight="false" outlineLevel="0" collapsed="false">
      <c r="A50" s="354"/>
      <c r="B50" s="354"/>
      <c r="C50" s="354"/>
      <c r="D50" s="354"/>
      <c r="E50" s="354"/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4"/>
      <c r="W50" s="354"/>
      <c r="X50" s="354"/>
      <c r="Y50" s="354"/>
      <c r="Z50" s="354"/>
      <c r="AA50" s="354"/>
      <c r="AB50" s="354"/>
      <c r="AC50" s="354"/>
      <c r="AD50" s="354"/>
      <c r="AE50" s="354"/>
      <c r="AF50" s="354"/>
      <c r="AG50" s="354"/>
      <c r="AH50" s="354"/>
      <c r="AI50" s="354"/>
      <c r="AJ50" s="354"/>
      <c r="AK50" s="353" t="s">
        <v>2097</v>
      </c>
    </row>
    <row r="51" customFormat="false" ht="15" hidden="false" customHeight="false" outlineLevel="0" collapsed="false">
      <c r="A51" s="354"/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354"/>
      <c r="AB51" s="354"/>
      <c r="AC51" s="354"/>
      <c r="AD51" s="354"/>
      <c r="AE51" s="354"/>
      <c r="AF51" s="354"/>
      <c r="AG51" s="354"/>
      <c r="AH51" s="354"/>
      <c r="AI51" s="354"/>
      <c r="AJ51" s="354"/>
      <c r="AK51" s="353" t="s">
        <v>2102</v>
      </c>
    </row>
    <row r="52" customFormat="false" ht="15" hidden="false" customHeight="false" outlineLevel="0" collapsed="false">
      <c r="A52" s="354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54"/>
      <c r="AA52" s="354"/>
      <c r="AB52" s="354"/>
      <c r="AC52" s="354"/>
      <c r="AD52" s="354"/>
      <c r="AE52" s="354"/>
      <c r="AF52" s="354"/>
      <c r="AG52" s="354"/>
      <c r="AH52" s="354"/>
      <c r="AI52" s="354"/>
      <c r="AJ52" s="354"/>
      <c r="AK52" s="353" t="s">
        <v>2108</v>
      </c>
    </row>
    <row r="53" customFormat="false" ht="15" hidden="false" customHeight="false" outlineLevel="0" collapsed="false">
      <c r="A53" s="354"/>
      <c r="B53" s="354"/>
      <c r="C53" s="354"/>
      <c r="D53" s="354"/>
      <c r="E53" s="354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54"/>
      <c r="AA53" s="354"/>
      <c r="AB53" s="354"/>
      <c r="AC53" s="354"/>
      <c r="AD53" s="354"/>
      <c r="AE53" s="354"/>
      <c r="AF53" s="354"/>
      <c r="AG53" s="354"/>
      <c r="AH53" s="354"/>
      <c r="AI53" s="354"/>
      <c r="AJ53" s="354"/>
      <c r="AK53" s="353" t="s">
        <v>2115</v>
      </c>
    </row>
    <row r="54" customFormat="false" ht="15" hidden="false" customHeight="false" outlineLevel="0" collapsed="false">
      <c r="A54" s="354"/>
      <c r="B54" s="354"/>
      <c r="C54" s="354"/>
      <c r="D54" s="354"/>
      <c r="E54" s="354"/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54"/>
      <c r="Y54" s="354"/>
      <c r="Z54" s="354"/>
      <c r="AA54" s="354"/>
      <c r="AB54" s="354"/>
      <c r="AC54" s="354"/>
      <c r="AD54" s="354"/>
      <c r="AE54" s="354"/>
      <c r="AF54" s="354"/>
      <c r="AG54" s="354"/>
      <c r="AH54" s="354"/>
      <c r="AI54" s="354"/>
      <c r="AJ54" s="354"/>
      <c r="AK54" s="353" t="s">
        <v>2120</v>
      </c>
    </row>
    <row r="55" customFormat="false" ht="15" hidden="false" customHeight="false" outlineLevel="0" collapsed="false">
      <c r="A55" s="354"/>
      <c r="B55" s="354"/>
      <c r="C55" s="354"/>
      <c r="D55" s="354"/>
      <c r="E55" s="354"/>
      <c r="F55" s="354"/>
      <c r="G55" s="354"/>
      <c r="H55" s="354"/>
      <c r="I55" s="354"/>
      <c r="J55" s="354"/>
      <c r="K55" s="354"/>
      <c r="L55" s="354"/>
      <c r="M55" s="354"/>
      <c r="N55" s="354"/>
      <c r="O55" s="354"/>
      <c r="P55" s="354"/>
      <c r="Q55" s="354"/>
      <c r="R55" s="354"/>
      <c r="S55" s="354"/>
      <c r="T55" s="354"/>
      <c r="U55" s="354"/>
      <c r="V55" s="354"/>
      <c r="W55" s="354"/>
      <c r="X55" s="354"/>
      <c r="Y55" s="354"/>
      <c r="Z55" s="354"/>
      <c r="AA55" s="354"/>
      <c r="AB55" s="354"/>
      <c r="AC55" s="354"/>
      <c r="AD55" s="354"/>
      <c r="AE55" s="354"/>
      <c r="AF55" s="354"/>
      <c r="AG55" s="354"/>
      <c r="AH55" s="354"/>
      <c r="AI55" s="354"/>
      <c r="AJ55" s="354"/>
      <c r="AK55" s="353" t="s">
        <v>2125</v>
      </c>
    </row>
    <row r="56" customFormat="false" ht="15" hidden="false" customHeight="false" outlineLevel="0" collapsed="false">
      <c r="A56" s="354"/>
      <c r="B56" s="354"/>
      <c r="C56" s="354"/>
      <c r="D56" s="354"/>
      <c r="E56" s="354"/>
      <c r="F56" s="354"/>
      <c r="G56" s="354"/>
      <c r="H56" s="354"/>
      <c r="I56" s="354"/>
      <c r="J56" s="354"/>
      <c r="K56" s="354"/>
      <c r="L56" s="354"/>
      <c r="M56" s="354"/>
      <c r="N56" s="354"/>
      <c r="O56" s="354"/>
      <c r="P56" s="354"/>
      <c r="Q56" s="354"/>
      <c r="R56" s="354"/>
      <c r="S56" s="354"/>
      <c r="T56" s="354"/>
      <c r="U56" s="354"/>
      <c r="V56" s="354"/>
      <c r="W56" s="354"/>
      <c r="X56" s="354"/>
      <c r="Y56" s="354"/>
      <c r="Z56" s="354"/>
      <c r="AA56" s="354"/>
      <c r="AB56" s="354"/>
      <c r="AC56" s="354"/>
      <c r="AD56" s="354"/>
      <c r="AE56" s="354"/>
      <c r="AF56" s="354"/>
      <c r="AG56" s="354"/>
      <c r="AH56" s="354"/>
      <c r="AI56" s="354"/>
      <c r="AJ56" s="354"/>
      <c r="AK56" s="353" t="s">
        <v>2131</v>
      </c>
    </row>
    <row r="57" customFormat="false" ht="15" hidden="false" customHeight="false" outlineLevel="0" collapsed="false">
      <c r="A57" s="354"/>
      <c r="B57" s="354"/>
      <c r="C57" s="354"/>
      <c r="D57" s="354"/>
      <c r="E57" s="354"/>
      <c r="F57" s="354"/>
      <c r="G57" s="354"/>
      <c r="H57" s="354"/>
      <c r="I57" s="354"/>
      <c r="J57" s="354"/>
      <c r="K57" s="354"/>
      <c r="L57" s="354"/>
      <c r="M57" s="354"/>
      <c r="N57" s="354"/>
      <c r="O57" s="354"/>
      <c r="P57" s="354"/>
      <c r="Q57" s="354"/>
      <c r="R57" s="354"/>
      <c r="S57" s="354"/>
      <c r="T57" s="354"/>
      <c r="U57" s="354"/>
      <c r="V57" s="354"/>
      <c r="W57" s="354"/>
      <c r="X57" s="354"/>
      <c r="Y57" s="354"/>
      <c r="Z57" s="354"/>
      <c r="AA57" s="354"/>
      <c r="AB57" s="354"/>
      <c r="AC57" s="354"/>
      <c r="AD57" s="354"/>
      <c r="AE57" s="354"/>
      <c r="AF57" s="354"/>
      <c r="AG57" s="354"/>
      <c r="AH57" s="354"/>
      <c r="AI57" s="354"/>
      <c r="AJ57" s="354"/>
      <c r="AK57" s="353" t="s">
        <v>2137</v>
      </c>
    </row>
    <row r="58" customFormat="false" ht="15" hidden="false" customHeight="false" outlineLevel="0" collapsed="false">
      <c r="A58" s="354"/>
      <c r="B58" s="354"/>
      <c r="C58" s="354"/>
      <c r="D58" s="354"/>
      <c r="E58" s="354"/>
      <c r="F58" s="354"/>
      <c r="G58" s="354"/>
      <c r="H58" s="354"/>
      <c r="I58" s="354"/>
      <c r="J58" s="354"/>
      <c r="K58" s="354"/>
      <c r="L58" s="354"/>
      <c r="M58" s="354"/>
      <c r="N58" s="354"/>
      <c r="O58" s="354"/>
      <c r="P58" s="354"/>
      <c r="Q58" s="354"/>
      <c r="R58" s="354"/>
      <c r="S58" s="354"/>
      <c r="T58" s="354"/>
      <c r="U58" s="354"/>
      <c r="V58" s="354"/>
      <c r="W58" s="354"/>
      <c r="X58" s="354"/>
      <c r="Y58" s="354"/>
      <c r="Z58" s="354"/>
      <c r="AA58" s="354"/>
      <c r="AB58" s="354"/>
      <c r="AC58" s="354"/>
      <c r="AD58" s="354"/>
      <c r="AE58" s="354"/>
      <c r="AF58" s="354"/>
      <c r="AG58" s="354"/>
      <c r="AH58" s="354"/>
      <c r="AI58" s="354"/>
      <c r="AJ58" s="354"/>
      <c r="AK58" s="353" t="s">
        <v>2143</v>
      </c>
    </row>
    <row r="59" customFormat="false" ht="15" hidden="false" customHeight="false" outlineLevel="0" collapsed="false">
      <c r="A59" s="354"/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354"/>
      <c r="AB59" s="354"/>
      <c r="AC59" s="354"/>
      <c r="AD59" s="354"/>
      <c r="AE59" s="354"/>
      <c r="AF59" s="354"/>
      <c r="AG59" s="354"/>
      <c r="AH59" s="354"/>
      <c r="AI59" s="354"/>
      <c r="AJ59" s="354"/>
      <c r="AK59" s="353" t="s">
        <v>2148</v>
      </c>
    </row>
    <row r="60" customFormat="false" ht="15" hidden="false" customHeight="false" outlineLevel="0" collapsed="false">
      <c r="A60" s="354"/>
      <c r="B60" s="354"/>
      <c r="C60" s="354"/>
      <c r="D60" s="354"/>
      <c r="E60" s="354"/>
      <c r="F60" s="354"/>
      <c r="G60" s="354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54"/>
      <c r="W60" s="354"/>
      <c r="X60" s="354"/>
      <c r="Y60" s="354"/>
      <c r="Z60" s="354"/>
      <c r="AA60" s="354"/>
      <c r="AB60" s="354"/>
      <c r="AC60" s="354"/>
      <c r="AD60" s="354"/>
      <c r="AE60" s="354"/>
      <c r="AF60" s="354"/>
      <c r="AG60" s="354"/>
      <c r="AH60" s="354"/>
      <c r="AI60" s="354"/>
      <c r="AJ60" s="354"/>
      <c r="AK60" s="353" t="s">
        <v>2153</v>
      </c>
    </row>
    <row r="61" customFormat="false" ht="15" hidden="false" customHeight="false" outlineLevel="0" collapsed="false">
      <c r="A61" s="354"/>
      <c r="B61" s="354"/>
      <c r="C61" s="354"/>
      <c r="D61" s="354"/>
      <c r="E61" s="354"/>
      <c r="F61" s="354"/>
      <c r="G61" s="354"/>
      <c r="H61" s="354"/>
      <c r="I61" s="354"/>
      <c r="J61" s="354"/>
      <c r="K61" s="354"/>
      <c r="L61" s="354"/>
      <c r="M61" s="354"/>
      <c r="N61" s="354"/>
      <c r="O61" s="354"/>
      <c r="P61" s="354"/>
      <c r="Q61" s="354"/>
      <c r="R61" s="354"/>
      <c r="S61" s="354"/>
      <c r="T61" s="354"/>
      <c r="U61" s="354"/>
      <c r="V61" s="354"/>
      <c r="W61" s="354"/>
      <c r="X61" s="354"/>
      <c r="Y61" s="354"/>
      <c r="Z61" s="354"/>
      <c r="AA61" s="354"/>
      <c r="AB61" s="354"/>
      <c r="AC61" s="354"/>
      <c r="AD61" s="354"/>
      <c r="AE61" s="354"/>
      <c r="AF61" s="354"/>
      <c r="AG61" s="354"/>
      <c r="AH61" s="354"/>
      <c r="AI61" s="354"/>
      <c r="AJ61" s="354"/>
      <c r="AK61" s="353" t="s">
        <v>2159</v>
      </c>
    </row>
    <row r="62" customFormat="false" ht="26.85" hidden="false" customHeight="false" outlineLevel="0" collapsed="false">
      <c r="A62" s="354"/>
      <c r="B62" s="354"/>
      <c r="C62" s="354"/>
      <c r="D62" s="354"/>
      <c r="E62" s="354"/>
      <c r="F62" s="354"/>
      <c r="G62" s="354"/>
      <c r="H62" s="354"/>
      <c r="I62" s="354"/>
      <c r="J62" s="354"/>
      <c r="K62" s="354"/>
      <c r="L62" s="354"/>
      <c r="M62" s="354"/>
      <c r="N62" s="354"/>
      <c r="O62" s="354"/>
      <c r="P62" s="354"/>
      <c r="Q62" s="354"/>
      <c r="R62" s="354"/>
      <c r="S62" s="354"/>
      <c r="T62" s="354"/>
      <c r="U62" s="354"/>
      <c r="V62" s="354"/>
      <c r="W62" s="354"/>
      <c r="X62" s="354"/>
      <c r="Y62" s="354"/>
      <c r="Z62" s="354"/>
      <c r="AA62" s="354"/>
      <c r="AB62" s="354"/>
      <c r="AC62" s="354"/>
      <c r="AD62" s="354"/>
      <c r="AE62" s="354"/>
      <c r="AF62" s="354"/>
      <c r="AG62" s="354"/>
      <c r="AH62" s="354"/>
      <c r="AI62" s="354"/>
      <c r="AJ62" s="354"/>
      <c r="AK62" s="353" t="s">
        <v>2164</v>
      </c>
    </row>
    <row r="63" customFormat="false" ht="15" hidden="false" customHeight="false" outlineLevel="0" collapsed="false">
      <c r="A63" s="354"/>
      <c r="B63" s="354"/>
      <c r="C63" s="354"/>
      <c r="D63" s="354"/>
      <c r="E63" s="354"/>
      <c r="F63" s="354"/>
      <c r="G63" s="354"/>
      <c r="H63" s="354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Y63" s="354"/>
      <c r="Z63" s="354"/>
      <c r="AA63" s="354"/>
      <c r="AB63" s="354"/>
      <c r="AC63" s="354"/>
      <c r="AD63" s="354"/>
      <c r="AE63" s="354"/>
      <c r="AF63" s="354"/>
      <c r="AG63" s="354"/>
      <c r="AH63" s="354"/>
      <c r="AI63" s="354"/>
      <c r="AJ63" s="354"/>
      <c r="AK63" s="354"/>
    </row>
    <row r="64" customFormat="false" ht="15" hidden="false" customHeight="false" outlineLevel="0" collapsed="false">
      <c r="A64" s="354"/>
      <c r="B64" s="354"/>
      <c r="C64" s="354"/>
      <c r="D64" s="354"/>
      <c r="E64" s="354"/>
      <c r="F64" s="354"/>
      <c r="G64" s="354"/>
      <c r="H64" s="354"/>
      <c r="I64" s="354"/>
      <c r="J64" s="354"/>
      <c r="K64" s="354"/>
      <c r="L64" s="354"/>
      <c r="M64" s="354"/>
      <c r="N64" s="354"/>
      <c r="O64" s="354"/>
      <c r="P64" s="354"/>
      <c r="Q64" s="354"/>
      <c r="R64" s="354"/>
      <c r="S64" s="354"/>
      <c r="T64" s="354"/>
      <c r="U64" s="354"/>
      <c r="V64" s="354"/>
      <c r="W64" s="354"/>
      <c r="X64" s="354"/>
      <c r="Y64" s="354"/>
      <c r="Z64" s="354"/>
      <c r="AA64" s="354"/>
      <c r="AB64" s="354"/>
      <c r="AC64" s="354"/>
      <c r="AD64" s="354"/>
      <c r="AE64" s="354"/>
      <c r="AF64" s="354"/>
      <c r="AG64" s="354"/>
      <c r="AH64" s="354"/>
      <c r="AI64" s="354"/>
      <c r="AJ64" s="354"/>
      <c r="AK64" s="354"/>
    </row>
    <row r="65" customFormat="false" ht="15" hidden="false" customHeight="false" outlineLevel="0" collapsed="false">
      <c r="A65" s="354"/>
      <c r="B65" s="354"/>
      <c r="C65" s="354"/>
      <c r="D65" s="354"/>
      <c r="E65" s="354"/>
      <c r="F65" s="354"/>
      <c r="G65" s="354"/>
      <c r="H65" s="354"/>
      <c r="I65" s="354"/>
      <c r="J65" s="354"/>
      <c r="K65" s="354"/>
      <c r="L65" s="354"/>
      <c r="M65" s="354"/>
      <c r="N65" s="354"/>
      <c r="O65" s="354"/>
      <c r="P65" s="354"/>
      <c r="Q65" s="354"/>
      <c r="R65" s="354"/>
      <c r="S65" s="354"/>
      <c r="T65" s="354"/>
      <c r="U65" s="354"/>
      <c r="V65" s="354"/>
      <c r="W65" s="354"/>
      <c r="X65" s="354"/>
      <c r="Y65" s="354"/>
      <c r="Z65" s="354"/>
      <c r="AA65" s="354"/>
      <c r="AB65" s="354"/>
      <c r="AC65" s="354"/>
      <c r="AD65" s="354"/>
      <c r="AE65" s="354"/>
      <c r="AF65" s="354"/>
      <c r="AG65" s="354"/>
      <c r="AH65" s="354"/>
      <c r="AI65" s="354"/>
      <c r="AJ65" s="354"/>
      <c r="AK65" s="354"/>
    </row>
  </sheetData>
  <sheetProtection sheet="true" formatColumns="false" formatRows="false" autoFilter="false"/>
  <mergeCells count="2">
    <mergeCell ref="A1:Z1"/>
    <mergeCell ref="A2:Z2"/>
  </mergeCells>
  <hyperlinks>
    <hyperlink ref="A3" r:id="rId1" location="'00_使用說明_Guide'!A1" display="⌂ 回使用說明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6" min="5" style="0" width="10"/>
  </cols>
  <sheetData>
    <row r="1" customFormat="false" ht="30" hidden="false" customHeight="true" outlineLevel="0" collapsed="false">
      <c r="A1" s="1" t="s">
        <v>3705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4" t="s">
        <v>3706</v>
      </c>
      <c r="B2" s="4"/>
      <c r="C2" s="4"/>
      <c r="D2" s="4"/>
      <c r="E2" s="4"/>
      <c r="F2" s="4"/>
    </row>
    <row r="3" customFormat="false" ht="15" hidden="false" customHeight="false" outlineLevel="0" collapsed="false">
      <c r="A3" s="355" t="s">
        <v>3707</v>
      </c>
      <c r="V3" s="5" t="s">
        <v>12</v>
      </c>
    </row>
    <row r="4" customFormat="false" ht="17.15" hidden="false" customHeight="false" outlineLevel="0" collapsed="false">
      <c r="A4" s="35" t="s">
        <v>3708</v>
      </c>
    </row>
    <row r="5" customFormat="false" ht="18" hidden="false" customHeight="true" outlineLevel="0" collapsed="false">
      <c r="A5" s="36" t="s">
        <v>3709</v>
      </c>
      <c r="B5" s="36" t="s">
        <v>3710</v>
      </c>
      <c r="C5" s="220" t="s">
        <v>3711</v>
      </c>
      <c r="D5" s="36" t="s">
        <v>3712</v>
      </c>
    </row>
    <row r="6" customFormat="false" ht="15" hidden="false" customHeight="false" outlineLevel="0" collapsed="false">
      <c r="A6" s="356" t="s">
        <v>2170</v>
      </c>
      <c r="B6" s="163" t="s">
        <v>3713</v>
      </c>
      <c r="C6" s="166" t="s">
        <v>3714</v>
      </c>
      <c r="D6" s="357" t="s">
        <v>3715</v>
      </c>
    </row>
    <row r="7" customFormat="false" ht="15" hidden="false" customHeight="false" outlineLevel="0" collapsed="false">
      <c r="A7" s="356" t="s">
        <v>2171</v>
      </c>
      <c r="B7" s="163" t="s">
        <v>3716</v>
      </c>
      <c r="C7" s="166" t="s">
        <v>3717</v>
      </c>
      <c r="D7" s="357" t="s">
        <v>3718</v>
      </c>
    </row>
    <row r="8" customFormat="false" ht="15" hidden="false" customHeight="false" outlineLevel="0" collapsed="false">
      <c r="A8" s="356" t="s">
        <v>2172</v>
      </c>
      <c r="B8" s="163" t="s">
        <v>3719</v>
      </c>
      <c r="C8" s="166" t="s">
        <v>3720</v>
      </c>
      <c r="D8" s="357" t="s">
        <v>3721</v>
      </c>
    </row>
    <row r="9" customFormat="false" ht="15" hidden="false" customHeight="false" outlineLevel="0" collapsed="false">
      <c r="A9" s="356" t="s">
        <v>2173</v>
      </c>
      <c r="B9" s="163" t="s">
        <v>3722</v>
      </c>
      <c r="C9" s="166" t="s">
        <v>3723</v>
      </c>
      <c r="D9" s="164" t="s">
        <v>3724</v>
      </c>
    </row>
    <row r="10" customFormat="false" ht="15" hidden="false" customHeight="false" outlineLevel="0" collapsed="false">
      <c r="A10" s="356" t="s">
        <v>2174</v>
      </c>
      <c r="B10" s="163" t="s">
        <v>3725</v>
      </c>
      <c r="C10" s="166" t="s">
        <v>3726</v>
      </c>
      <c r="D10" s="357" t="s">
        <v>1651</v>
      </c>
    </row>
    <row r="11" customFormat="false" ht="15" hidden="false" customHeight="false" outlineLevel="0" collapsed="false">
      <c r="A11" s="356" t="s">
        <v>2175</v>
      </c>
      <c r="B11" s="163" t="s">
        <v>168</v>
      </c>
      <c r="C11" s="166" t="s">
        <v>3727</v>
      </c>
      <c r="D11" s="357" t="s">
        <v>1712</v>
      </c>
    </row>
    <row r="12" customFormat="false" ht="15" hidden="false" customHeight="false" outlineLevel="0" collapsed="false">
      <c r="A12" s="356" t="s">
        <v>2176</v>
      </c>
      <c r="B12" s="163" t="s">
        <v>3728</v>
      </c>
      <c r="C12" s="166" t="s">
        <v>3729</v>
      </c>
      <c r="D12" s="357" t="s">
        <v>3730</v>
      </c>
    </row>
    <row r="13" customFormat="false" ht="15" hidden="false" customHeight="false" outlineLevel="0" collapsed="false">
      <c r="A13" s="356" t="s">
        <v>2177</v>
      </c>
      <c r="B13" s="163" t="s">
        <v>3731</v>
      </c>
      <c r="C13" s="166" t="s">
        <v>3732</v>
      </c>
      <c r="D13" s="357" t="s">
        <v>3733</v>
      </c>
    </row>
    <row r="14" customFormat="false" ht="15" hidden="false" customHeight="false" outlineLevel="0" collapsed="false">
      <c r="A14" s="356" t="s">
        <v>2178</v>
      </c>
      <c r="B14" s="163" t="s">
        <v>3734</v>
      </c>
      <c r="C14" s="166" t="s">
        <v>3735</v>
      </c>
      <c r="D14" s="357" t="s">
        <v>3736</v>
      </c>
    </row>
    <row r="15" customFormat="false" ht="15" hidden="false" customHeight="false" outlineLevel="0" collapsed="false">
      <c r="A15" s="356" t="s">
        <v>2179</v>
      </c>
      <c r="B15" s="163" t="s">
        <v>3737</v>
      </c>
      <c r="C15" s="166" t="s">
        <v>3738</v>
      </c>
      <c r="D15" s="357" t="s">
        <v>3739</v>
      </c>
    </row>
    <row r="17" customFormat="false" ht="17.15" hidden="false" customHeight="false" outlineLevel="0" collapsed="false">
      <c r="A17" s="35" t="s">
        <v>3740</v>
      </c>
    </row>
    <row r="18" customFormat="false" ht="18" hidden="false" customHeight="true" outlineLevel="0" collapsed="false">
      <c r="A18" s="36" t="s">
        <v>3709</v>
      </c>
      <c r="B18" s="36" t="s">
        <v>922</v>
      </c>
      <c r="C18" s="36" t="s">
        <v>3741</v>
      </c>
      <c r="D18" s="36" t="s">
        <v>3742</v>
      </c>
    </row>
    <row r="19" customFormat="false" ht="15" hidden="false" customHeight="false" outlineLevel="0" collapsed="false">
      <c r="A19" s="254" t="s">
        <v>226</v>
      </c>
      <c r="B19" s="250" t="s">
        <v>3743</v>
      </c>
      <c r="C19" s="250" t="s">
        <v>3744</v>
      </c>
      <c r="D19" s="258" t="s">
        <v>3745</v>
      </c>
    </row>
    <row r="20" customFormat="false" ht="26.85" hidden="false" customHeight="false" outlineLevel="0" collapsed="false">
      <c r="A20" s="254" t="s">
        <v>243</v>
      </c>
      <c r="B20" s="250" t="s">
        <v>3746</v>
      </c>
      <c r="C20" s="250" t="s">
        <v>3747</v>
      </c>
      <c r="D20" s="258" t="s">
        <v>3748</v>
      </c>
    </row>
    <row r="21" customFormat="false" ht="26.85" hidden="false" customHeight="false" outlineLevel="0" collapsed="false">
      <c r="A21" s="254" t="s">
        <v>269</v>
      </c>
      <c r="B21" s="250" t="s">
        <v>3749</v>
      </c>
      <c r="C21" s="250" t="s">
        <v>3750</v>
      </c>
      <c r="D21" s="258" t="s">
        <v>3751</v>
      </c>
    </row>
    <row r="22" customFormat="false" ht="15" hidden="false" customHeight="false" outlineLevel="0" collapsed="false">
      <c r="A22" s="254" t="s">
        <v>361</v>
      </c>
      <c r="B22" s="250" t="s">
        <v>3752</v>
      </c>
      <c r="C22" s="250" t="s">
        <v>3753</v>
      </c>
      <c r="D22" s="258" t="s">
        <v>3754</v>
      </c>
    </row>
    <row r="23" customFormat="false" ht="26.85" hidden="false" customHeight="false" outlineLevel="0" collapsed="false">
      <c r="A23" s="254" t="s">
        <v>302</v>
      </c>
      <c r="B23" s="250" t="s">
        <v>3755</v>
      </c>
      <c r="C23" s="250" t="s">
        <v>3756</v>
      </c>
      <c r="D23" s="258" t="s">
        <v>3757</v>
      </c>
    </row>
    <row r="24" customFormat="false" ht="26.85" hidden="false" customHeight="false" outlineLevel="0" collapsed="false">
      <c r="A24" s="254" t="s">
        <v>344</v>
      </c>
      <c r="B24" s="250" t="s">
        <v>3758</v>
      </c>
      <c r="C24" s="250" t="s">
        <v>3759</v>
      </c>
      <c r="D24" s="258" t="s">
        <v>3760</v>
      </c>
    </row>
    <row r="25" customFormat="false" ht="26.85" hidden="false" customHeight="false" outlineLevel="0" collapsed="false">
      <c r="A25" s="254" t="s">
        <v>744</v>
      </c>
      <c r="B25" s="250" t="s">
        <v>3761</v>
      </c>
      <c r="C25" s="250" t="s">
        <v>3762</v>
      </c>
      <c r="D25" s="258" t="s">
        <v>3763</v>
      </c>
    </row>
    <row r="27" customFormat="false" ht="17.15" hidden="false" customHeight="false" outlineLevel="0" collapsed="false">
      <c r="A27" s="35" t="s">
        <v>3764</v>
      </c>
    </row>
    <row r="28" customFormat="false" ht="15" hidden="false" customHeight="false" outlineLevel="0" collapsed="false">
      <c r="A28" s="170" t="s">
        <v>1222</v>
      </c>
      <c r="B28" s="163" t="s">
        <v>3765</v>
      </c>
      <c r="C28" s="163"/>
      <c r="D28" s="163"/>
    </row>
    <row r="29" customFormat="false" ht="15" hidden="false" customHeight="false" outlineLevel="0" collapsed="false">
      <c r="A29" s="358" t="s">
        <v>1223</v>
      </c>
      <c r="B29" s="163" t="s">
        <v>3766</v>
      </c>
      <c r="C29" s="163"/>
      <c r="D29" s="163"/>
    </row>
    <row r="30" customFormat="false" ht="15" hidden="false" customHeight="false" outlineLevel="0" collapsed="false">
      <c r="A30" s="359" t="s">
        <v>1224</v>
      </c>
      <c r="B30" s="163" t="s">
        <v>3767</v>
      </c>
      <c r="C30" s="163"/>
      <c r="D30" s="163"/>
    </row>
    <row r="31" customFormat="false" ht="15" hidden="false" customHeight="false" outlineLevel="0" collapsed="false">
      <c r="A31" s="360" t="s">
        <v>3768</v>
      </c>
      <c r="B31" s="163" t="s">
        <v>3769</v>
      </c>
      <c r="C31" s="163"/>
      <c r="D31" s="163"/>
    </row>
    <row r="33" customFormat="false" ht="17.15" hidden="false" customHeight="false" outlineLevel="0" collapsed="false">
      <c r="A33" s="35" t="s">
        <v>3770</v>
      </c>
    </row>
    <row r="34" customFormat="false" ht="15" hidden="false" customHeight="false" outlineLevel="0" collapsed="false">
      <c r="A34" s="165" t="s">
        <v>3771</v>
      </c>
      <c r="B34" s="163" t="s">
        <v>3772</v>
      </c>
      <c r="C34" s="163"/>
      <c r="D34" s="163"/>
    </row>
    <row r="35" customFormat="false" ht="15" hidden="false" customHeight="false" outlineLevel="0" collapsed="false">
      <c r="A35" s="165" t="s">
        <v>3773</v>
      </c>
      <c r="B35" s="163" t="s">
        <v>3774</v>
      </c>
      <c r="C35" s="163"/>
      <c r="D35" s="163"/>
    </row>
    <row r="36" customFormat="false" ht="15" hidden="false" customHeight="false" outlineLevel="0" collapsed="false">
      <c r="A36" s="165" t="s">
        <v>3775</v>
      </c>
      <c r="B36" s="163" t="s">
        <v>3776</v>
      </c>
      <c r="C36" s="163"/>
      <c r="D36" s="163"/>
    </row>
    <row r="37" customFormat="false" ht="15" hidden="false" customHeight="false" outlineLevel="0" collapsed="false">
      <c r="A37" s="165" t="s">
        <v>3777</v>
      </c>
      <c r="B37" s="163" t="s">
        <v>3778</v>
      </c>
      <c r="C37" s="163"/>
      <c r="D37" s="163"/>
    </row>
    <row r="38" customFormat="false" ht="15" hidden="false" customHeight="false" outlineLevel="0" collapsed="false">
      <c r="A38" s="165" t="s">
        <v>3779</v>
      </c>
      <c r="B38" s="163" t="s">
        <v>3780</v>
      </c>
      <c r="C38" s="163"/>
      <c r="D38" s="163"/>
    </row>
    <row r="40" customFormat="false" ht="17.15" hidden="false" customHeight="false" outlineLevel="0" collapsed="false">
      <c r="A40" s="35" t="s">
        <v>3781</v>
      </c>
    </row>
    <row r="41" customFormat="false" ht="15" hidden="false" customHeight="false" outlineLevel="0" collapsed="false">
      <c r="A41" s="356" t="s">
        <v>3609</v>
      </c>
      <c r="B41" s="163" t="s">
        <v>3782</v>
      </c>
    </row>
    <row r="42" customFormat="false" ht="15" hidden="false" customHeight="false" outlineLevel="0" collapsed="false">
      <c r="A42" s="356" t="s">
        <v>3610</v>
      </c>
      <c r="B42" s="163" t="s">
        <v>3783</v>
      </c>
    </row>
    <row r="43" customFormat="false" ht="15" hidden="false" customHeight="false" outlineLevel="0" collapsed="false">
      <c r="A43" s="356" t="s">
        <v>3616</v>
      </c>
      <c r="B43" s="163" t="s">
        <v>3784</v>
      </c>
    </row>
    <row r="44" customFormat="false" ht="15" hidden="false" customHeight="false" outlineLevel="0" collapsed="false">
      <c r="A44" s="356" t="s">
        <v>3626</v>
      </c>
      <c r="B44" s="163" t="s">
        <v>3785</v>
      </c>
    </row>
    <row r="45" customFormat="false" ht="15" hidden="false" customHeight="false" outlineLevel="0" collapsed="false">
      <c r="A45" s="356" t="s">
        <v>3636</v>
      </c>
      <c r="B45" s="163" t="s">
        <v>3786</v>
      </c>
    </row>
    <row r="46" customFormat="false" ht="15" hidden="false" customHeight="false" outlineLevel="0" collapsed="false">
      <c r="A46" s="356" t="s">
        <v>3647</v>
      </c>
      <c r="B46" s="163" t="s">
        <v>3787</v>
      </c>
    </row>
    <row r="48" customFormat="false" ht="17.15" hidden="false" customHeight="false" outlineLevel="0" collapsed="false">
      <c r="A48" s="35" t="s">
        <v>3788</v>
      </c>
    </row>
    <row r="49" customFormat="false" ht="18" hidden="false" customHeight="true" outlineLevel="0" collapsed="false">
      <c r="A49" s="36" t="s">
        <v>3789</v>
      </c>
      <c r="B49" s="220" t="s">
        <v>3790</v>
      </c>
      <c r="C49" s="220" t="s">
        <v>3791</v>
      </c>
      <c r="D49" s="220" t="s">
        <v>3792</v>
      </c>
    </row>
    <row r="50" customFormat="false" ht="26.85" hidden="false" customHeight="false" outlineLevel="0" collapsed="false">
      <c r="A50" s="361" t="s">
        <v>3793</v>
      </c>
      <c r="B50" s="250" t="s">
        <v>3794</v>
      </c>
      <c r="C50" s="250" t="s">
        <v>3795</v>
      </c>
      <c r="D50" s="250" t="s">
        <v>3796</v>
      </c>
    </row>
    <row r="51" customFormat="false" ht="26.85" hidden="false" customHeight="false" outlineLevel="0" collapsed="false">
      <c r="A51" s="361" t="s">
        <v>3797</v>
      </c>
      <c r="B51" s="250" t="s">
        <v>3798</v>
      </c>
      <c r="C51" s="250" t="s">
        <v>3799</v>
      </c>
      <c r="D51" s="250" t="s">
        <v>3800</v>
      </c>
    </row>
    <row r="52" customFormat="false" ht="15" hidden="false" customHeight="false" outlineLevel="0" collapsed="false">
      <c r="A52" s="361" t="s">
        <v>3801</v>
      </c>
      <c r="B52" s="250" t="s">
        <v>3802</v>
      </c>
      <c r="C52" s="250" t="s">
        <v>3803</v>
      </c>
      <c r="D52" s="250" t="s">
        <v>3804</v>
      </c>
    </row>
    <row r="53" customFormat="false" ht="15" hidden="false" customHeight="false" outlineLevel="0" collapsed="false">
      <c r="A53" s="361" t="s">
        <v>3805</v>
      </c>
      <c r="B53" s="250" t="s">
        <v>3806</v>
      </c>
      <c r="C53" s="250" t="s">
        <v>3807</v>
      </c>
      <c r="D53" s="250" t="s">
        <v>3808</v>
      </c>
    </row>
    <row r="54" customFormat="false" ht="15" hidden="false" customHeight="false" outlineLevel="0" collapsed="false">
      <c r="A54" s="361" t="s">
        <v>3809</v>
      </c>
      <c r="B54" s="250" t="s">
        <v>3810</v>
      </c>
      <c r="C54" s="250" t="s">
        <v>3811</v>
      </c>
      <c r="D54" s="250" t="s">
        <v>3812</v>
      </c>
    </row>
    <row r="55" customFormat="false" ht="15" hidden="false" customHeight="false" outlineLevel="0" collapsed="false">
      <c r="A55" s="361" t="s">
        <v>3813</v>
      </c>
      <c r="B55" s="250" t="s">
        <v>3814</v>
      </c>
      <c r="C55" s="250" t="s">
        <v>3815</v>
      </c>
      <c r="D55" s="250" t="s">
        <v>3816</v>
      </c>
    </row>
    <row r="56" customFormat="false" ht="15" hidden="false" customHeight="false" outlineLevel="0" collapsed="false">
      <c r="A56" s="362" t="s">
        <v>3817</v>
      </c>
      <c r="B56" s="362"/>
      <c r="C56" s="362"/>
      <c r="D56" s="362"/>
    </row>
    <row r="58" customFormat="false" ht="17.15" hidden="false" customHeight="false" outlineLevel="0" collapsed="false">
      <c r="A58" s="35" t="s">
        <v>3818</v>
      </c>
    </row>
    <row r="59" customFormat="false" ht="18" hidden="false" customHeight="true" outlineLevel="0" collapsed="false">
      <c r="A59" s="36" t="s">
        <v>922</v>
      </c>
      <c r="B59" s="36" t="s">
        <v>3819</v>
      </c>
      <c r="D59" s="36" t="s">
        <v>3820</v>
      </c>
    </row>
    <row r="60" customFormat="false" ht="24" hidden="false" customHeight="true" outlineLevel="0" collapsed="false">
      <c r="A60" s="254" t="s">
        <v>3821</v>
      </c>
      <c r="B60" s="250" t="s">
        <v>3822</v>
      </c>
      <c r="C60" s="250"/>
      <c r="D60" s="246" t="s">
        <v>3823</v>
      </c>
    </row>
    <row r="61" customFormat="false" ht="24" hidden="false" customHeight="true" outlineLevel="0" collapsed="false">
      <c r="A61" s="254" t="s">
        <v>3824</v>
      </c>
      <c r="B61" s="250" t="s">
        <v>3825</v>
      </c>
      <c r="C61" s="250"/>
      <c r="D61" s="246" t="s">
        <v>3826</v>
      </c>
    </row>
    <row r="62" customFormat="false" ht="24" hidden="false" customHeight="true" outlineLevel="0" collapsed="false">
      <c r="A62" s="254" t="s">
        <v>3827</v>
      </c>
      <c r="B62" s="250" t="s">
        <v>3828</v>
      </c>
      <c r="C62" s="250"/>
      <c r="D62" s="246" t="s">
        <v>3829</v>
      </c>
    </row>
    <row r="63" customFormat="false" ht="24" hidden="false" customHeight="true" outlineLevel="0" collapsed="false">
      <c r="A63" s="254" t="s">
        <v>3830</v>
      </c>
      <c r="B63" s="250" t="s">
        <v>3831</v>
      </c>
      <c r="C63" s="250"/>
      <c r="D63" s="246" t="s">
        <v>3832</v>
      </c>
    </row>
    <row r="64" customFormat="false" ht="24" hidden="false" customHeight="true" outlineLevel="0" collapsed="false">
      <c r="A64" s="254" t="s">
        <v>3833</v>
      </c>
      <c r="B64" s="250" t="s">
        <v>3834</v>
      </c>
      <c r="C64" s="250"/>
      <c r="D64" s="246" t="s">
        <v>3835</v>
      </c>
    </row>
    <row r="65" customFormat="false" ht="24" hidden="false" customHeight="true" outlineLevel="0" collapsed="false">
      <c r="A65" s="254" t="s">
        <v>3836</v>
      </c>
      <c r="B65" s="250" t="s">
        <v>3837</v>
      </c>
      <c r="C65" s="250"/>
      <c r="D65" s="246" t="s">
        <v>3838</v>
      </c>
    </row>
  </sheetData>
  <sheetProtection sheet="true" formatColumns="false" formatRows="false" autoFilter="false"/>
  <mergeCells count="18">
    <mergeCell ref="A1:F1"/>
    <mergeCell ref="A2:F2"/>
    <mergeCell ref="B28:D28"/>
    <mergeCell ref="B29:D29"/>
    <mergeCell ref="B30:D30"/>
    <mergeCell ref="B31:D31"/>
    <mergeCell ref="B34:D34"/>
    <mergeCell ref="B35:D35"/>
    <mergeCell ref="B36:D36"/>
    <mergeCell ref="B37:D37"/>
    <mergeCell ref="B38:D38"/>
    <mergeCell ref="A56:D56"/>
    <mergeCell ref="B60:C60"/>
    <mergeCell ref="B61:C61"/>
    <mergeCell ref="B62:C62"/>
    <mergeCell ref="B63:C63"/>
    <mergeCell ref="B64:C64"/>
    <mergeCell ref="B65:C65"/>
  </mergeCells>
  <hyperlinks>
    <hyperlink ref="V3" r:id="rId1" location="'00A_從這裡開始_Start'!A1" display="⌂ 回導引頁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C15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55" t="s">
        <v>3839</v>
      </c>
    </row>
    <row r="3" customFormat="false" ht="15" hidden="false" customHeight="false" outlineLevel="0" collapsed="false">
      <c r="D3" s="294" t="s">
        <v>3840</v>
      </c>
      <c r="E3" s="294" t="s">
        <v>3841</v>
      </c>
      <c r="F3" s="294" t="s">
        <v>3842</v>
      </c>
      <c r="G3" s="294" t="s">
        <v>3843</v>
      </c>
      <c r="H3" s="294" t="s">
        <v>3844</v>
      </c>
      <c r="I3" s="294" t="s">
        <v>3845</v>
      </c>
      <c r="J3" s="294" t="s">
        <v>3846</v>
      </c>
      <c r="K3" s="294" t="s">
        <v>3847</v>
      </c>
      <c r="L3" s="294" t="s">
        <v>3848</v>
      </c>
      <c r="M3" s="294" t="s">
        <v>3849</v>
      </c>
      <c r="N3" s="294" t="s">
        <v>3850</v>
      </c>
      <c r="O3" s="294" t="s">
        <v>3851</v>
      </c>
      <c r="P3" s="294" t="s">
        <v>3852</v>
      </c>
      <c r="Q3" s="294" t="s">
        <v>3853</v>
      </c>
      <c r="R3" s="294" t="s">
        <v>3854</v>
      </c>
      <c r="S3" s="294" t="s">
        <v>3855</v>
      </c>
      <c r="T3" s="294" t="s">
        <v>3856</v>
      </c>
      <c r="U3" s="294" t="s">
        <v>3857</v>
      </c>
      <c r="V3" s="294" t="s">
        <v>3858</v>
      </c>
      <c r="W3" s="294" t="s">
        <v>3859</v>
      </c>
      <c r="X3" s="294" t="s">
        <v>3860</v>
      </c>
      <c r="Y3" s="294" t="s">
        <v>3861</v>
      </c>
      <c r="Z3" s="294" t="s">
        <v>3862</v>
      </c>
      <c r="AA3" s="294" t="s">
        <v>3863</v>
      </c>
      <c r="AB3" s="294" t="s">
        <v>3864</v>
      </c>
      <c r="AC3" s="294" t="s">
        <v>3865</v>
      </c>
      <c r="AD3" s="294" t="s">
        <v>3866</v>
      </c>
      <c r="AE3" s="294" t="s">
        <v>3867</v>
      </c>
      <c r="AF3" s="294" t="s">
        <v>3868</v>
      </c>
      <c r="AG3" s="294" t="s">
        <v>3869</v>
      </c>
      <c r="AH3" s="294" t="s">
        <v>3870</v>
      </c>
      <c r="AI3" s="294" t="s">
        <v>3871</v>
      </c>
      <c r="AJ3" s="294" t="s">
        <v>3872</v>
      </c>
      <c r="AK3" s="294" t="s">
        <v>3873</v>
      </c>
      <c r="AL3" s="294" t="s">
        <v>3874</v>
      </c>
      <c r="AM3" s="294" t="s">
        <v>3875</v>
      </c>
      <c r="AN3" s="294" t="s">
        <v>3876</v>
      </c>
      <c r="AO3" s="294" t="s">
        <v>3877</v>
      </c>
      <c r="AP3" s="294" t="s">
        <v>3878</v>
      </c>
      <c r="AQ3" s="294" t="s">
        <v>3879</v>
      </c>
      <c r="AR3" s="294" t="s">
        <v>3880</v>
      </c>
      <c r="AS3" s="294" t="s">
        <v>3881</v>
      </c>
      <c r="AT3" s="294" t="s">
        <v>3882</v>
      </c>
      <c r="AU3" s="294" t="s">
        <v>3883</v>
      </c>
      <c r="AV3" s="294" t="s">
        <v>3884</v>
      </c>
      <c r="AW3" s="294" t="s">
        <v>3885</v>
      </c>
      <c r="AX3" s="294" t="s">
        <v>3886</v>
      </c>
      <c r="AY3" s="294" t="s">
        <v>3887</v>
      </c>
      <c r="AZ3" s="294" t="s">
        <v>3888</v>
      </c>
      <c r="BA3" s="294" t="s">
        <v>3889</v>
      </c>
      <c r="BB3" s="294" t="s">
        <v>3890</v>
      </c>
      <c r="BC3" s="294" t="s">
        <v>3891</v>
      </c>
      <c r="BD3" s="294" t="s">
        <v>3892</v>
      </c>
      <c r="BE3" s="294" t="s">
        <v>3893</v>
      </c>
      <c r="BF3" s="294" t="s">
        <v>3894</v>
      </c>
      <c r="BG3" s="294" t="s">
        <v>3895</v>
      </c>
      <c r="BH3" s="294" t="s">
        <v>3896</v>
      </c>
      <c r="BI3" s="294" t="s">
        <v>3897</v>
      </c>
      <c r="BJ3" s="294" t="s">
        <v>3898</v>
      </c>
      <c r="BK3" s="294" t="s">
        <v>3899</v>
      </c>
      <c r="BL3" s="294" t="s">
        <v>3900</v>
      </c>
      <c r="BM3" s="294" t="s">
        <v>3901</v>
      </c>
      <c r="BN3" s="294" t="s">
        <v>3902</v>
      </c>
      <c r="BO3" s="294" t="s">
        <v>3903</v>
      </c>
      <c r="BP3" s="294" t="s">
        <v>3904</v>
      </c>
      <c r="BQ3" s="294" t="s">
        <v>3905</v>
      </c>
      <c r="BR3" s="294" t="s">
        <v>3906</v>
      </c>
      <c r="BS3" s="294" t="s">
        <v>3907</v>
      </c>
      <c r="BT3" s="294" t="s">
        <v>3908</v>
      </c>
      <c r="BU3" s="294" t="s">
        <v>3909</v>
      </c>
      <c r="BX3" s="22" t="s">
        <v>3910</v>
      </c>
      <c r="BY3" s="22" t="s">
        <v>3911</v>
      </c>
      <c r="BZ3" s="22" t="s">
        <v>3912</v>
      </c>
      <c r="CA3" s="22" t="s">
        <v>3913</v>
      </c>
      <c r="CB3" s="22" t="s">
        <v>3914</v>
      </c>
      <c r="CC3" s="22" t="s">
        <v>3915</v>
      </c>
    </row>
    <row r="4" customFormat="false" ht="17.15" hidden="false" customHeight="false" outlineLevel="0" collapsed="false">
      <c r="A4" s="3" t="s">
        <v>3916</v>
      </c>
      <c r="B4" s="3" t="s">
        <v>921</v>
      </c>
      <c r="C4" s="3" t="s">
        <v>922</v>
      </c>
      <c r="D4" s="0" t="str">
        <f aca="false">""</f>
        <v/>
      </c>
      <c r="E4" s="0" t="str">
        <f aca="false">""</f>
        <v/>
      </c>
      <c r="F4" s="0" t="str">
        <f aca="false">""</f>
        <v/>
      </c>
      <c r="G4" s="0" t="str">
        <f aca="false">""</f>
        <v/>
      </c>
      <c r="H4" s="0" t="str">
        <f aca="false">""</f>
        <v/>
      </c>
      <c r="I4" s="0" t="str">
        <f aca="false">""</f>
        <v/>
      </c>
      <c r="J4" s="0" t="str">
        <f aca="false">""</f>
        <v/>
      </c>
      <c r="K4" s="0" t="str">
        <f aca="false">""</f>
        <v/>
      </c>
      <c r="L4" s="0" t="str">
        <f aca="false">""</f>
        <v/>
      </c>
      <c r="M4" s="0" t="str">
        <f aca="false">""</f>
        <v/>
      </c>
      <c r="N4" s="0" t="str">
        <f aca="false">""</f>
        <v/>
      </c>
      <c r="O4" s="0" t="str">
        <f aca="false">""</f>
        <v/>
      </c>
      <c r="P4" s="0" t="str">
        <f aca="false">""</f>
        <v/>
      </c>
      <c r="Q4" s="0" t="str">
        <f aca="false">""</f>
        <v/>
      </c>
      <c r="R4" s="0" t="str">
        <f aca="false">""</f>
        <v/>
      </c>
      <c r="S4" s="0" t="str">
        <f aca="false">""</f>
        <v/>
      </c>
      <c r="T4" s="0" t="str">
        <f aca="false">""</f>
        <v/>
      </c>
      <c r="U4" s="0" t="str">
        <f aca="false">""</f>
        <v/>
      </c>
      <c r="V4" s="0" t="str">
        <f aca="false">""</f>
        <v/>
      </c>
      <c r="W4" s="0" t="str">
        <f aca="false">""</f>
        <v/>
      </c>
      <c r="X4" s="0" t="str">
        <f aca="false">""</f>
        <v/>
      </c>
      <c r="Y4" s="0" t="str">
        <f aca="false">""</f>
        <v/>
      </c>
      <c r="Z4" s="0" t="str">
        <f aca="false">""</f>
        <v/>
      </c>
      <c r="AA4" s="0" t="str">
        <f aca="false">""</f>
        <v/>
      </c>
      <c r="AB4" s="0" t="str">
        <f aca="false">""</f>
        <v/>
      </c>
      <c r="AC4" s="0" t="str">
        <f aca="false">""</f>
        <v/>
      </c>
      <c r="AD4" s="0" t="str">
        <f aca="false">""</f>
        <v/>
      </c>
      <c r="AE4" s="0" t="str">
        <f aca="false">""</f>
        <v/>
      </c>
      <c r="AF4" s="0" t="str">
        <f aca="false">""</f>
        <v/>
      </c>
      <c r="AG4" s="0" t="str">
        <f aca="false">""</f>
        <v/>
      </c>
      <c r="AH4" s="0" t="str">
        <f aca="false">""</f>
        <v/>
      </c>
      <c r="AI4" s="0" t="str">
        <f aca="false">""</f>
        <v/>
      </c>
      <c r="AJ4" s="0" t="str">
        <f aca="false">""</f>
        <v/>
      </c>
      <c r="AK4" s="0" t="str">
        <f aca="false">""</f>
        <v/>
      </c>
      <c r="AL4" s="0" t="str">
        <f aca="false">""</f>
        <v/>
      </c>
      <c r="AM4" s="0" t="str">
        <f aca="false">""</f>
        <v/>
      </c>
      <c r="AN4" s="0" t="str">
        <f aca="false">""</f>
        <v/>
      </c>
      <c r="AO4" s="0" t="str">
        <f aca="false">""</f>
        <v/>
      </c>
      <c r="AP4" s="0" t="str">
        <f aca="false">""</f>
        <v/>
      </c>
      <c r="AQ4" s="0" t="str">
        <f aca="false">""</f>
        <v/>
      </c>
      <c r="AR4" s="0" t="str">
        <f aca="false">""</f>
        <v/>
      </c>
      <c r="AS4" s="0" t="str">
        <f aca="false">""</f>
        <v/>
      </c>
      <c r="AT4" s="0" t="str">
        <f aca="false">""</f>
        <v/>
      </c>
      <c r="AU4" s="0" t="str">
        <f aca="false">""</f>
        <v/>
      </c>
      <c r="AV4" s="0" t="str">
        <f aca="false">""</f>
        <v/>
      </c>
      <c r="AW4" s="0" t="str">
        <f aca="false">""</f>
        <v/>
      </c>
      <c r="AX4" s="0" t="str">
        <f aca="false">""</f>
        <v/>
      </c>
      <c r="AY4" s="0" t="str">
        <f aca="false">""</f>
        <v/>
      </c>
      <c r="AZ4" s="0" t="str">
        <f aca="false">""</f>
        <v/>
      </c>
      <c r="BA4" s="0" t="str">
        <f aca="false">""</f>
        <v/>
      </c>
      <c r="BB4" s="0" t="str">
        <f aca="false">""</f>
        <v/>
      </c>
      <c r="BC4" s="0" t="str">
        <f aca="false">""</f>
        <v/>
      </c>
      <c r="BD4" s="0" t="str">
        <f aca="false">""</f>
        <v/>
      </c>
      <c r="BE4" s="0" t="str">
        <f aca="false">""</f>
        <v/>
      </c>
      <c r="BF4" s="0" t="str">
        <f aca="false">""</f>
        <v/>
      </c>
      <c r="BG4" s="0" t="str">
        <f aca="false">""</f>
        <v/>
      </c>
      <c r="BH4" s="0" t="str">
        <f aca="false">""</f>
        <v/>
      </c>
      <c r="BI4" s="0" t="str">
        <f aca="false">""</f>
        <v/>
      </c>
      <c r="BJ4" s="0" t="str">
        <f aca="false">""</f>
        <v/>
      </c>
      <c r="BK4" s="0" t="str">
        <f aca="false">""</f>
        <v/>
      </c>
      <c r="BL4" s="0" t="str">
        <f aca="false">""</f>
        <v/>
      </c>
      <c r="BM4" s="0" t="str">
        <f aca="false">""</f>
        <v/>
      </c>
      <c r="BN4" s="0" t="str">
        <f aca="false">""</f>
        <v/>
      </c>
      <c r="BO4" s="0" t="str">
        <f aca="false">""</f>
        <v/>
      </c>
      <c r="BP4" s="0" t="str">
        <f aca="false">""</f>
        <v/>
      </c>
      <c r="BQ4" s="0" t="str">
        <f aca="false">""</f>
        <v/>
      </c>
      <c r="BR4" s="0" t="str">
        <f aca="false">""</f>
        <v/>
      </c>
      <c r="BS4" s="0" t="str">
        <f aca="false">""</f>
        <v/>
      </c>
      <c r="BT4" s="0" t="str">
        <f aca="false">""</f>
        <v/>
      </c>
      <c r="BU4" s="0" t="str">
        <f aca="false">""</f>
        <v/>
      </c>
      <c r="BX4" s="0" t="n">
        <v>0</v>
      </c>
      <c r="BY4" s="0" t="n">
        <v>0</v>
      </c>
      <c r="BZ4" s="0" t="n">
        <v>0</v>
      </c>
      <c r="CA4" s="0" t="n">
        <v>0</v>
      </c>
      <c r="CB4" s="0" t="n">
        <v>0</v>
      </c>
      <c r="CC4" s="0" t="n">
        <v>0</v>
      </c>
    </row>
    <row r="5" customFormat="false" ht="17.15" hidden="false" customHeight="false" outlineLevel="0" collapsed="false">
      <c r="A5" s="0" t="str">
        <f aca="false">IF(03_能力總表_Master!$A5="","",IF(LEFT(03_能力總表_Master!$H5,2)="群晶","● ",IF(ISNUMBER(SEARCH("已確認",03_能力總表_Master!$H5)),"◆ ",IF(ISNUMBER(SEARCH("缺口",03_能力總表_Master!$H5)),"○ ","◐ ")))&amp;RIGHT(03_能力總表_Master!$A5,3)&amp;" "&amp;03_能力總表_Master!$E5)</f>
        <v>◐ 001 政府授權與計畫章程</v>
      </c>
      <c r="B5" s="0" t="str">
        <f aca="false">IF(03_能力總表_Master!$A5="","",LEFT(03_能力總表_Master!$B5,3))</f>
        <v>D01</v>
      </c>
      <c r="C5" s="0" t="str">
        <f aca="false">IF(03_能力總表_Master!$A5="","",03_能力總表_Master!$C5)</f>
        <v>G0</v>
      </c>
      <c r="D5" s="0" t="str">
        <f aca="false">IF(AND($B5="D01",$C5="G0"),D4&amp;IF(D4="","",CHAR(10))&amp;$A5,D4)</f>
        <v>◐ 001 政府授權與計畫章程</v>
      </c>
      <c r="E5" s="0" t="str">
        <f aca="false">IF(AND($B5="D01",$C5="G1"),E4&amp;IF(E4="","",CHAR(10))&amp;$A5,E4)</f>
        <v/>
      </c>
      <c r="F5" s="0" t="str">
        <f aca="false">IF(AND($B5="D01",$C5="G2"),F4&amp;IF(F4="","",CHAR(10))&amp;$A5,F4)</f>
        <v/>
      </c>
      <c r="G5" s="0" t="str">
        <f aca="false">IF(AND($B5="D01",$C5="G3"),G4&amp;IF(G4="","",CHAR(10))&amp;$A5,G4)</f>
        <v/>
      </c>
      <c r="H5" s="0" t="str">
        <f aca="false">IF(AND($B5="D01",$C5="G4"),H4&amp;IF(H4="","",CHAR(10))&amp;$A5,H4)</f>
        <v/>
      </c>
      <c r="I5" s="0" t="str">
        <f aca="false">IF(AND($B5="D01",$C5="G5"),I4&amp;IF(I4="","",CHAR(10))&amp;$A5,I4)</f>
        <v/>
      </c>
      <c r="J5" s="0" t="str">
        <f aca="false">IF(AND($B5="D01",$C5="G6"),J4&amp;IF(J4="","",CHAR(10))&amp;$A5,J4)</f>
        <v/>
      </c>
      <c r="K5" s="0" t="str">
        <f aca="false">IF(AND($B5="D02",$C5="G0"),K4&amp;IF(K4="","",CHAR(10))&amp;$A5,K4)</f>
        <v/>
      </c>
      <c r="L5" s="0" t="str">
        <f aca="false">IF(AND($B5="D02",$C5="G1"),L4&amp;IF(L4="","",CHAR(10))&amp;$A5,L4)</f>
        <v/>
      </c>
      <c r="M5" s="0" t="str">
        <f aca="false">IF(AND($B5="D02",$C5="G2"),M4&amp;IF(M4="","",CHAR(10))&amp;$A5,M4)</f>
        <v/>
      </c>
      <c r="N5" s="0" t="str">
        <f aca="false">IF(AND($B5="D02",$C5="G3"),N4&amp;IF(N4="","",CHAR(10))&amp;$A5,N4)</f>
        <v/>
      </c>
      <c r="O5" s="0" t="str">
        <f aca="false">IF(AND($B5="D02",$C5="G4"),O4&amp;IF(O4="","",CHAR(10))&amp;$A5,O4)</f>
        <v/>
      </c>
      <c r="P5" s="0" t="str">
        <f aca="false">IF(AND($B5="D02",$C5="G5"),P4&amp;IF(P4="","",CHAR(10))&amp;$A5,P4)</f>
        <v/>
      </c>
      <c r="Q5" s="0" t="str">
        <f aca="false">IF(AND($B5="D02",$C5="G6"),Q4&amp;IF(Q4="","",CHAR(10))&amp;$A5,Q4)</f>
        <v/>
      </c>
      <c r="R5" s="0" t="str">
        <f aca="false">IF(AND($B5="D03",$C5="G0"),R4&amp;IF(R4="","",CHAR(10))&amp;$A5,R4)</f>
        <v/>
      </c>
      <c r="S5" s="0" t="str">
        <f aca="false">IF(AND($B5="D03",$C5="G1"),S4&amp;IF(S4="","",CHAR(10))&amp;$A5,S4)</f>
        <v/>
      </c>
      <c r="T5" s="0" t="str">
        <f aca="false">IF(AND($B5="D03",$C5="G2"),T4&amp;IF(T4="","",CHAR(10))&amp;$A5,T4)</f>
        <v/>
      </c>
      <c r="U5" s="0" t="str">
        <f aca="false">IF(AND($B5="D03",$C5="G3"),U4&amp;IF(U4="","",CHAR(10))&amp;$A5,U4)</f>
        <v/>
      </c>
      <c r="V5" s="0" t="str">
        <f aca="false">IF(AND($B5="D03",$C5="G4"),V4&amp;IF(V4="","",CHAR(10))&amp;$A5,V4)</f>
        <v/>
      </c>
      <c r="W5" s="0" t="str">
        <f aca="false">IF(AND($B5="D03",$C5="G5"),W4&amp;IF(W4="","",CHAR(10))&amp;$A5,W4)</f>
        <v/>
      </c>
      <c r="X5" s="0" t="str">
        <f aca="false">IF(AND($B5="D03",$C5="G6"),X4&amp;IF(X4="","",CHAR(10))&amp;$A5,X4)</f>
        <v/>
      </c>
      <c r="Y5" s="0" t="str">
        <f aca="false">IF(AND($B5="D04",$C5="G0"),Y4&amp;IF(Y4="","",CHAR(10))&amp;$A5,Y4)</f>
        <v/>
      </c>
      <c r="Z5" s="0" t="str">
        <f aca="false">IF(AND($B5="D04",$C5="G1"),Z4&amp;IF(Z4="","",CHAR(10))&amp;$A5,Z4)</f>
        <v/>
      </c>
      <c r="AA5" s="0" t="str">
        <f aca="false">IF(AND($B5="D04",$C5="G2"),AA4&amp;IF(AA4="","",CHAR(10))&amp;$A5,AA4)</f>
        <v/>
      </c>
      <c r="AB5" s="0" t="str">
        <f aca="false">IF(AND($B5="D04",$C5="G3"),AB4&amp;IF(AB4="","",CHAR(10))&amp;$A5,AB4)</f>
        <v/>
      </c>
      <c r="AC5" s="0" t="str">
        <f aca="false">IF(AND($B5="D04",$C5="G4"),AC4&amp;IF(AC4="","",CHAR(10))&amp;$A5,AC4)</f>
        <v/>
      </c>
      <c r="AD5" s="0" t="str">
        <f aca="false">IF(AND($B5="D04",$C5="G5"),AD4&amp;IF(AD4="","",CHAR(10))&amp;$A5,AD4)</f>
        <v/>
      </c>
      <c r="AE5" s="0" t="str">
        <f aca="false">IF(AND($B5="D04",$C5="G6"),AE4&amp;IF(AE4="","",CHAR(10))&amp;$A5,AE4)</f>
        <v/>
      </c>
      <c r="AF5" s="0" t="str">
        <f aca="false">IF(AND($B5="D05",$C5="G0"),AF4&amp;IF(AF4="","",CHAR(10))&amp;$A5,AF4)</f>
        <v/>
      </c>
      <c r="AG5" s="0" t="str">
        <f aca="false">IF(AND($B5="D05",$C5="G1"),AG4&amp;IF(AG4="","",CHAR(10))&amp;$A5,AG4)</f>
        <v/>
      </c>
      <c r="AH5" s="0" t="str">
        <f aca="false">IF(AND($B5="D05",$C5="G2"),AH4&amp;IF(AH4="","",CHAR(10))&amp;$A5,AH4)</f>
        <v/>
      </c>
      <c r="AI5" s="0" t="str">
        <f aca="false">IF(AND($B5="D05",$C5="G3"),AI4&amp;IF(AI4="","",CHAR(10))&amp;$A5,AI4)</f>
        <v/>
      </c>
      <c r="AJ5" s="0" t="str">
        <f aca="false">IF(AND($B5="D05",$C5="G4"),AJ4&amp;IF(AJ4="","",CHAR(10))&amp;$A5,AJ4)</f>
        <v/>
      </c>
      <c r="AK5" s="0" t="str">
        <f aca="false">IF(AND($B5="D05",$C5="G5"),AK4&amp;IF(AK4="","",CHAR(10))&amp;$A5,AK4)</f>
        <v/>
      </c>
      <c r="AL5" s="0" t="str">
        <f aca="false">IF(AND($B5="D05",$C5="G6"),AL4&amp;IF(AL4="","",CHAR(10))&amp;$A5,AL4)</f>
        <v/>
      </c>
      <c r="AM5" s="0" t="str">
        <f aca="false">IF(AND($B5="D06",$C5="G0"),AM4&amp;IF(AM4="","",CHAR(10))&amp;$A5,AM4)</f>
        <v/>
      </c>
      <c r="AN5" s="0" t="str">
        <f aca="false">IF(AND($B5="D06",$C5="G1"),AN4&amp;IF(AN4="","",CHAR(10))&amp;$A5,AN4)</f>
        <v/>
      </c>
      <c r="AO5" s="0" t="str">
        <f aca="false">IF(AND($B5="D06",$C5="G2"),AO4&amp;IF(AO4="","",CHAR(10))&amp;$A5,AO4)</f>
        <v/>
      </c>
      <c r="AP5" s="0" t="str">
        <f aca="false">IF(AND($B5="D06",$C5="G3"),AP4&amp;IF(AP4="","",CHAR(10))&amp;$A5,AP4)</f>
        <v/>
      </c>
      <c r="AQ5" s="0" t="str">
        <f aca="false">IF(AND($B5="D06",$C5="G4"),AQ4&amp;IF(AQ4="","",CHAR(10))&amp;$A5,AQ4)</f>
        <v/>
      </c>
      <c r="AR5" s="0" t="str">
        <f aca="false">IF(AND($B5="D06",$C5="G5"),AR4&amp;IF(AR4="","",CHAR(10))&amp;$A5,AR4)</f>
        <v/>
      </c>
      <c r="AS5" s="0" t="str">
        <f aca="false">IF(AND($B5="D06",$C5="G6"),AS4&amp;IF(AS4="","",CHAR(10))&amp;$A5,AS4)</f>
        <v/>
      </c>
      <c r="AT5" s="0" t="str">
        <f aca="false">IF(AND($B5="D07",$C5="G0"),AT4&amp;IF(AT4="","",CHAR(10))&amp;$A5,AT4)</f>
        <v/>
      </c>
      <c r="AU5" s="0" t="str">
        <f aca="false">IF(AND($B5="D07",$C5="G1"),AU4&amp;IF(AU4="","",CHAR(10))&amp;$A5,AU4)</f>
        <v/>
      </c>
      <c r="AV5" s="0" t="str">
        <f aca="false">IF(AND($B5="D07",$C5="G2"),AV4&amp;IF(AV4="","",CHAR(10))&amp;$A5,AV4)</f>
        <v/>
      </c>
      <c r="AW5" s="0" t="str">
        <f aca="false">IF(AND($B5="D07",$C5="G3"),AW4&amp;IF(AW4="","",CHAR(10))&amp;$A5,AW4)</f>
        <v/>
      </c>
      <c r="AX5" s="0" t="str">
        <f aca="false">IF(AND($B5="D07",$C5="G4"),AX4&amp;IF(AX4="","",CHAR(10))&amp;$A5,AX4)</f>
        <v/>
      </c>
      <c r="AY5" s="0" t="str">
        <f aca="false">IF(AND($B5="D07",$C5="G5"),AY4&amp;IF(AY4="","",CHAR(10))&amp;$A5,AY4)</f>
        <v/>
      </c>
      <c r="AZ5" s="0" t="str">
        <f aca="false">IF(AND($B5="D07",$C5="G6"),AZ4&amp;IF(AZ4="","",CHAR(10))&amp;$A5,AZ4)</f>
        <v/>
      </c>
      <c r="BA5" s="0" t="str">
        <f aca="false">IF(AND($B5="D08",$C5="G0"),BA4&amp;IF(BA4="","",CHAR(10))&amp;$A5,BA4)</f>
        <v/>
      </c>
      <c r="BB5" s="0" t="str">
        <f aca="false">IF(AND($B5="D08",$C5="G1"),BB4&amp;IF(BB4="","",CHAR(10))&amp;$A5,BB4)</f>
        <v/>
      </c>
      <c r="BC5" s="0" t="str">
        <f aca="false">IF(AND($B5="D08",$C5="G2"),BC4&amp;IF(BC4="","",CHAR(10))&amp;$A5,BC4)</f>
        <v/>
      </c>
      <c r="BD5" s="0" t="str">
        <f aca="false">IF(AND($B5="D08",$C5="G3"),BD4&amp;IF(BD4="","",CHAR(10))&amp;$A5,BD4)</f>
        <v/>
      </c>
      <c r="BE5" s="0" t="str">
        <f aca="false">IF(AND($B5="D08",$C5="G4"),BE4&amp;IF(BE4="","",CHAR(10))&amp;$A5,BE4)</f>
        <v/>
      </c>
      <c r="BF5" s="0" t="str">
        <f aca="false">IF(AND($B5="D08",$C5="G5"),BF4&amp;IF(BF4="","",CHAR(10))&amp;$A5,BF4)</f>
        <v/>
      </c>
      <c r="BG5" s="0" t="str">
        <f aca="false">IF(AND($B5="D08",$C5="G6"),BG4&amp;IF(BG4="","",CHAR(10))&amp;$A5,BG4)</f>
        <v/>
      </c>
      <c r="BH5" s="0" t="str">
        <f aca="false">IF(AND($B5="D09",$C5="G0"),BH4&amp;IF(BH4="","",CHAR(10))&amp;$A5,BH4)</f>
        <v/>
      </c>
      <c r="BI5" s="0" t="str">
        <f aca="false">IF(AND($B5="D09",$C5="G1"),BI4&amp;IF(BI4="","",CHAR(10))&amp;$A5,BI4)</f>
        <v/>
      </c>
      <c r="BJ5" s="0" t="str">
        <f aca="false">IF(AND($B5="D09",$C5="G2"),BJ4&amp;IF(BJ4="","",CHAR(10))&amp;$A5,BJ4)</f>
        <v/>
      </c>
      <c r="BK5" s="0" t="str">
        <f aca="false">IF(AND($B5="D09",$C5="G3"),BK4&amp;IF(BK4="","",CHAR(10))&amp;$A5,BK4)</f>
        <v/>
      </c>
      <c r="BL5" s="0" t="str">
        <f aca="false">IF(AND($B5="D09",$C5="G4"),BL4&amp;IF(BL4="","",CHAR(10))&amp;$A5,BL4)</f>
        <v/>
      </c>
      <c r="BM5" s="0" t="str">
        <f aca="false">IF(AND($B5="D09",$C5="G5"),BM4&amp;IF(BM4="","",CHAR(10))&amp;$A5,BM4)</f>
        <v/>
      </c>
      <c r="BN5" s="0" t="str">
        <f aca="false">IF(AND($B5="D09",$C5="G6"),BN4&amp;IF(BN4="","",CHAR(10))&amp;$A5,BN4)</f>
        <v/>
      </c>
      <c r="BO5" s="0" t="str">
        <f aca="false">IF(AND($B5="D10",$C5="G0"),BO4&amp;IF(BO4="","",CHAR(10))&amp;$A5,BO4)</f>
        <v/>
      </c>
      <c r="BP5" s="0" t="str">
        <f aca="false">IF(AND($B5="D10",$C5="G1"),BP4&amp;IF(BP4="","",CHAR(10))&amp;$A5,BP4)</f>
        <v/>
      </c>
      <c r="BQ5" s="0" t="str">
        <f aca="false">IF(AND($B5="D10",$C5="G2"),BQ4&amp;IF(BQ4="","",CHAR(10))&amp;$A5,BQ4)</f>
        <v/>
      </c>
      <c r="BR5" s="0" t="str">
        <f aca="false">IF(AND($B5="D10",$C5="G3"),BR4&amp;IF(BR4="","",CHAR(10))&amp;$A5,BR4)</f>
        <v/>
      </c>
      <c r="BS5" s="0" t="str">
        <f aca="false">IF(AND($B5="D10",$C5="G4"),BS4&amp;IF(BS4="","",CHAR(10))&amp;$A5,BS4)</f>
        <v/>
      </c>
      <c r="BT5" s="0" t="str">
        <f aca="false">IF(AND($B5="D10",$C5="G5"),BT4&amp;IF(BT4="","",CHAR(10))&amp;$A5,BT4)</f>
        <v/>
      </c>
      <c r="BU5" s="0" t="str">
        <f aca="false">IF(AND($B5="D10",$C5="G6"),BU4&amp;IF(BU4="","",CHAR(10))&amp;$A5,BU4)</f>
        <v/>
      </c>
      <c r="BX5" s="0" t="str">
        <f aca="false">IF(AND(03_能力總表_Master!$A5&lt;&gt;"",LEFT(03_能力總表_Master!$H5,2)="缺口"),MAX($BX$4:BX4)+1,"")</f>
        <v/>
      </c>
      <c r="BY5" s="0" t="str">
        <f aca="false">IF(AND(03_能力總表_Master!$A5&lt;&gt;"",03_能力總表_Master!$J5=12_夥伴視角_PartnerView!$C$4),MAX($BY$4:BY4)+1,"")</f>
        <v/>
      </c>
      <c r="BZ5" s="0" t="n">
        <f aca="false">IF(AND(05_法規門檻_Gates!$A5&lt;&gt;"",05_法規門檻_Gates!$E5="強制",05_法規門檻_Gates!$F5="待確認"),MAX($BZ$4:BZ4)+1,"")</f>
        <v>1</v>
      </c>
      <c r="CA5" s="0" t="n">
        <f aca="false">IF(AND(08_風險清冊_Risk!$A5&lt;&gt;"",OR(08_風險清冊_Risk!$G5="極高",08_風險清冊_Risk!$G5="高")),MAX($CA$4:CA4)+1,"")</f>
        <v>1</v>
      </c>
      <c r="CB5" s="0" t="str">
        <f aca="false">IF(AND(14_商機清單_Pipeline!$A5&lt;&gt;"",OR(N(14_商機清單_Pipeline!$I5)&gt;0,N(14_商機清單_Pipeline!$F5)=0)),MAX($CB$4:CB4)+1,"")</f>
        <v/>
      </c>
      <c r="CC5" s="0" t="str">
        <f aca="false">IF(AND(03_能力總表_Master!$A5&lt;&gt;"",IFERROR(INDEX(16_能力商機矩陣_CapOppMap!$D5:$CO5,MATCH(LEFT(17_商機作戰卡_OppView!$C$4,6),16_能力商機矩陣_CapOppMap!$D$4:$CO$4,0)),"")="✓"),MAX($CC$4:CC4)+1,"")</f>
        <v/>
      </c>
    </row>
    <row r="6" customFormat="false" ht="32.8" hidden="false" customHeight="false" outlineLevel="0" collapsed="false">
      <c r="A6" s="0" t="str">
        <f aca="false">IF(03_能力總表_Master!$A6="","",IF(LEFT(03_能力總表_Master!$H6,2)="群晶","● ",IF(ISNUMBER(SEARCH("已確認",03_能力總表_Master!$H6)),"◆ ",IF(ISNUMBER(SEARCH("缺口",03_能力總表_Master!$H6)),"○ ","◐ ")))&amp;RIGHT(03_能力總表_Master!$A6,3)&amp;" "&amp;03_能力總表_Master!$E6)</f>
        <v>◐ 002 利害關係人與權力地圖</v>
      </c>
      <c r="B6" s="0" t="str">
        <f aca="false">IF(03_能力總表_Master!$A6="","",LEFT(03_能力總表_Master!$B6,3))</f>
        <v>D01</v>
      </c>
      <c r="C6" s="0" t="str">
        <f aca="false">IF(03_能力總表_Master!$A6="","",03_能力總表_Master!$C6)</f>
        <v>G0</v>
      </c>
      <c r="D6" s="363" t="str">
        <f aca="false">IF(AND($B6="D01",$C6="G0"),D5&amp;IF(D5="","",CHAR(10))&amp;$A6,D5)</f>
        <v>◐ 001 政府授權與計畫章程
◐ 002 利害關係人與權力地圖</v>
      </c>
      <c r="E6" s="0" t="str">
        <f aca="false">IF(AND($B6="D01",$C6="G1"),E5&amp;IF(E5="","",CHAR(10))&amp;$A6,E5)</f>
        <v/>
      </c>
      <c r="F6" s="0" t="str">
        <f aca="false">IF(AND($B6="D01",$C6="G2"),F5&amp;IF(F5="","",CHAR(10))&amp;$A6,F5)</f>
        <v/>
      </c>
      <c r="G6" s="0" t="str">
        <f aca="false">IF(AND($B6="D01",$C6="G3"),G5&amp;IF(G5="","",CHAR(10))&amp;$A6,G5)</f>
        <v/>
      </c>
      <c r="H6" s="0" t="str">
        <f aca="false">IF(AND($B6="D01",$C6="G4"),H5&amp;IF(H5="","",CHAR(10))&amp;$A6,H5)</f>
        <v/>
      </c>
      <c r="I6" s="0" t="str">
        <f aca="false">IF(AND($B6="D01",$C6="G5"),I5&amp;IF(I5="","",CHAR(10))&amp;$A6,I5)</f>
        <v/>
      </c>
      <c r="J6" s="0" t="str">
        <f aca="false">IF(AND($B6="D01",$C6="G6"),J5&amp;IF(J5="","",CHAR(10))&amp;$A6,J5)</f>
        <v/>
      </c>
      <c r="K6" s="0" t="str">
        <f aca="false">IF(AND($B6="D02",$C6="G0"),K5&amp;IF(K5="","",CHAR(10))&amp;$A6,K5)</f>
        <v/>
      </c>
      <c r="L6" s="0" t="str">
        <f aca="false">IF(AND($B6="D02",$C6="G1"),L5&amp;IF(L5="","",CHAR(10))&amp;$A6,L5)</f>
        <v/>
      </c>
      <c r="M6" s="0" t="str">
        <f aca="false">IF(AND($B6="D02",$C6="G2"),M5&amp;IF(M5="","",CHAR(10))&amp;$A6,M5)</f>
        <v/>
      </c>
      <c r="N6" s="0" t="str">
        <f aca="false">IF(AND($B6="D02",$C6="G3"),N5&amp;IF(N5="","",CHAR(10))&amp;$A6,N5)</f>
        <v/>
      </c>
      <c r="O6" s="0" t="str">
        <f aca="false">IF(AND($B6="D02",$C6="G4"),O5&amp;IF(O5="","",CHAR(10))&amp;$A6,O5)</f>
        <v/>
      </c>
      <c r="P6" s="0" t="str">
        <f aca="false">IF(AND($B6="D02",$C6="G5"),P5&amp;IF(P5="","",CHAR(10))&amp;$A6,P5)</f>
        <v/>
      </c>
      <c r="Q6" s="0" t="str">
        <f aca="false">IF(AND($B6="D02",$C6="G6"),Q5&amp;IF(Q5="","",CHAR(10))&amp;$A6,Q5)</f>
        <v/>
      </c>
      <c r="R6" s="0" t="str">
        <f aca="false">IF(AND($B6="D03",$C6="G0"),R5&amp;IF(R5="","",CHAR(10))&amp;$A6,R5)</f>
        <v/>
      </c>
      <c r="S6" s="0" t="str">
        <f aca="false">IF(AND($B6="D03",$C6="G1"),S5&amp;IF(S5="","",CHAR(10))&amp;$A6,S5)</f>
        <v/>
      </c>
      <c r="T6" s="0" t="str">
        <f aca="false">IF(AND($B6="D03",$C6="G2"),T5&amp;IF(T5="","",CHAR(10))&amp;$A6,T5)</f>
        <v/>
      </c>
      <c r="U6" s="0" t="str">
        <f aca="false">IF(AND($B6="D03",$C6="G3"),U5&amp;IF(U5="","",CHAR(10))&amp;$A6,U5)</f>
        <v/>
      </c>
      <c r="V6" s="0" t="str">
        <f aca="false">IF(AND($B6="D03",$C6="G4"),V5&amp;IF(V5="","",CHAR(10))&amp;$A6,V5)</f>
        <v/>
      </c>
      <c r="W6" s="0" t="str">
        <f aca="false">IF(AND($B6="D03",$C6="G5"),W5&amp;IF(W5="","",CHAR(10))&amp;$A6,W5)</f>
        <v/>
      </c>
      <c r="X6" s="0" t="str">
        <f aca="false">IF(AND($B6="D03",$C6="G6"),X5&amp;IF(X5="","",CHAR(10))&amp;$A6,X5)</f>
        <v/>
      </c>
      <c r="Y6" s="0" t="str">
        <f aca="false">IF(AND($B6="D04",$C6="G0"),Y5&amp;IF(Y5="","",CHAR(10))&amp;$A6,Y5)</f>
        <v/>
      </c>
      <c r="Z6" s="0" t="str">
        <f aca="false">IF(AND($B6="D04",$C6="G1"),Z5&amp;IF(Z5="","",CHAR(10))&amp;$A6,Z5)</f>
        <v/>
      </c>
      <c r="AA6" s="0" t="str">
        <f aca="false">IF(AND($B6="D04",$C6="G2"),AA5&amp;IF(AA5="","",CHAR(10))&amp;$A6,AA5)</f>
        <v/>
      </c>
      <c r="AB6" s="0" t="str">
        <f aca="false">IF(AND($B6="D04",$C6="G3"),AB5&amp;IF(AB5="","",CHAR(10))&amp;$A6,AB5)</f>
        <v/>
      </c>
      <c r="AC6" s="0" t="str">
        <f aca="false">IF(AND($B6="D04",$C6="G4"),AC5&amp;IF(AC5="","",CHAR(10))&amp;$A6,AC5)</f>
        <v/>
      </c>
      <c r="AD6" s="0" t="str">
        <f aca="false">IF(AND($B6="D04",$C6="G5"),AD5&amp;IF(AD5="","",CHAR(10))&amp;$A6,AD5)</f>
        <v/>
      </c>
      <c r="AE6" s="0" t="str">
        <f aca="false">IF(AND($B6="D04",$C6="G6"),AE5&amp;IF(AE5="","",CHAR(10))&amp;$A6,AE5)</f>
        <v/>
      </c>
      <c r="AF6" s="0" t="str">
        <f aca="false">IF(AND($B6="D05",$C6="G0"),AF5&amp;IF(AF5="","",CHAR(10))&amp;$A6,AF5)</f>
        <v/>
      </c>
      <c r="AG6" s="0" t="str">
        <f aca="false">IF(AND($B6="D05",$C6="G1"),AG5&amp;IF(AG5="","",CHAR(10))&amp;$A6,AG5)</f>
        <v/>
      </c>
      <c r="AH6" s="0" t="str">
        <f aca="false">IF(AND($B6="D05",$C6="G2"),AH5&amp;IF(AH5="","",CHAR(10))&amp;$A6,AH5)</f>
        <v/>
      </c>
      <c r="AI6" s="0" t="str">
        <f aca="false">IF(AND($B6="D05",$C6="G3"),AI5&amp;IF(AI5="","",CHAR(10))&amp;$A6,AI5)</f>
        <v/>
      </c>
      <c r="AJ6" s="0" t="str">
        <f aca="false">IF(AND($B6="D05",$C6="G4"),AJ5&amp;IF(AJ5="","",CHAR(10))&amp;$A6,AJ5)</f>
        <v/>
      </c>
      <c r="AK6" s="0" t="str">
        <f aca="false">IF(AND($B6="D05",$C6="G5"),AK5&amp;IF(AK5="","",CHAR(10))&amp;$A6,AK5)</f>
        <v/>
      </c>
      <c r="AL6" s="0" t="str">
        <f aca="false">IF(AND($B6="D05",$C6="G6"),AL5&amp;IF(AL5="","",CHAR(10))&amp;$A6,AL5)</f>
        <v/>
      </c>
      <c r="AM6" s="0" t="str">
        <f aca="false">IF(AND($B6="D06",$C6="G0"),AM5&amp;IF(AM5="","",CHAR(10))&amp;$A6,AM5)</f>
        <v/>
      </c>
      <c r="AN6" s="0" t="str">
        <f aca="false">IF(AND($B6="D06",$C6="G1"),AN5&amp;IF(AN5="","",CHAR(10))&amp;$A6,AN5)</f>
        <v/>
      </c>
      <c r="AO6" s="0" t="str">
        <f aca="false">IF(AND($B6="D06",$C6="G2"),AO5&amp;IF(AO5="","",CHAR(10))&amp;$A6,AO5)</f>
        <v/>
      </c>
      <c r="AP6" s="0" t="str">
        <f aca="false">IF(AND($B6="D06",$C6="G3"),AP5&amp;IF(AP5="","",CHAR(10))&amp;$A6,AP5)</f>
        <v/>
      </c>
      <c r="AQ6" s="0" t="str">
        <f aca="false">IF(AND($B6="D06",$C6="G4"),AQ5&amp;IF(AQ5="","",CHAR(10))&amp;$A6,AQ5)</f>
        <v/>
      </c>
      <c r="AR6" s="0" t="str">
        <f aca="false">IF(AND($B6="D06",$C6="G5"),AR5&amp;IF(AR5="","",CHAR(10))&amp;$A6,AR5)</f>
        <v/>
      </c>
      <c r="AS6" s="0" t="str">
        <f aca="false">IF(AND($B6="D06",$C6="G6"),AS5&amp;IF(AS5="","",CHAR(10))&amp;$A6,AS5)</f>
        <v/>
      </c>
      <c r="AT6" s="0" t="str">
        <f aca="false">IF(AND($B6="D07",$C6="G0"),AT5&amp;IF(AT5="","",CHAR(10))&amp;$A6,AT5)</f>
        <v/>
      </c>
      <c r="AU6" s="0" t="str">
        <f aca="false">IF(AND($B6="D07",$C6="G1"),AU5&amp;IF(AU5="","",CHAR(10))&amp;$A6,AU5)</f>
        <v/>
      </c>
      <c r="AV6" s="0" t="str">
        <f aca="false">IF(AND($B6="D07",$C6="G2"),AV5&amp;IF(AV5="","",CHAR(10))&amp;$A6,AV5)</f>
        <v/>
      </c>
      <c r="AW6" s="0" t="str">
        <f aca="false">IF(AND($B6="D07",$C6="G3"),AW5&amp;IF(AW5="","",CHAR(10))&amp;$A6,AW5)</f>
        <v/>
      </c>
      <c r="AX6" s="0" t="str">
        <f aca="false">IF(AND($B6="D07",$C6="G4"),AX5&amp;IF(AX5="","",CHAR(10))&amp;$A6,AX5)</f>
        <v/>
      </c>
      <c r="AY6" s="0" t="str">
        <f aca="false">IF(AND($B6="D07",$C6="G5"),AY5&amp;IF(AY5="","",CHAR(10))&amp;$A6,AY5)</f>
        <v/>
      </c>
      <c r="AZ6" s="0" t="str">
        <f aca="false">IF(AND($B6="D07",$C6="G6"),AZ5&amp;IF(AZ5="","",CHAR(10))&amp;$A6,AZ5)</f>
        <v/>
      </c>
      <c r="BA6" s="0" t="str">
        <f aca="false">IF(AND($B6="D08",$C6="G0"),BA5&amp;IF(BA5="","",CHAR(10))&amp;$A6,BA5)</f>
        <v/>
      </c>
      <c r="BB6" s="0" t="str">
        <f aca="false">IF(AND($B6="D08",$C6="G1"),BB5&amp;IF(BB5="","",CHAR(10))&amp;$A6,BB5)</f>
        <v/>
      </c>
      <c r="BC6" s="0" t="str">
        <f aca="false">IF(AND($B6="D08",$C6="G2"),BC5&amp;IF(BC5="","",CHAR(10))&amp;$A6,BC5)</f>
        <v/>
      </c>
      <c r="BD6" s="0" t="str">
        <f aca="false">IF(AND($B6="D08",$C6="G3"),BD5&amp;IF(BD5="","",CHAR(10))&amp;$A6,BD5)</f>
        <v/>
      </c>
      <c r="BE6" s="0" t="str">
        <f aca="false">IF(AND($B6="D08",$C6="G4"),BE5&amp;IF(BE5="","",CHAR(10))&amp;$A6,BE5)</f>
        <v/>
      </c>
      <c r="BF6" s="0" t="str">
        <f aca="false">IF(AND($B6="D08",$C6="G5"),BF5&amp;IF(BF5="","",CHAR(10))&amp;$A6,BF5)</f>
        <v/>
      </c>
      <c r="BG6" s="0" t="str">
        <f aca="false">IF(AND($B6="D08",$C6="G6"),BG5&amp;IF(BG5="","",CHAR(10))&amp;$A6,BG5)</f>
        <v/>
      </c>
      <c r="BH6" s="0" t="str">
        <f aca="false">IF(AND($B6="D09",$C6="G0"),BH5&amp;IF(BH5="","",CHAR(10))&amp;$A6,BH5)</f>
        <v/>
      </c>
      <c r="BI6" s="0" t="str">
        <f aca="false">IF(AND($B6="D09",$C6="G1"),BI5&amp;IF(BI5="","",CHAR(10))&amp;$A6,BI5)</f>
        <v/>
      </c>
      <c r="BJ6" s="0" t="str">
        <f aca="false">IF(AND($B6="D09",$C6="G2"),BJ5&amp;IF(BJ5="","",CHAR(10))&amp;$A6,BJ5)</f>
        <v/>
      </c>
      <c r="BK6" s="0" t="str">
        <f aca="false">IF(AND($B6="D09",$C6="G3"),BK5&amp;IF(BK5="","",CHAR(10))&amp;$A6,BK5)</f>
        <v/>
      </c>
      <c r="BL6" s="0" t="str">
        <f aca="false">IF(AND($B6="D09",$C6="G4"),BL5&amp;IF(BL5="","",CHAR(10))&amp;$A6,BL5)</f>
        <v/>
      </c>
      <c r="BM6" s="0" t="str">
        <f aca="false">IF(AND($B6="D09",$C6="G5"),BM5&amp;IF(BM5="","",CHAR(10))&amp;$A6,BM5)</f>
        <v/>
      </c>
      <c r="BN6" s="0" t="str">
        <f aca="false">IF(AND($B6="D09",$C6="G6"),BN5&amp;IF(BN5="","",CHAR(10))&amp;$A6,BN5)</f>
        <v/>
      </c>
      <c r="BO6" s="0" t="str">
        <f aca="false">IF(AND($B6="D10",$C6="G0"),BO5&amp;IF(BO5="","",CHAR(10))&amp;$A6,BO5)</f>
        <v/>
      </c>
      <c r="BP6" s="0" t="str">
        <f aca="false">IF(AND($B6="D10",$C6="G1"),BP5&amp;IF(BP5="","",CHAR(10))&amp;$A6,BP5)</f>
        <v/>
      </c>
      <c r="BQ6" s="0" t="str">
        <f aca="false">IF(AND($B6="D10",$C6="G2"),BQ5&amp;IF(BQ5="","",CHAR(10))&amp;$A6,BQ5)</f>
        <v/>
      </c>
      <c r="BR6" s="0" t="str">
        <f aca="false">IF(AND($B6="D10",$C6="G3"),BR5&amp;IF(BR5="","",CHAR(10))&amp;$A6,BR5)</f>
        <v/>
      </c>
      <c r="BS6" s="0" t="str">
        <f aca="false">IF(AND($B6="D10",$C6="G4"),BS5&amp;IF(BS5="","",CHAR(10))&amp;$A6,BS5)</f>
        <v/>
      </c>
      <c r="BT6" s="0" t="str">
        <f aca="false">IF(AND($B6="D10",$C6="G5"),BT5&amp;IF(BT5="","",CHAR(10))&amp;$A6,BT5)</f>
        <v/>
      </c>
      <c r="BU6" s="0" t="str">
        <f aca="false">IF(AND($B6="D10",$C6="G6"),BU5&amp;IF(BU5="","",CHAR(10))&amp;$A6,BU5)</f>
        <v/>
      </c>
      <c r="BX6" s="0" t="str">
        <f aca="false">IF(AND(03_能力總表_Master!$A6&lt;&gt;"",LEFT(03_能力總表_Master!$H6,2)="缺口"),MAX($BX$4:BX5)+1,"")</f>
        <v/>
      </c>
      <c r="BY6" s="0" t="str">
        <f aca="false">IF(AND(03_能力總表_Master!$A6&lt;&gt;"",03_能力總表_Master!$J6=12_夥伴視角_PartnerView!$C$4),MAX($BY$4:BY5)+1,"")</f>
        <v/>
      </c>
      <c r="BZ6" s="0" t="n">
        <f aca="false">IF(AND(05_法規門檻_Gates!$A6&lt;&gt;"",05_法規門檻_Gates!$E6="強制",05_法規門檻_Gates!$F6="待確認"),MAX($BZ$4:BZ5)+1,"")</f>
        <v>2</v>
      </c>
      <c r="CA6" s="0" t="n">
        <f aca="false">IF(AND(08_風險清冊_Risk!$A6&lt;&gt;"",OR(08_風險清冊_Risk!$G6="極高",08_風險清冊_Risk!$G6="高")),MAX($CA$4:CA5)+1,"")</f>
        <v>2</v>
      </c>
      <c r="CB6" s="0" t="n">
        <f aca="false">IF(AND(14_商機清單_Pipeline!$A6&lt;&gt;"",OR(N(14_商機清單_Pipeline!$I6)&gt;0,N(14_商機清單_Pipeline!$F6)=0)),MAX($CB$4:CB5)+1,"")</f>
        <v>1</v>
      </c>
      <c r="CC6" s="0" t="str">
        <f aca="false">IF(AND(03_能力總表_Master!$A6&lt;&gt;"",IFERROR(INDEX(16_能力商機矩陣_CapOppMap!$D6:$CO6,MATCH(LEFT(17_商機作戰卡_OppView!$C$4,6),16_能力商機矩陣_CapOppMap!$D$4:$CO$4,0)),"")="✓"),MAX($CC$4:CC5)+1,"")</f>
        <v/>
      </c>
    </row>
    <row r="7" customFormat="false" ht="32.8" hidden="false" customHeight="false" outlineLevel="0" collapsed="false">
      <c r="A7" s="0" t="str">
        <f aca="false">IF(03_能力總表_Master!$A7="","",IF(LEFT(03_能力總表_Master!$H7,2)="群晶","● ",IF(ISNUMBER(SEARCH("已確認",03_能力總表_Master!$H7)),"◆ ",IF(ISNUMBER(SEARCH("缺口",03_能力總表_Master!$H7)),"○ ","◐ ")))&amp;RIGHT(03_能力總表_Master!$A7,3)&amp;" "&amp;03_能力總表_Master!$E7)</f>
        <v>◐ 003 交易模式選擇</v>
      </c>
      <c r="B7" s="0" t="str">
        <f aca="false">IF(03_能力總表_Master!$A7="","",LEFT(03_能力總表_Master!$B7,3))</f>
        <v>D01</v>
      </c>
      <c r="C7" s="0" t="str">
        <f aca="false">IF(03_能力總表_Master!$A7="","",03_能力總表_Master!$C7)</f>
        <v>G1</v>
      </c>
      <c r="D7" s="363" t="str">
        <f aca="false">IF(AND($B7="D01",$C7="G0"),D6&amp;IF(D6="","",CHAR(10))&amp;$A7,D6)</f>
        <v>◐ 001 政府授權與計畫章程
◐ 002 利害關係人與權力地圖</v>
      </c>
      <c r="E7" s="0" t="str">
        <f aca="false">IF(AND($B7="D01",$C7="G1"),E6&amp;IF(E6="","",CHAR(10))&amp;$A7,E6)</f>
        <v>◐ 003 交易模式選擇</v>
      </c>
      <c r="F7" s="0" t="str">
        <f aca="false">IF(AND($B7="D01",$C7="G2"),F6&amp;IF(F6="","",CHAR(10))&amp;$A7,F6)</f>
        <v/>
      </c>
      <c r="G7" s="0" t="str">
        <f aca="false">IF(AND($B7="D01",$C7="G3"),G6&amp;IF(G6="","",CHAR(10))&amp;$A7,G6)</f>
        <v/>
      </c>
      <c r="H7" s="0" t="str">
        <f aca="false">IF(AND($B7="D01",$C7="G4"),H6&amp;IF(H6="","",CHAR(10))&amp;$A7,H6)</f>
        <v/>
      </c>
      <c r="I7" s="0" t="str">
        <f aca="false">IF(AND($B7="D01",$C7="G5"),I6&amp;IF(I6="","",CHAR(10))&amp;$A7,I6)</f>
        <v/>
      </c>
      <c r="J7" s="0" t="str">
        <f aca="false">IF(AND($B7="D01",$C7="G6"),J6&amp;IF(J6="","",CHAR(10))&amp;$A7,J6)</f>
        <v/>
      </c>
      <c r="K7" s="0" t="str">
        <f aca="false">IF(AND($B7="D02",$C7="G0"),K6&amp;IF(K6="","",CHAR(10))&amp;$A7,K6)</f>
        <v/>
      </c>
      <c r="L7" s="0" t="str">
        <f aca="false">IF(AND($B7="D02",$C7="G1"),L6&amp;IF(L6="","",CHAR(10))&amp;$A7,L6)</f>
        <v/>
      </c>
      <c r="M7" s="0" t="str">
        <f aca="false">IF(AND($B7="D02",$C7="G2"),M6&amp;IF(M6="","",CHAR(10))&amp;$A7,M6)</f>
        <v/>
      </c>
      <c r="N7" s="0" t="str">
        <f aca="false">IF(AND($B7="D02",$C7="G3"),N6&amp;IF(N6="","",CHAR(10))&amp;$A7,N6)</f>
        <v/>
      </c>
      <c r="O7" s="0" t="str">
        <f aca="false">IF(AND($B7="D02",$C7="G4"),O6&amp;IF(O6="","",CHAR(10))&amp;$A7,O6)</f>
        <v/>
      </c>
      <c r="P7" s="0" t="str">
        <f aca="false">IF(AND($B7="D02",$C7="G5"),P6&amp;IF(P6="","",CHAR(10))&amp;$A7,P6)</f>
        <v/>
      </c>
      <c r="Q7" s="0" t="str">
        <f aca="false">IF(AND($B7="D02",$C7="G6"),Q6&amp;IF(Q6="","",CHAR(10))&amp;$A7,Q6)</f>
        <v/>
      </c>
      <c r="R7" s="0" t="str">
        <f aca="false">IF(AND($B7="D03",$C7="G0"),R6&amp;IF(R6="","",CHAR(10))&amp;$A7,R6)</f>
        <v/>
      </c>
      <c r="S7" s="0" t="str">
        <f aca="false">IF(AND($B7="D03",$C7="G1"),S6&amp;IF(S6="","",CHAR(10))&amp;$A7,S6)</f>
        <v/>
      </c>
      <c r="T7" s="0" t="str">
        <f aca="false">IF(AND($B7="D03",$C7="G2"),T6&amp;IF(T6="","",CHAR(10))&amp;$A7,T6)</f>
        <v/>
      </c>
      <c r="U7" s="0" t="str">
        <f aca="false">IF(AND($B7="D03",$C7="G3"),U6&amp;IF(U6="","",CHAR(10))&amp;$A7,U6)</f>
        <v/>
      </c>
      <c r="V7" s="0" t="str">
        <f aca="false">IF(AND($B7="D03",$C7="G4"),V6&amp;IF(V6="","",CHAR(10))&amp;$A7,V6)</f>
        <v/>
      </c>
      <c r="W7" s="0" t="str">
        <f aca="false">IF(AND($B7="D03",$C7="G5"),W6&amp;IF(W6="","",CHAR(10))&amp;$A7,W6)</f>
        <v/>
      </c>
      <c r="X7" s="0" t="str">
        <f aca="false">IF(AND($B7="D03",$C7="G6"),X6&amp;IF(X6="","",CHAR(10))&amp;$A7,X6)</f>
        <v/>
      </c>
      <c r="Y7" s="0" t="str">
        <f aca="false">IF(AND($B7="D04",$C7="G0"),Y6&amp;IF(Y6="","",CHAR(10))&amp;$A7,Y6)</f>
        <v/>
      </c>
      <c r="Z7" s="0" t="str">
        <f aca="false">IF(AND($B7="D04",$C7="G1"),Z6&amp;IF(Z6="","",CHAR(10))&amp;$A7,Z6)</f>
        <v/>
      </c>
      <c r="AA7" s="0" t="str">
        <f aca="false">IF(AND($B7="D04",$C7="G2"),AA6&amp;IF(AA6="","",CHAR(10))&amp;$A7,AA6)</f>
        <v/>
      </c>
      <c r="AB7" s="0" t="str">
        <f aca="false">IF(AND($B7="D04",$C7="G3"),AB6&amp;IF(AB6="","",CHAR(10))&amp;$A7,AB6)</f>
        <v/>
      </c>
      <c r="AC7" s="0" t="str">
        <f aca="false">IF(AND($B7="D04",$C7="G4"),AC6&amp;IF(AC6="","",CHAR(10))&amp;$A7,AC6)</f>
        <v/>
      </c>
      <c r="AD7" s="0" t="str">
        <f aca="false">IF(AND($B7="D04",$C7="G5"),AD6&amp;IF(AD6="","",CHAR(10))&amp;$A7,AD6)</f>
        <v/>
      </c>
      <c r="AE7" s="0" t="str">
        <f aca="false">IF(AND($B7="D04",$C7="G6"),AE6&amp;IF(AE6="","",CHAR(10))&amp;$A7,AE6)</f>
        <v/>
      </c>
      <c r="AF7" s="0" t="str">
        <f aca="false">IF(AND($B7="D05",$C7="G0"),AF6&amp;IF(AF6="","",CHAR(10))&amp;$A7,AF6)</f>
        <v/>
      </c>
      <c r="AG7" s="0" t="str">
        <f aca="false">IF(AND($B7="D05",$C7="G1"),AG6&amp;IF(AG6="","",CHAR(10))&amp;$A7,AG6)</f>
        <v/>
      </c>
      <c r="AH7" s="0" t="str">
        <f aca="false">IF(AND($B7="D05",$C7="G2"),AH6&amp;IF(AH6="","",CHAR(10))&amp;$A7,AH6)</f>
        <v/>
      </c>
      <c r="AI7" s="0" t="str">
        <f aca="false">IF(AND($B7="D05",$C7="G3"),AI6&amp;IF(AI6="","",CHAR(10))&amp;$A7,AI6)</f>
        <v/>
      </c>
      <c r="AJ7" s="0" t="str">
        <f aca="false">IF(AND($B7="D05",$C7="G4"),AJ6&amp;IF(AJ6="","",CHAR(10))&amp;$A7,AJ6)</f>
        <v/>
      </c>
      <c r="AK7" s="0" t="str">
        <f aca="false">IF(AND($B7="D05",$C7="G5"),AK6&amp;IF(AK6="","",CHAR(10))&amp;$A7,AK6)</f>
        <v/>
      </c>
      <c r="AL7" s="0" t="str">
        <f aca="false">IF(AND($B7="D05",$C7="G6"),AL6&amp;IF(AL6="","",CHAR(10))&amp;$A7,AL6)</f>
        <v/>
      </c>
      <c r="AM7" s="0" t="str">
        <f aca="false">IF(AND($B7="D06",$C7="G0"),AM6&amp;IF(AM6="","",CHAR(10))&amp;$A7,AM6)</f>
        <v/>
      </c>
      <c r="AN7" s="0" t="str">
        <f aca="false">IF(AND($B7="D06",$C7="G1"),AN6&amp;IF(AN6="","",CHAR(10))&amp;$A7,AN6)</f>
        <v/>
      </c>
      <c r="AO7" s="0" t="str">
        <f aca="false">IF(AND($B7="D06",$C7="G2"),AO6&amp;IF(AO6="","",CHAR(10))&amp;$A7,AO6)</f>
        <v/>
      </c>
      <c r="AP7" s="0" t="str">
        <f aca="false">IF(AND($B7="D06",$C7="G3"),AP6&amp;IF(AP6="","",CHAR(10))&amp;$A7,AP6)</f>
        <v/>
      </c>
      <c r="AQ7" s="0" t="str">
        <f aca="false">IF(AND($B7="D06",$C7="G4"),AQ6&amp;IF(AQ6="","",CHAR(10))&amp;$A7,AQ6)</f>
        <v/>
      </c>
      <c r="AR7" s="0" t="str">
        <f aca="false">IF(AND($B7="D06",$C7="G5"),AR6&amp;IF(AR6="","",CHAR(10))&amp;$A7,AR6)</f>
        <v/>
      </c>
      <c r="AS7" s="0" t="str">
        <f aca="false">IF(AND($B7="D06",$C7="G6"),AS6&amp;IF(AS6="","",CHAR(10))&amp;$A7,AS6)</f>
        <v/>
      </c>
      <c r="AT7" s="0" t="str">
        <f aca="false">IF(AND($B7="D07",$C7="G0"),AT6&amp;IF(AT6="","",CHAR(10))&amp;$A7,AT6)</f>
        <v/>
      </c>
      <c r="AU7" s="0" t="str">
        <f aca="false">IF(AND($B7="D07",$C7="G1"),AU6&amp;IF(AU6="","",CHAR(10))&amp;$A7,AU6)</f>
        <v/>
      </c>
      <c r="AV7" s="0" t="str">
        <f aca="false">IF(AND($B7="D07",$C7="G2"),AV6&amp;IF(AV6="","",CHAR(10))&amp;$A7,AV6)</f>
        <v/>
      </c>
      <c r="AW7" s="0" t="str">
        <f aca="false">IF(AND($B7="D07",$C7="G3"),AW6&amp;IF(AW6="","",CHAR(10))&amp;$A7,AW6)</f>
        <v/>
      </c>
      <c r="AX7" s="0" t="str">
        <f aca="false">IF(AND($B7="D07",$C7="G4"),AX6&amp;IF(AX6="","",CHAR(10))&amp;$A7,AX6)</f>
        <v/>
      </c>
      <c r="AY7" s="0" t="str">
        <f aca="false">IF(AND($B7="D07",$C7="G5"),AY6&amp;IF(AY6="","",CHAR(10))&amp;$A7,AY6)</f>
        <v/>
      </c>
      <c r="AZ7" s="0" t="str">
        <f aca="false">IF(AND($B7="D07",$C7="G6"),AZ6&amp;IF(AZ6="","",CHAR(10))&amp;$A7,AZ6)</f>
        <v/>
      </c>
      <c r="BA7" s="0" t="str">
        <f aca="false">IF(AND($B7="D08",$C7="G0"),BA6&amp;IF(BA6="","",CHAR(10))&amp;$A7,BA6)</f>
        <v/>
      </c>
      <c r="BB7" s="0" t="str">
        <f aca="false">IF(AND($B7="D08",$C7="G1"),BB6&amp;IF(BB6="","",CHAR(10))&amp;$A7,BB6)</f>
        <v/>
      </c>
      <c r="BC7" s="0" t="str">
        <f aca="false">IF(AND($B7="D08",$C7="G2"),BC6&amp;IF(BC6="","",CHAR(10))&amp;$A7,BC6)</f>
        <v/>
      </c>
      <c r="BD7" s="0" t="str">
        <f aca="false">IF(AND($B7="D08",$C7="G3"),BD6&amp;IF(BD6="","",CHAR(10))&amp;$A7,BD6)</f>
        <v/>
      </c>
      <c r="BE7" s="0" t="str">
        <f aca="false">IF(AND($B7="D08",$C7="G4"),BE6&amp;IF(BE6="","",CHAR(10))&amp;$A7,BE6)</f>
        <v/>
      </c>
      <c r="BF7" s="0" t="str">
        <f aca="false">IF(AND($B7="D08",$C7="G5"),BF6&amp;IF(BF6="","",CHAR(10))&amp;$A7,BF6)</f>
        <v/>
      </c>
      <c r="BG7" s="0" t="str">
        <f aca="false">IF(AND($B7="D08",$C7="G6"),BG6&amp;IF(BG6="","",CHAR(10))&amp;$A7,BG6)</f>
        <v/>
      </c>
      <c r="BH7" s="0" t="str">
        <f aca="false">IF(AND($B7="D09",$C7="G0"),BH6&amp;IF(BH6="","",CHAR(10))&amp;$A7,BH6)</f>
        <v/>
      </c>
      <c r="BI7" s="0" t="str">
        <f aca="false">IF(AND($B7="D09",$C7="G1"),BI6&amp;IF(BI6="","",CHAR(10))&amp;$A7,BI6)</f>
        <v/>
      </c>
      <c r="BJ7" s="0" t="str">
        <f aca="false">IF(AND($B7="D09",$C7="G2"),BJ6&amp;IF(BJ6="","",CHAR(10))&amp;$A7,BJ6)</f>
        <v/>
      </c>
      <c r="BK7" s="0" t="str">
        <f aca="false">IF(AND($B7="D09",$C7="G3"),BK6&amp;IF(BK6="","",CHAR(10))&amp;$A7,BK6)</f>
        <v/>
      </c>
      <c r="BL7" s="0" t="str">
        <f aca="false">IF(AND($B7="D09",$C7="G4"),BL6&amp;IF(BL6="","",CHAR(10))&amp;$A7,BL6)</f>
        <v/>
      </c>
      <c r="BM7" s="0" t="str">
        <f aca="false">IF(AND($B7="D09",$C7="G5"),BM6&amp;IF(BM6="","",CHAR(10))&amp;$A7,BM6)</f>
        <v/>
      </c>
      <c r="BN7" s="0" t="str">
        <f aca="false">IF(AND($B7="D09",$C7="G6"),BN6&amp;IF(BN6="","",CHAR(10))&amp;$A7,BN6)</f>
        <v/>
      </c>
      <c r="BO7" s="0" t="str">
        <f aca="false">IF(AND($B7="D10",$C7="G0"),BO6&amp;IF(BO6="","",CHAR(10))&amp;$A7,BO6)</f>
        <v/>
      </c>
      <c r="BP7" s="0" t="str">
        <f aca="false">IF(AND($B7="D10",$C7="G1"),BP6&amp;IF(BP6="","",CHAR(10))&amp;$A7,BP6)</f>
        <v/>
      </c>
      <c r="BQ7" s="0" t="str">
        <f aca="false">IF(AND($B7="D10",$C7="G2"),BQ6&amp;IF(BQ6="","",CHAR(10))&amp;$A7,BQ6)</f>
        <v/>
      </c>
      <c r="BR7" s="0" t="str">
        <f aca="false">IF(AND($B7="D10",$C7="G3"),BR6&amp;IF(BR6="","",CHAR(10))&amp;$A7,BR6)</f>
        <v/>
      </c>
      <c r="BS7" s="0" t="str">
        <f aca="false">IF(AND($B7="D10",$C7="G4"),BS6&amp;IF(BS6="","",CHAR(10))&amp;$A7,BS6)</f>
        <v/>
      </c>
      <c r="BT7" s="0" t="str">
        <f aca="false">IF(AND($B7="D10",$C7="G5"),BT6&amp;IF(BT6="","",CHAR(10))&amp;$A7,BT6)</f>
        <v/>
      </c>
      <c r="BU7" s="0" t="str">
        <f aca="false">IF(AND($B7="D10",$C7="G6"),BU6&amp;IF(BU6="","",CHAR(10))&amp;$A7,BU6)</f>
        <v/>
      </c>
      <c r="BX7" s="0" t="str">
        <f aca="false">IF(AND(03_能力總表_Master!$A7&lt;&gt;"",LEFT(03_能力總表_Master!$H7,2)="缺口"),MAX($BX$4:BX6)+1,"")</f>
        <v/>
      </c>
      <c r="BY7" s="0" t="str">
        <f aca="false">IF(AND(03_能力總表_Master!$A7&lt;&gt;"",03_能力總表_Master!$J7=12_夥伴視角_PartnerView!$C$4),MAX($BY$4:BY6)+1,"")</f>
        <v/>
      </c>
      <c r="BZ7" s="0" t="n">
        <f aca="false">IF(AND(05_法規門檻_Gates!$A7&lt;&gt;"",05_法規門檻_Gates!$E7="強制",05_法規門檻_Gates!$F7="待確認"),MAX($BZ$4:BZ6)+1,"")</f>
        <v>3</v>
      </c>
      <c r="CA7" s="0" t="n">
        <f aca="false">IF(AND(08_風險清冊_Risk!$A7&lt;&gt;"",OR(08_風險清冊_Risk!$G7="極高",08_風險清冊_Risk!$G7="高")),MAX($CA$4:CA6)+1,"")</f>
        <v>3</v>
      </c>
      <c r="CB7" s="0" t="str">
        <f aca="false">IF(AND(14_商機清單_Pipeline!$A7&lt;&gt;"",OR(N(14_商機清單_Pipeline!$I7)&gt;0,N(14_商機清單_Pipeline!$F7)=0)),MAX($CB$4:CB6)+1,"")</f>
        <v/>
      </c>
      <c r="CC7" s="0" t="str">
        <f aca="false">IF(AND(03_能力總表_Master!$A7&lt;&gt;"",IFERROR(INDEX(16_能力商機矩陣_CapOppMap!$D7:$CO7,MATCH(LEFT(17_商機作戰卡_OppView!$C$4,6),16_能力商機矩陣_CapOppMap!$D$4:$CO$4,0)),"")="✓"),MAX($CC$4:CC6)+1,"")</f>
        <v/>
      </c>
    </row>
    <row r="8" customFormat="false" ht="32.8" hidden="false" customHeight="false" outlineLevel="0" collapsed="false">
      <c r="A8" s="0" t="str">
        <f aca="false">IF(03_能力總表_Master!$A8="","",IF(LEFT(03_能力總表_Master!$H8,2)="群晶","● ",IF(ISNUMBER(SEARCH("已確認",03_能力總表_Master!$H8)),"◆ ",IF(ISNUMBER(SEARCH("缺口",03_能力總表_Master!$H8)),"○ ","◐ ")))&amp;RIGHT(03_能力總表_Master!$A8,3)&amp;" "&amp;03_能力總表_Master!$E8)</f>
        <v>◐ 004 法規與執照路徑</v>
      </c>
      <c r="B8" s="0" t="str">
        <f aca="false">IF(03_能力總表_Master!$A8="","",LEFT(03_能力總表_Master!$B8,3))</f>
        <v>D01</v>
      </c>
      <c r="C8" s="0" t="str">
        <f aca="false">IF(03_能力總表_Master!$A8="","",03_能力總表_Master!$C8)</f>
        <v>G1</v>
      </c>
      <c r="D8" s="363" t="str">
        <f aca="false">IF(AND($B8="D01",$C8="G0"),D7&amp;IF(D7="","",CHAR(10))&amp;$A8,D7)</f>
        <v>◐ 001 政府授權與計畫章程
◐ 002 利害關係人與權力地圖</v>
      </c>
      <c r="E8" s="363" t="str">
        <f aca="false">IF(AND($B8="D01",$C8="G1"),E7&amp;IF(E7="","",CHAR(10))&amp;$A8,E7)</f>
        <v>◐ 003 交易模式選擇
◐ 004 法規與執照路徑</v>
      </c>
      <c r="F8" s="0" t="str">
        <f aca="false">IF(AND($B8="D01",$C8="G2"),F7&amp;IF(F7="","",CHAR(10))&amp;$A8,F7)</f>
        <v/>
      </c>
      <c r="G8" s="0" t="str">
        <f aca="false">IF(AND($B8="D01",$C8="G3"),G7&amp;IF(G7="","",CHAR(10))&amp;$A8,G7)</f>
        <v/>
      </c>
      <c r="H8" s="0" t="str">
        <f aca="false">IF(AND($B8="D01",$C8="G4"),H7&amp;IF(H7="","",CHAR(10))&amp;$A8,H7)</f>
        <v/>
      </c>
      <c r="I8" s="0" t="str">
        <f aca="false">IF(AND($B8="D01",$C8="G5"),I7&amp;IF(I7="","",CHAR(10))&amp;$A8,I7)</f>
        <v/>
      </c>
      <c r="J8" s="0" t="str">
        <f aca="false">IF(AND($B8="D01",$C8="G6"),J7&amp;IF(J7="","",CHAR(10))&amp;$A8,J7)</f>
        <v/>
      </c>
      <c r="K8" s="0" t="str">
        <f aca="false">IF(AND($B8="D02",$C8="G0"),K7&amp;IF(K7="","",CHAR(10))&amp;$A8,K7)</f>
        <v/>
      </c>
      <c r="L8" s="0" t="str">
        <f aca="false">IF(AND($B8="D02",$C8="G1"),L7&amp;IF(L7="","",CHAR(10))&amp;$A8,L7)</f>
        <v/>
      </c>
      <c r="M8" s="0" t="str">
        <f aca="false">IF(AND($B8="D02",$C8="G2"),M7&amp;IF(M7="","",CHAR(10))&amp;$A8,M7)</f>
        <v/>
      </c>
      <c r="N8" s="0" t="str">
        <f aca="false">IF(AND($B8="D02",$C8="G3"),N7&amp;IF(N7="","",CHAR(10))&amp;$A8,N7)</f>
        <v/>
      </c>
      <c r="O8" s="0" t="str">
        <f aca="false">IF(AND($B8="D02",$C8="G4"),O7&amp;IF(O7="","",CHAR(10))&amp;$A8,O7)</f>
        <v/>
      </c>
      <c r="P8" s="0" t="str">
        <f aca="false">IF(AND($B8="D02",$C8="G5"),P7&amp;IF(P7="","",CHAR(10))&amp;$A8,P7)</f>
        <v/>
      </c>
      <c r="Q8" s="0" t="str">
        <f aca="false">IF(AND($B8="D02",$C8="G6"),Q7&amp;IF(Q7="","",CHAR(10))&amp;$A8,Q7)</f>
        <v/>
      </c>
      <c r="R8" s="0" t="str">
        <f aca="false">IF(AND($B8="D03",$C8="G0"),R7&amp;IF(R7="","",CHAR(10))&amp;$A8,R7)</f>
        <v/>
      </c>
      <c r="S8" s="0" t="str">
        <f aca="false">IF(AND($B8="D03",$C8="G1"),S7&amp;IF(S7="","",CHAR(10))&amp;$A8,S7)</f>
        <v/>
      </c>
      <c r="T8" s="0" t="str">
        <f aca="false">IF(AND($B8="D03",$C8="G2"),T7&amp;IF(T7="","",CHAR(10))&amp;$A8,T7)</f>
        <v/>
      </c>
      <c r="U8" s="0" t="str">
        <f aca="false">IF(AND($B8="D03",$C8="G3"),U7&amp;IF(U7="","",CHAR(10))&amp;$A8,U7)</f>
        <v/>
      </c>
      <c r="V8" s="0" t="str">
        <f aca="false">IF(AND($B8="D03",$C8="G4"),V7&amp;IF(V7="","",CHAR(10))&amp;$A8,V7)</f>
        <v/>
      </c>
      <c r="W8" s="0" t="str">
        <f aca="false">IF(AND($B8="D03",$C8="G5"),W7&amp;IF(W7="","",CHAR(10))&amp;$A8,W7)</f>
        <v/>
      </c>
      <c r="X8" s="0" t="str">
        <f aca="false">IF(AND($B8="D03",$C8="G6"),X7&amp;IF(X7="","",CHAR(10))&amp;$A8,X7)</f>
        <v/>
      </c>
      <c r="Y8" s="0" t="str">
        <f aca="false">IF(AND($B8="D04",$C8="G0"),Y7&amp;IF(Y7="","",CHAR(10))&amp;$A8,Y7)</f>
        <v/>
      </c>
      <c r="Z8" s="0" t="str">
        <f aca="false">IF(AND($B8="D04",$C8="G1"),Z7&amp;IF(Z7="","",CHAR(10))&amp;$A8,Z7)</f>
        <v/>
      </c>
      <c r="AA8" s="0" t="str">
        <f aca="false">IF(AND($B8="D04",$C8="G2"),AA7&amp;IF(AA7="","",CHAR(10))&amp;$A8,AA7)</f>
        <v/>
      </c>
      <c r="AB8" s="0" t="str">
        <f aca="false">IF(AND($B8="D04",$C8="G3"),AB7&amp;IF(AB7="","",CHAR(10))&amp;$A8,AB7)</f>
        <v/>
      </c>
      <c r="AC8" s="0" t="str">
        <f aca="false">IF(AND($B8="D04",$C8="G4"),AC7&amp;IF(AC7="","",CHAR(10))&amp;$A8,AC7)</f>
        <v/>
      </c>
      <c r="AD8" s="0" t="str">
        <f aca="false">IF(AND($B8="D04",$C8="G5"),AD7&amp;IF(AD7="","",CHAR(10))&amp;$A8,AD7)</f>
        <v/>
      </c>
      <c r="AE8" s="0" t="str">
        <f aca="false">IF(AND($B8="D04",$C8="G6"),AE7&amp;IF(AE7="","",CHAR(10))&amp;$A8,AE7)</f>
        <v/>
      </c>
      <c r="AF8" s="0" t="str">
        <f aca="false">IF(AND($B8="D05",$C8="G0"),AF7&amp;IF(AF7="","",CHAR(10))&amp;$A8,AF7)</f>
        <v/>
      </c>
      <c r="AG8" s="0" t="str">
        <f aca="false">IF(AND($B8="D05",$C8="G1"),AG7&amp;IF(AG7="","",CHAR(10))&amp;$A8,AG7)</f>
        <v/>
      </c>
      <c r="AH8" s="0" t="str">
        <f aca="false">IF(AND($B8="D05",$C8="G2"),AH7&amp;IF(AH7="","",CHAR(10))&amp;$A8,AH7)</f>
        <v/>
      </c>
      <c r="AI8" s="0" t="str">
        <f aca="false">IF(AND($B8="D05",$C8="G3"),AI7&amp;IF(AI7="","",CHAR(10))&amp;$A8,AI7)</f>
        <v/>
      </c>
      <c r="AJ8" s="0" t="str">
        <f aca="false">IF(AND($B8="D05",$C8="G4"),AJ7&amp;IF(AJ7="","",CHAR(10))&amp;$A8,AJ7)</f>
        <v/>
      </c>
      <c r="AK8" s="0" t="str">
        <f aca="false">IF(AND($B8="D05",$C8="G5"),AK7&amp;IF(AK7="","",CHAR(10))&amp;$A8,AK7)</f>
        <v/>
      </c>
      <c r="AL8" s="0" t="str">
        <f aca="false">IF(AND($B8="D05",$C8="G6"),AL7&amp;IF(AL7="","",CHAR(10))&amp;$A8,AL7)</f>
        <v/>
      </c>
      <c r="AM8" s="0" t="str">
        <f aca="false">IF(AND($B8="D06",$C8="G0"),AM7&amp;IF(AM7="","",CHAR(10))&amp;$A8,AM7)</f>
        <v/>
      </c>
      <c r="AN8" s="0" t="str">
        <f aca="false">IF(AND($B8="D06",$C8="G1"),AN7&amp;IF(AN7="","",CHAR(10))&amp;$A8,AN7)</f>
        <v/>
      </c>
      <c r="AO8" s="0" t="str">
        <f aca="false">IF(AND($B8="D06",$C8="G2"),AO7&amp;IF(AO7="","",CHAR(10))&amp;$A8,AO7)</f>
        <v/>
      </c>
      <c r="AP8" s="0" t="str">
        <f aca="false">IF(AND($B8="D06",$C8="G3"),AP7&amp;IF(AP7="","",CHAR(10))&amp;$A8,AP7)</f>
        <v/>
      </c>
      <c r="AQ8" s="0" t="str">
        <f aca="false">IF(AND($B8="D06",$C8="G4"),AQ7&amp;IF(AQ7="","",CHAR(10))&amp;$A8,AQ7)</f>
        <v/>
      </c>
      <c r="AR8" s="0" t="str">
        <f aca="false">IF(AND($B8="D06",$C8="G5"),AR7&amp;IF(AR7="","",CHAR(10))&amp;$A8,AR7)</f>
        <v/>
      </c>
      <c r="AS8" s="0" t="str">
        <f aca="false">IF(AND($B8="D06",$C8="G6"),AS7&amp;IF(AS7="","",CHAR(10))&amp;$A8,AS7)</f>
        <v/>
      </c>
      <c r="AT8" s="0" t="str">
        <f aca="false">IF(AND($B8="D07",$C8="G0"),AT7&amp;IF(AT7="","",CHAR(10))&amp;$A8,AT7)</f>
        <v/>
      </c>
      <c r="AU8" s="0" t="str">
        <f aca="false">IF(AND($B8="D07",$C8="G1"),AU7&amp;IF(AU7="","",CHAR(10))&amp;$A8,AU7)</f>
        <v/>
      </c>
      <c r="AV8" s="0" t="str">
        <f aca="false">IF(AND($B8="D07",$C8="G2"),AV7&amp;IF(AV7="","",CHAR(10))&amp;$A8,AV7)</f>
        <v/>
      </c>
      <c r="AW8" s="0" t="str">
        <f aca="false">IF(AND($B8="D07",$C8="G3"),AW7&amp;IF(AW7="","",CHAR(10))&amp;$A8,AW7)</f>
        <v/>
      </c>
      <c r="AX8" s="0" t="str">
        <f aca="false">IF(AND($B8="D07",$C8="G4"),AX7&amp;IF(AX7="","",CHAR(10))&amp;$A8,AX7)</f>
        <v/>
      </c>
      <c r="AY8" s="0" t="str">
        <f aca="false">IF(AND($B8="D07",$C8="G5"),AY7&amp;IF(AY7="","",CHAR(10))&amp;$A8,AY7)</f>
        <v/>
      </c>
      <c r="AZ8" s="0" t="str">
        <f aca="false">IF(AND($B8="D07",$C8="G6"),AZ7&amp;IF(AZ7="","",CHAR(10))&amp;$A8,AZ7)</f>
        <v/>
      </c>
      <c r="BA8" s="0" t="str">
        <f aca="false">IF(AND($B8="D08",$C8="G0"),BA7&amp;IF(BA7="","",CHAR(10))&amp;$A8,BA7)</f>
        <v/>
      </c>
      <c r="BB8" s="0" t="str">
        <f aca="false">IF(AND($B8="D08",$C8="G1"),BB7&amp;IF(BB7="","",CHAR(10))&amp;$A8,BB7)</f>
        <v/>
      </c>
      <c r="BC8" s="0" t="str">
        <f aca="false">IF(AND($B8="D08",$C8="G2"),BC7&amp;IF(BC7="","",CHAR(10))&amp;$A8,BC7)</f>
        <v/>
      </c>
      <c r="BD8" s="0" t="str">
        <f aca="false">IF(AND($B8="D08",$C8="G3"),BD7&amp;IF(BD7="","",CHAR(10))&amp;$A8,BD7)</f>
        <v/>
      </c>
      <c r="BE8" s="0" t="str">
        <f aca="false">IF(AND($B8="D08",$C8="G4"),BE7&amp;IF(BE7="","",CHAR(10))&amp;$A8,BE7)</f>
        <v/>
      </c>
      <c r="BF8" s="0" t="str">
        <f aca="false">IF(AND($B8="D08",$C8="G5"),BF7&amp;IF(BF7="","",CHAR(10))&amp;$A8,BF7)</f>
        <v/>
      </c>
      <c r="BG8" s="0" t="str">
        <f aca="false">IF(AND($B8="D08",$C8="G6"),BG7&amp;IF(BG7="","",CHAR(10))&amp;$A8,BG7)</f>
        <v/>
      </c>
      <c r="BH8" s="0" t="str">
        <f aca="false">IF(AND($B8="D09",$C8="G0"),BH7&amp;IF(BH7="","",CHAR(10))&amp;$A8,BH7)</f>
        <v/>
      </c>
      <c r="BI8" s="0" t="str">
        <f aca="false">IF(AND($B8="D09",$C8="G1"),BI7&amp;IF(BI7="","",CHAR(10))&amp;$A8,BI7)</f>
        <v/>
      </c>
      <c r="BJ8" s="0" t="str">
        <f aca="false">IF(AND($B8="D09",$C8="G2"),BJ7&amp;IF(BJ7="","",CHAR(10))&amp;$A8,BJ7)</f>
        <v/>
      </c>
      <c r="BK8" s="0" t="str">
        <f aca="false">IF(AND($B8="D09",$C8="G3"),BK7&amp;IF(BK7="","",CHAR(10))&amp;$A8,BK7)</f>
        <v/>
      </c>
      <c r="BL8" s="0" t="str">
        <f aca="false">IF(AND($B8="D09",$C8="G4"),BL7&amp;IF(BL7="","",CHAR(10))&amp;$A8,BL7)</f>
        <v/>
      </c>
      <c r="BM8" s="0" t="str">
        <f aca="false">IF(AND($B8="D09",$C8="G5"),BM7&amp;IF(BM7="","",CHAR(10))&amp;$A8,BM7)</f>
        <v/>
      </c>
      <c r="BN8" s="0" t="str">
        <f aca="false">IF(AND($B8="D09",$C8="G6"),BN7&amp;IF(BN7="","",CHAR(10))&amp;$A8,BN7)</f>
        <v/>
      </c>
      <c r="BO8" s="0" t="str">
        <f aca="false">IF(AND($B8="D10",$C8="G0"),BO7&amp;IF(BO7="","",CHAR(10))&amp;$A8,BO7)</f>
        <v/>
      </c>
      <c r="BP8" s="0" t="str">
        <f aca="false">IF(AND($B8="D10",$C8="G1"),BP7&amp;IF(BP7="","",CHAR(10))&amp;$A8,BP7)</f>
        <v/>
      </c>
      <c r="BQ8" s="0" t="str">
        <f aca="false">IF(AND($B8="D10",$C8="G2"),BQ7&amp;IF(BQ7="","",CHAR(10))&amp;$A8,BQ7)</f>
        <v/>
      </c>
      <c r="BR8" s="0" t="str">
        <f aca="false">IF(AND($B8="D10",$C8="G3"),BR7&amp;IF(BR7="","",CHAR(10))&amp;$A8,BR7)</f>
        <v/>
      </c>
      <c r="BS8" s="0" t="str">
        <f aca="false">IF(AND($B8="D10",$C8="G4"),BS7&amp;IF(BS7="","",CHAR(10))&amp;$A8,BS7)</f>
        <v/>
      </c>
      <c r="BT8" s="0" t="str">
        <f aca="false">IF(AND($B8="D10",$C8="G5"),BT7&amp;IF(BT7="","",CHAR(10))&amp;$A8,BT7)</f>
        <v/>
      </c>
      <c r="BU8" s="0" t="str">
        <f aca="false">IF(AND($B8="D10",$C8="G6"),BU7&amp;IF(BU7="","",CHAR(10))&amp;$A8,BU7)</f>
        <v/>
      </c>
      <c r="BX8" s="0" t="str">
        <f aca="false">IF(AND(03_能力總表_Master!$A8&lt;&gt;"",LEFT(03_能力總表_Master!$H8,2)="缺口"),MAX($BX$4:BX7)+1,"")</f>
        <v/>
      </c>
      <c r="BY8" s="0" t="str">
        <f aca="false">IF(AND(03_能力總表_Master!$A8&lt;&gt;"",03_能力總表_Master!$J8=12_夥伴視角_PartnerView!$C$4),MAX($BY$4:BY7)+1,"")</f>
        <v/>
      </c>
      <c r="BZ8" s="0" t="n">
        <f aca="false">IF(AND(05_法規門檻_Gates!$A8&lt;&gt;"",05_法規門檻_Gates!$E8="強制",05_法規門檻_Gates!$F8="待確認"),MAX($BZ$4:BZ7)+1,"")</f>
        <v>4</v>
      </c>
      <c r="CA8" s="0" t="n">
        <f aca="false">IF(AND(08_風險清冊_Risk!$A8&lt;&gt;"",OR(08_風險清冊_Risk!$G8="極高",08_風險清冊_Risk!$G8="高")),MAX($CA$4:CA7)+1,"")</f>
        <v>4</v>
      </c>
      <c r="CB8" s="0" t="str">
        <f aca="false">IF(AND(14_商機清單_Pipeline!$A8&lt;&gt;"",OR(N(14_商機清單_Pipeline!$I8)&gt;0,N(14_商機清單_Pipeline!$F8)=0)),MAX($CB$4:CB7)+1,"")</f>
        <v/>
      </c>
      <c r="CC8" s="0" t="str">
        <f aca="false">IF(AND(03_能力總表_Master!$A8&lt;&gt;"",IFERROR(INDEX(16_能力商機矩陣_CapOppMap!$D8:$CO8,MATCH(LEFT(17_商機作戰卡_OppView!$C$4,6),16_能力商機矩陣_CapOppMap!$D$4:$CO$4,0)),"")="✓"),MAX($CC$4:CC7)+1,"")</f>
        <v/>
      </c>
    </row>
    <row r="9" customFormat="false" ht="48.5" hidden="false" customHeight="false" outlineLevel="0" collapsed="false">
      <c r="A9" s="0" t="str">
        <f aca="false">IF(03_能力總表_Master!$A9="","",IF(LEFT(03_能力總表_Master!$H9,2)="群晶","● ",IF(ISNUMBER(SEARCH("已確認",03_能力總表_Master!$H9)),"◆ ",IF(ISNUMBER(SEARCH("缺口",03_能力總表_Master!$H9)),"○ ","◐ ")))&amp;RIGHT(03_能力總表_Master!$A9,3)&amp;" "&amp;03_能力總表_Master!$E9)</f>
        <v>◐ 005 聯盟治理與利益衝突</v>
      </c>
      <c r="B9" s="0" t="str">
        <f aca="false">IF(03_能力總表_Master!$A9="","",LEFT(03_能力總表_Master!$B9,3))</f>
        <v>D01</v>
      </c>
      <c r="C9" s="0" t="str">
        <f aca="false">IF(03_能力總表_Master!$A9="","",03_能力總表_Master!$C9)</f>
        <v>G0</v>
      </c>
      <c r="D9" s="363" t="str">
        <f aca="false">IF(AND($B9="D01",$C9="G0"),D8&amp;IF(D8="","",CHAR(10))&amp;$A9,D8)</f>
        <v>◐ 001 政府授權與計畫章程
◐ 002 利害關係人與權力地圖
◐ 005 聯盟治理與利益衝突</v>
      </c>
      <c r="E9" s="363" t="str">
        <f aca="false">IF(AND($B9="D01",$C9="G1"),E8&amp;IF(E8="","",CHAR(10))&amp;$A9,E8)</f>
        <v>◐ 003 交易模式選擇
◐ 004 法規與執照路徑</v>
      </c>
      <c r="F9" s="0" t="str">
        <f aca="false">IF(AND($B9="D01",$C9="G2"),F8&amp;IF(F8="","",CHAR(10))&amp;$A9,F8)</f>
        <v/>
      </c>
      <c r="G9" s="0" t="str">
        <f aca="false">IF(AND($B9="D01",$C9="G3"),G8&amp;IF(G8="","",CHAR(10))&amp;$A9,G8)</f>
        <v/>
      </c>
      <c r="H9" s="0" t="str">
        <f aca="false">IF(AND($B9="D01",$C9="G4"),H8&amp;IF(H8="","",CHAR(10))&amp;$A9,H8)</f>
        <v/>
      </c>
      <c r="I9" s="0" t="str">
        <f aca="false">IF(AND($B9="D01",$C9="G5"),I8&amp;IF(I8="","",CHAR(10))&amp;$A9,I8)</f>
        <v/>
      </c>
      <c r="J9" s="0" t="str">
        <f aca="false">IF(AND($B9="D01",$C9="G6"),J8&amp;IF(J8="","",CHAR(10))&amp;$A9,J8)</f>
        <v/>
      </c>
      <c r="K9" s="0" t="str">
        <f aca="false">IF(AND($B9="D02",$C9="G0"),K8&amp;IF(K8="","",CHAR(10))&amp;$A9,K8)</f>
        <v/>
      </c>
      <c r="L9" s="0" t="str">
        <f aca="false">IF(AND($B9="D02",$C9="G1"),L8&amp;IF(L8="","",CHAR(10))&amp;$A9,L8)</f>
        <v/>
      </c>
      <c r="M9" s="0" t="str">
        <f aca="false">IF(AND($B9="D02",$C9="G2"),M8&amp;IF(M8="","",CHAR(10))&amp;$A9,M8)</f>
        <v/>
      </c>
      <c r="N9" s="0" t="str">
        <f aca="false">IF(AND($B9="D02",$C9="G3"),N8&amp;IF(N8="","",CHAR(10))&amp;$A9,N8)</f>
        <v/>
      </c>
      <c r="O9" s="0" t="str">
        <f aca="false">IF(AND($B9="D02",$C9="G4"),O8&amp;IF(O8="","",CHAR(10))&amp;$A9,O8)</f>
        <v/>
      </c>
      <c r="P9" s="0" t="str">
        <f aca="false">IF(AND($B9="D02",$C9="G5"),P8&amp;IF(P8="","",CHAR(10))&amp;$A9,P8)</f>
        <v/>
      </c>
      <c r="Q9" s="0" t="str">
        <f aca="false">IF(AND($B9="D02",$C9="G6"),Q8&amp;IF(Q8="","",CHAR(10))&amp;$A9,Q8)</f>
        <v/>
      </c>
      <c r="R9" s="0" t="str">
        <f aca="false">IF(AND($B9="D03",$C9="G0"),R8&amp;IF(R8="","",CHAR(10))&amp;$A9,R8)</f>
        <v/>
      </c>
      <c r="S9" s="0" t="str">
        <f aca="false">IF(AND($B9="D03",$C9="G1"),S8&amp;IF(S8="","",CHAR(10))&amp;$A9,S8)</f>
        <v/>
      </c>
      <c r="T9" s="0" t="str">
        <f aca="false">IF(AND($B9="D03",$C9="G2"),T8&amp;IF(T8="","",CHAR(10))&amp;$A9,T8)</f>
        <v/>
      </c>
      <c r="U9" s="0" t="str">
        <f aca="false">IF(AND($B9="D03",$C9="G3"),U8&amp;IF(U8="","",CHAR(10))&amp;$A9,U8)</f>
        <v/>
      </c>
      <c r="V9" s="0" t="str">
        <f aca="false">IF(AND($B9="D03",$C9="G4"),V8&amp;IF(V8="","",CHAR(10))&amp;$A9,V8)</f>
        <v/>
      </c>
      <c r="W9" s="0" t="str">
        <f aca="false">IF(AND($B9="D03",$C9="G5"),W8&amp;IF(W8="","",CHAR(10))&amp;$A9,W8)</f>
        <v/>
      </c>
      <c r="X9" s="0" t="str">
        <f aca="false">IF(AND($B9="D03",$C9="G6"),X8&amp;IF(X8="","",CHAR(10))&amp;$A9,X8)</f>
        <v/>
      </c>
      <c r="Y9" s="0" t="str">
        <f aca="false">IF(AND($B9="D04",$C9="G0"),Y8&amp;IF(Y8="","",CHAR(10))&amp;$A9,Y8)</f>
        <v/>
      </c>
      <c r="Z9" s="0" t="str">
        <f aca="false">IF(AND($B9="D04",$C9="G1"),Z8&amp;IF(Z8="","",CHAR(10))&amp;$A9,Z8)</f>
        <v/>
      </c>
      <c r="AA9" s="0" t="str">
        <f aca="false">IF(AND($B9="D04",$C9="G2"),AA8&amp;IF(AA8="","",CHAR(10))&amp;$A9,AA8)</f>
        <v/>
      </c>
      <c r="AB9" s="0" t="str">
        <f aca="false">IF(AND($B9="D04",$C9="G3"),AB8&amp;IF(AB8="","",CHAR(10))&amp;$A9,AB8)</f>
        <v/>
      </c>
      <c r="AC9" s="0" t="str">
        <f aca="false">IF(AND($B9="D04",$C9="G4"),AC8&amp;IF(AC8="","",CHAR(10))&amp;$A9,AC8)</f>
        <v/>
      </c>
      <c r="AD9" s="0" t="str">
        <f aca="false">IF(AND($B9="D04",$C9="G5"),AD8&amp;IF(AD8="","",CHAR(10))&amp;$A9,AD8)</f>
        <v/>
      </c>
      <c r="AE9" s="0" t="str">
        <f aca="false">IF(AND($B9="D04",$C9="G6"),AE8&amp;IF(AE8="","",CHAR(10))&amp;$A9,AE8)</f>
        <v/>
      </c>
      <c r="AF9" s="0" t="str">
        <f aca="false">IF(AND($B9="D05",$C9="G0"),AF8&amp;IF(AF8="","",CHAR(10))&amp;$A9,AF8)</f>
        <v/>
      </c>
      <c r="AG9" s="0" t="str">
        <f aca="false">IF(AND($B9="D05",$C9="G1"),AG8&amp;IF(AG8="","",CHAR(10))&amp;$A9,AG8)</f>
        <v/>
      </c>
      <c r="AH9" s="0" t="str">
        <f aca="false">IF(AND($B9="D05",$C9="G2"),AH8&amp;IF(AH8="","",CHAR(10))&amp;$A9,AH8)</f>
        <v/>
      </c>
      <c r="AI9" s="0" t="str">
        <f aca="false">IF(AND($B9="D05",$C9="G3"),AI8&amp;IF(AI8="","",CHAR(10))&amp;$A9,AI8)</f>
        <v/>
      </c>
      <c r="AJ9" s="0" t="str">
        <f aca="false">IF(AND($B9="D05",$C9="G4"),AJ8&amp;IF(AJ8="","",CHAR(10))&amp;$A9,AJ8)</f>
        <v/>
      </c>
      <c r="AK9" s="0" t="str">
        <f aca="false">IF(AND($B9="D05",$C9="G5"),AK8&amp;IF(AK8="","",CHAR(10))&amp;$A9,AK8)</f>
        <v/>
      </c>
      <c r="AL9" s="0" t="str">
        <f aca="false">IF(AND($B9="D05",$C9="G6"),AL8&amp;IF(AL8="","",CHAR(10))&amp;$A9,AL8)</f>
        <v/>
      </c>
      <c r="AM9" s="0" t="str">
        <f aca="false">IF(AND($B9="D06",$C9="G0"),AM8&amp;IF(AM8="","",CHAR(10))&amp;$A9,AM8)</f>
        <v/>
      </c>
      <c r="AN9" s="0" t="str">
        <f aca="false">IF(AND($B9="D06",$C9="G1"),AN8&amp;IF(AN8="","",CHAR(10))&amp;$A9,AN8)</f>
        <v/>
      </c>
      <c r="AO9" s="0" t="str">
        <f aca="false">IF(AND($B9="D06",$C9="G2"),AO8&amp;IF(AO8="","",CHAR(10))&amp;$A9,AO8)</f>
        <v/>
      </c>
      <c r="AP9" s="0" t="str">
        <f aca="false">IF(AND($B9="D06",$C9="G3"),AP8&amp;IF(AP8="","",CHAR(10))&amp;$A9,AP8)</f>
        <v/>
      </c>
      <c r="AQ9" s="0" t="str">
        <f aca="false">IF(AND($B9="D06",$C9="G4"),AQ8&amp;IF(AQ8="","",CHAR(10))&amp;$A9,AQ8)</f>
        <v/>
      </c>
      <c r="AR9" s="0" t="str">
        <f aca="false">IF(AND($B9="D06",$C9="G5"),AR8&amp;IF(AR8="","",CHAR(10))&amp;$A9,AR8)</f>
        <v/>
      </c>
      <c r="AS9" s="0" t="str">
        <f aca="false">IF(AND($B9="D06",$C9="G6"),AS8&amp;IF(AS8="","",CHAR(10))&amp;$A9,AS8)</f>
        <v/>
      </c>
      <c r="AT9" s="0" t="str">
        <f aca="false">IF(AND($B9="D07",$C9="G0"),AT8&amp;IF(AT8="","",CHAR(10))&amp;$A9,AT8)</f>
        <v/>
      </c>
      <c r="AU9" s="0" t="str">
        <f aca="false">IF(AND($B9="D07",$C9="G1"),AU8&amp;IF(AU8="","",CHAR(10))&amp;$A9,AU8)</f>
        <v/>
      </c>
      <c r="AV9" s="0" t="str">
        <f aca="false">IF(AND($B9="D07",$C9="G2"),AV8&amp;IF(AV8="","",CHAR(10))&amp;$A9,AV8)</f>
        <v/>
      </c>
      <c r="AW9" s="0" t="str">
        <f aca="false">IF(AND($B9="D07",$C9="G3"),AW8&amp;IF(AW8="","",CHAR(10))&amp;$A9,AW8)</f>
        <v/>
      </c>
      <c r="AX9" s="0" t="str">
        <f aca="false">IF(AND($B9="D07",$C9="G4"),AX8&amp;IF(AX8="","",CHAR(10))&amp;$A9,AX8)</f>
        <v/>
      </c>
      <c r="AY9" s="0" t="str">
        <f aca="false">IF(AND($B9="D07",$C9="G5"),AY8&amp;IF(AY8="","",CHAR(10))&amp;$A9,AY8)</f>
        <v/>
      </c>
      <c r="AZ9" s="0" t="str">
        <f aca="false">IF(AND($B9="D07",$C9="G6"),AZ8&amp;IF(AZ8="","",CHAR(10))&amp;$A9,AZ8)</f>
        <v/>
      </c>
      <c r="BA9" s="0" t="str">
        <f aca="false">IF(AND($B9="D08",$C9="G0"),BA8&amp;IF(BA8="","",CHAR(10))&amp;$A9,BA8)</f>
        <v/>
      </c>
      <c r="BB9" s="0" t="str">
        <f aca="false">IF(AND($B9="D08",$C9="G1"),BB8&amp;IF(BB8="","",CHAR(10))&amp;$A9,BB8)</f>
        <v/>
      </c>
      <c r="BC9" s="0" t="str">
        <f aca="false">IF(AND($B9="D08",$C9="G2"),BC8&amp;IF(BC8="","",CHAR(10))&amp;$A9,BC8)</f>
        <v/>
      </c>
      <c r="BD9" s="0" t="str">
        <f aca="false">IF(AND($B9="D08",$C9="G3"),BD8&amp;IF(BD8="","",CHAR(10))&amp;$A9,BD8)</f>
        <v/>
      </c>
      <c r="BE9" s="0" t="str">
        <f aca="false">IF(AND($B9="D08",$C9="G4"),BE8&amp;IF(BE8="","",CHAR(10))&amp;$A9,BE8)</f>
        <v/>
      </c>
      <c r="BF9" s="0" t="str">
        <f aca="false">IF(AND($B9="D08",$C9="G5"),BF8&amp;IF(BF8="","",CHAR(10))&amp;$A9,BF8)</f>
        <v/>
      </c>
      <c r="BG9" s="0" t="str">
        <f aca="false">IF(AND($B9="D08",$C9="G6"),BG8&amp;IF(BG8="","",CHAR(10))&amp;$A9,BG8)</f>
        <v/>
      </c>
      <c r="BH9" s="0" t="str">
        <f aca="false">IF(AND($B9="D09",$C9="G0"),BH8&amp;IF(BH8="","",CHAR(10))&amp;$A9,BH8)</f>
        <v/>
      </c>
      <c r="BI9" s="0" t="str">
        <f aca="false">IF(AND($B9="D09",$C9="G1"),BI8&amp;IF(BI8="","",CHAR(10))&amp;$A9,BI8)</f>
        <v/>
      </c>
      <c r="BJ9" s="0" t="str">
        <f aca="false">IF(AND($B9="D09",$C9="G2"),BJ8&amp;IF(BJ8="","",CHAR(10))&amp;$A9,BJ8)</f>
        <v/>
      </c>
      <c r="BK9" s="0" t="str">
        <f aca="false">IF(AND($B9="D09",$C9="G3"),BK8&amp;IF(BK8="","",CHAR(10))&amp;$A9,BK8)</f>
        <v/>
      </c>
      <c r="BL9" s="0" t="str">
        <f aca="false">IF(AND($B9="D09",$C9="G4"),BL8&amp;IF(BL8="","",CHAR(10))&amp;$A9,BL8)</f>
        <v/>
      </c>
      <c r="BM9" s="0" t="str">
        <f aca="false">IF(AND($B9="D09",$C9="G5"),BM8&amp;IF(BM8="","",CHAR(10))&amp;$A9,BM8)</f>
        <v/>
      </c>
      <c r="BN9" s="0" t="str">
        <f aca="false">IF(AND($B9="D09",$C9="G6"),BN8&amp;IF(BN8="","",CHAR(10))&amp;$A9,BN8)</f>
        <v/>
      </c>
      <c r="BO9" s="0" t="str">
        <f aca="false">IF(AND($B9="D10",$C9="G0"),BO8&amp;IF(BO8="","",CHAR(10))&amp;$A9,BO8)</f>
        <v/>
      </c>
      <c r="BP9" s="0" t="str">
        <f aca="false">IF(AND($B9="D10",$C9="G1"),BP8&amp;IF(BP8="","",CHAR(10))&amp;$A9,BP8)</f>
        <v/>
      </c>
      <c r="BQ9" s="0" t="str">
        <f aca="false">IF(AND($B9="D10",$C9="G2"),BQ8&amp;IF(BQ8="","",CHAR(10))&amp;$A9,BQ8)</f>
        <v/>
      </c>
      <c r="BR9" s="0" t="str">
        <f aca="false">IF(AND($B9="D10",$C9="G3"),BR8&amp;IF(BR8="","",CHAR(10))&amp;$A9,BR8)</f>
        <v/>
      </c>
      <c r="BS9" s="0" t="str">
        <f aca="false">IF(AND($B9="D10",$C9="G4"),BS8&amp;IF(BS8="","",CHAR(10))&amp;$A9,BS8)</f>
        <v/>
      </c>
      <c r="BT9" s="0" t="str">
        <f aca="false">IF(AND($B9="D10",$C9="G5"),BT8&amp;IF(BT8="","",CHAR(10))&amp;$A9,BT8)</f>
        <v/>
      </c>
      <c r="BU9" s="0" t="str">
        <f aca="false">IF(AND($B9="D10",$C9="G6"),BU8&amp;IF(BU8="","",CHAR(10))&amp;$A9,BU8)</f>
        <v/>
      </c>
      <c r="BX9" s="0" t="str">
        <f aca="false">IF(AND(03_能力總表_Master!$A9&lt;&gt;"",LEFT(03_能力總表_Master!$H9,2)="缺口"),MAX($BX$4:BX8)+1,"")</f>
        <v/>
      </c>
      <c r="BY9" s="0" t="str">
        <f aca="false">IF(AND(03_能力總表_Master!$A9&lt;&gt;"",03_能力總表_Master!$J9=12_夥伴視角_PartnerView!$C$4),MAX($BY$4:BY8)+1,"")</f>
        <v/>
      </c>
      <c r="BZ9" s="0" t="n">
        <f aca="false">IF(AND(05_法規門檻_Gates!$A9&lt;&gt;"",05_法規門檻_Gates!$E9="強制",05_法規門檻_Gates!$F9="待確認"),MAX($BZ$4:BZ8)+1,"")</f>
        <v>5</v>
      </c>
      <c r="CA9" s="0" t="n">
        <f aca="false">IF(AND(08_風險清冊_Risk!$A9&lt;&gt;"",OR(08_風險清冊_Risk!$G9="極高",08_風險清冊_Risk!$G9="高")),MAX($CA$4:CA8)+1,"")</f>
        <v>5</v>
      </c>
      <c r="CB9" s="0" t="n">
        <f aca="false">IF(AND(14_商機清單_Pipeline!$A9&lt;&gt;"",OR(N(14_商機清單_Pipeline!$I9)&gt;0,N(14_商機清單_Pipeline!$F9)=0)),MAX($CB$4:CB8)+1,"")</f>
        <v>2</v>
      </c>
      <c r="CC9" s="0" t="str">
        <f aca="false">IF(AND(03_能力總表_Master!$A9&lt;&gt;"",IFERROR(INDEX(16_能力商機矩陣_CapOppMap!$D9:$CO9,MATCH(LEFT(17_商機作戰卡_OppView!$C$4,6),16_能力商機矩陣_CapOppMap!$D$4:$CO$4,0)),"")="✓"),MAX($CC$4:CC8)+1,"")</f>
        <v/>
      </c>
    </row>
    <row r="10" customFormat="false" ht="48.5" hidden="false" customHeight="false" outlineLevel="0" collapsed="false">
      <c r="A10" s="0" t="str">
        <f aca="false">IF(03_能力總表_Master!$A10="","",IF(LEFT(03_能力總表_Master!$H10,2)="群晶","● ",IF(ISNUMBER(SEARCH("已確認",03_能力總表_Master!$H10)),"◆ ",IF(ISNUMBER(SEARCH("缺口",03_能力總表_Master!$H10)),"○ ","◐ ")))&amp;RIGHT(03_能力總表_Master!$A10,3)&amp;" "&amp;03_能力總表_Master!$E10)</f>
        <v>◐ 006 績效契約與變更控制</v>
      </c>
      <c r="B10" s="0" t="str">
        <f aca="false">IF(03_能力總表_Master!$A10="","",LEFT(03_能力總表_Master!$B10,3))</f>
        <v>D01</v>
      </c>
      <c r="C10" s="0" t="str">
        <f aca="false">IF(03_能力總表_Master!$A10="","",03_能力總表_Master!$C10)</f>
        <v>G2</v>
      </c>
      <c r="D10" s="363" t="str">
        <f aca="false">IF(AND($B10="D01",$C10="G0"),D9&amp;IF(D9="","",CHAR(10))&amp;$A10,D9)</f>
        <v>◐ 001 政府授權與計畫章程
◐ 002 利害關係人與權力地圖
◐ 005 聯盟治理與利益衝突</v>
      </c>
      <c r="E10" s="363" t="str">
        <f aca="false">IF(AND($B10="D01",$C10="G1"),E9&amp;IF(E9="","",CHAR(10))&amp;$A10,E9)</f>
        <v>◐ 003 交易模式選擇
◐ 004 法規與執照路徑</v>
      </c>
      <c r="F10" s="0" t="str">
        <f aca="false">IF(AND($B10="D01",$C10="G2"),F9&amp;IF(F9="","",CHAR(10))&amp;$A10,F9)</f>
        <v>◐ 006 績效契約與變更控制</v>
      </c>
      <c r="G10" s="0" t="str">
        <f aca="false">IF(AND($B10="D01",$C10="G3"),G9&amp;IF(G9="","",CHAR(10))&amp;$A10,G9)</f>
        <v/>
      </c>
      <c r="H10" s="0" t="str">
        <f aca="false">IF(AND($B10="D01",$C10="G4"),H9&amp;IF(H9="","",CHAR(10))&amp;$A10,H9)</f>
        <v/>
      </c>
      <c r="I10" s="0" t="str">
        <f aca="false">IF(AND($B10="D01",$C10="G5"),I9&amp;IF(I9="","",CHAR(10))&amp;$A10,I9)</f>
        <v/>
      </c>
      <c r="J10" s="0" t="str">
        <f aca="false">IF(AND($B10="D01",$C10="G6"),J9&amp;IF(J9="","",CHAR(10))&amp;$A10,J9)</f>
        <v/>
      </c>
      <c r="K10" s="0" t="str">
        <f aca="false">IF(AND($B10="D02",$C10="G0"),K9&amp;IF(K9="","",CHAR(10))&amp;$A10,K9)</f>
        <v/>
      </c>
      <c r="L10" s="0" t="str">
        <f aca="false">IF(AND($B10="D02",$C10="G1"),L9&amp;IF(L9="","",CHAR(10))&amp;$A10,L9)</f>
        <v/>
      </c>
      <c r="M10" s="0" t="str">
        <f aca="false">IF(AND($B10="D02",$C10="G2"),M9&amp;IF(M9="","",CHAR(10))&amp;$A10,M9)</f>
        <v/>
      </c>
      <c r="N10" s="0" t="str">
        <f aca="false">IF(AND($B10="D02",$C10="G3"),N9&amp;IF(N9="","",CHAR(10))&amp;$A10,N9)</f>
        <v/>
      </c>
      <c r="O10" s="0" t="str">
        <f aca="false">IF(AND($B10="D02",$C10="G4"),O9&amp;IF(O9="","",CHAR(10))&amp;$A10,O9)</f>
        <v/>
      </c>
      <c r="P10" s="0" t="str">
        <f aca="false">IF(AND($B10="D02",$C10="G5"),P9&amp;IF(P9="","",CHAR(10))&amp;$A10,P9)</f>
        <v/>
      </c>
      <c r="Q10" s="0" t="str">
        <f aca="false">IF(AND($B10="D02",$C10="G6"),Q9&amp;IF(Q9="","",CHAR(10))&amp;$A10,Q9)</f>
        <v/>
      </c>
      <c r="R10" s="0" t="str">
        <f aca="false">IF(AND($B10="D03",$C10="G0"),R9&amp;IF(R9="","",CHAR(10))&amp;$A10,R9)</f>
        <v/>
      </c>
      <c r="S10" s="0" t="str">
        <f aca="false">IF(AND($B10="D03",$C10="G1"),S9&amp;IF(S9="","",CHAR(10))&amp;$A10,S9)</f>
        <v/>
      </c>
      <c r="T10" s="0" t="str">
        <f aca="false">IF(AND($B10="D03",$C10="G2"),T9&amp;IF(T9="","",CHAR(10))&amp;$A10,T9)</f>
        <v/>
      </c>
      <c r="U10" s="0" t="str">
        <f aca="false">IF(AND($B10="D03",$C10="G3"),U9&amp;IF(U9="","",CHAR(10))&amp;$A10,U9)</f>
        <v/>
      </c>
      <c r="V10" s="0" t="str">
        <f aca="false">IF(AND($B10="D03",$C10="G4"),V9&amp;IF(V9="","",CHAR(10))&amp;$A10,V9)</f>
        <v/>
      </c>
      <c r="W10" s="0" t="str">
        <f aca="false">IF(AND($B10="D03",$C10="G5"),W9&amp;IF(W9="","",CHAR(10))&amp;$A10,W9)</f>
        <v/>
      </c>
      <c r="X10" s="0" t="str">
        <f aca="false">IF(AND($B10="D03",$C10="G6"),X9&amp;IF(X9="","",CHAR(10))&amp;$A10,X9)</f>
        <v/>
      </c>
      <c r="Y10" s="0" t="str">
        <f aca="false">IF(AND($B10="D04",$C10="G0"),Y9&amp;IF(Y9="","",CHAR(10))&amp;$A10,Y9)</f>
        <v/>
      </c>
      <c r="Z10" s="0" t="str">
        <f aca="false">IF(AND($B10="D04",$C10="G1"),Z9&amp;IF(Z9="","",CHAR(10))&amp;$A10,Z9)</f>
        <v/>
      </c>
      <c r="AA10" s="0" t="str">
        <f aca="false">IF(AND($B10="D04",$C10="G2"),AA9&amp;IF(AA9="","",CHAR(10))&amp;$A10,AA9)</f>
        <v/>
      </c>
      <c r="AB10" s="0" t="str">
        <f aca="false">IF(AND($B10="D04",$C10="G3"),AB9&amp;IF(AB9="","",CHAR(10))&amp;$A10,AB9)</f>
        <v/>
      </c>
      <c r="AC10" s="0" t="str">
        <f aca="false">IF(AND($B10="D04",$C10="G4"),AC9&amp;IF(AC9="","",CHAR(10))&amp;$A10,AC9)</f>
        <v/>
      </c>
      <c r="AD10" s="0" t="str">
        <f aca="false">IF(AND($B10="D04",$C10="G5"),AD9&amp;IF(AD9="","",CHAR(10))&amp;$A10,AD9)</f>
        <v/>
      </c>
      <c r="AE10" s="0" t="str">
        <f aca="false">IF(AND($B10="D04",$C10="G6"),AE9&amp;IF(AE9="","",CHAR(10))&amp;$A10,AE9)</f>
        <v/>
      </c>
      <c r="AF10" s="0" t="str">
        <f aca="false">IF(AND($B10="D05",$C10="G0"),AF9&amp;IF(AF9="","",CHAR(10))&amp;$A10,AF9)</f>
        <v/>
      </c>
      <c r="AG10" s="0" t="str">
        <f aca="false">IF(AND($B10="D05",$C10="G1"),AG9&amp;IF(AG9="","",CHAR(10))&amp;$A10,AG9)</f>
        <v/>
      </c>
      <c r="AH10" s="0" t="str">
        <f aca="false">IF(AND($B10="D05",$C10="G2"),AH9&amp;IF(AH9="","",CHAR(10))&amp;$A10,AH9)</f>
        <v/>
      </c>
      <c r="AI10" s="0" t="str">
        <f aca="false">IF(AND($B10="D05",$C10="G3"),AI9&amp;IF(AI9="","",CHAR(10))&amp;$A10,AI9)</f>
        <v/>
      </c>
      <c r="AJ10" s="0" t="str">
        <f aca="false">IF(AND($B10="D05",$C10="G4"),AJ9&amp;IF(AJ9="","",CHAR(10))&amp;$A10,AJ9)</f>
        <v/>
      </c>
      <c r="AK10" s="0" t="str">
        <f aca="false">IF(AND($B10="D05",$C10="G5"),AK9&amp;IF(AK9="","",CHAR(10))&amp;$A10,AK9)</f>
        <v/>
      </c>
      <c r="AL10" s="0" t="str">
        <f aca="false">IF(AND($B10="D05",$C10="G6"),AL9&amp;IF(AL9="","",CHAR(10))&amp;$A10,AL9)</f>
        <v/>
      </c>
      <c r="AM10" s="0" t="str">
        <f aca="false">IF(AND($B10="D06",$C10="G0"),AM9&amp;IF(AM9="","",CHAR(10))&amp;$A10,AM9)</f>
        <v/>
      </c>
      <c r="AN10" s="0" t="str">
        <f aca="false">IF(AND($B10="D06",$C10="G1"),AN9&amp;IF(AN9="","",CHAR(10))&amp;$A10,AN9)</f>
        <v/>
      </c>
      <c r="AO10" s="0" t="str">
        <f aca="false">IF(AND($B10="D06",$C10="G2"),AO9&amp;IF(AO9="","",CHAR(10))&amp;$A10,AO9)</f>
        <v/>
      </c>
      <c r="AP10" s="0" t="str">
        <f aca="false">IF(AND($B10="D06",$C10="G3"),AP9&amp;IF(AP9="","",CHAR(10))&amp;$A10,AP9)</f>
        <v/>
      </c>
      <c r="AQ10" s="0" t="str">
        <f aca="false">IF(AND($B10="D06",$C10="G4"),AQ9&amp;IF(AQ9="","",CHAR(10))&amp;$A10,AQ9)</f>
        <v/>
      </c>
      <c r="AR10" s="0" t="str">
        <f aca="false">IF(AND($B10="D06",$C10="G5"),AR9&amp;IF(AR9="","",CHAR(10))&amp;$A10,AR9)</f>
        <v/>
      </c>
      <c r="AS10" s="0" t="str">
        <f aca="false">IF(AND($B10="D06",$C10="G6"),AS9&amp;IF(AS9="","",CHAR(10))&amp;$A10,AS9)</f>
        <v/>
      </c>
      <c r="AT10" s="0" t="str">
        <f aca="false">IF(AND($B10="D07",$C10="G0"),AT9&amp;IF(AT9="","",CHAR(10))&amp;$A10,AT9)</f>
        <v/>
      </c>
      <c r="AU10" s="0" t="str">
        <f aca="false">IF(AND($B10="D07",$C10="G1"),AU9&amp;IF(AU9="","",CHAR(10))&amp;$A10,AU9)</f>
        <v/>
      </c>
      <c r="AV10" s="0" t="str">
        <f aca="false">IF(AND($B10="D07",$C10="G2"),AV9&amp;IF(AV9="","",CHAR(10))&amp;$A10,AV9)</f>
        <v/>
      </c>
      <c r="AW10" s="0" t="str">
        <f aca="false">IF(AND($B10="D07",$C10="G3"),AW9&amp;IF(AW9="","",CHAR(10))&amp;$A10,AW9)</f>
        <v/>
      </c>
      <c r="AX10" s="0" t="str">
        <f aca="false">IF(AND($B10="D07",$C10="G4"),AX9&amp;IF(AX9="","",CHAR(10))&amp;$A10,AX9)</f>
        <v/>
      </c>
      <c r="AY10" s="0" t="str">
        <f aca="false">IF(AND($B10="D07",$C10="G5"),AY9&amp;IF(AY9="","",CHAR(10))&amp;$A10,AY9)</f>
        <v/>
      </c>
      <c r="AZ10" s="0" t="str">
        <f aca="false">IF(AND($B10="D07",$C10="G6"),AZ9&amp;IF(AZ9="","",CHAR(10))&amp;$A10,AZ9)</f>
        <v/>
      </c>
      <c r="BA10" s="0" t="str">
        <f aca="false">IF(AND($B10="D08",$C10="G0"),BA9&amp;IF(BA9="","",CHAR(10))&amp;$A10,BA9)</f>
        <v/>
      </c>
      <c r="BB10" s="0" t="str">
        <f aca="false">IF(AND($B10="D08",$C10="G1"),BB9&amp;IF(BB9="","",CHAR(10))&amp;$A10,BB9)</f>
        <v/>
      </c>
      <c r="BC10" s="0" t="str">
        <f aca="false">IF(AND($B10="D08",$C10="G2"),BC9&amp;IF(BC9="","",CHAR(10))&amp;$A10,BC9)</f>
        <v/>
      </c>
      <c r="BD10" s="0" t="str">
        <f aca="false">IF(AND($B10="D08",$C10="G3"),BD9&amp;IF(BD9="","",CHAR(10))&amp;$A10,BD9)</f>
        <v/>
      </c>
      <c r="BE10" s="0" t="str">
        <f aca="false">IF(AND($B10="D08",$C10="G4"),BE9&amp;IF(BE9="","",CHAR(10))&amp;$A10,BE9)</f>
        <v/>
      </c>
      <c r="BF10" s="0" t="str">
        <f aca="false">IF(AND($B10="D08",$C10="G5"),BF9&amp;IF(BF9="","",CHAR(10))&amp;$A10,BF9)</f>
        <v/>
      </c>
      <c r="BG10" s="0" t="str">
        <f aca="false">IF(AND($B10="D08",$C10="G6"),BG9&amp;IF(BG9="","",CHAR(10))&amp;$A10,BG9)</f>
        <v/>
      </c>
      <c r="BH10" s="0" t="str">
        <f aca="false">IF(AND($B10="D09",$C10="G0"),BH9&amp;IF(BH9="","",CHAR(10))&amp;$A10,BH9)</f>
        <v/>
      </c>
      <c r="BI10" s="0" t="str">
        <f aca="false">IF(AND($B10="D09",$C10="G1"),BI9&amp;IF(BI9="","",CHAR(10))&amp;$A10,BI9)</f>
        <v/>
      </c>
      <c r="BJ10" s="0" t="str">
        <f aca="false">IF(AND($B10="D09",$C10="G2"),BJ9&amp;IF(BJ9="","",CHAR(10))&amp;$A10,BJ9)</f>
        <v/>
      </c>
      <c r="BK10" s="0" t="str">
        <f aca="false">IF(AND($B10="D09",$C10="G3"),BK9&amp;IF(BK9="","",CHAR(10))&amp;$A10,BK9)</f>
        <v/>
      </c>
      <c r="BL10" s="0" t="str">
        <f aca="false">IF(AND($B10="D09",$C10="G4"),BL9&amp;IF(BL9="","",CHAR(10))&amp;$A10,BL9)</f>
        <v/>
      </c>
      <c r="BM10" s="0" t="str">
        <f aca="false">IF(AND($B10="D09",$C10="G5"),BM9&amp;IF(BM9="","",CHAR(10))&amp;$A10,BM9)</f>
        <v/>
      </c>
      <c r="BN10" s="0" t="str">
        <f aca="false">IF(AND($B10="D09",$C10="G6"),BN9&amp;IF(BN9="","",CHAR(10))&amp;$A10,BN9)</f>
        <v/>
      </c>
      <c r="BO10" s="0" t="str">
        <f aca="false">IF(AND($B10="D10",$C10="G0"),BO9&amp;IF(BO9="","",CHAR(10))&amp;$A10,BO9)</f>
        <v/>
      </c>
      <c r="BP10" s="0" t="str">
        <f aca="false">IF(AND($B10="D10",$C10="G1"),BP9&amp;IF(BP9="","",CHAR(10))&amp;$A10,BP9)</f>
        <v/>
      </c>
      <c r="BQ10" s="0" t="str">
        <f aca="false">IF(AND($B10="D10",$C10="G2"),BQ9&amp;IF(BQ9="","",CHAR(10))&amp;$A10,BQ9)</f>
        <v/>
      </c>
      <c r="BR10" s="0" t="str">
        <f aca="false">IF(AND($B10="D10",$C10="G3"),BR9&amp;IF(BR9="","",CHAR(10))&amp;$A10,BR9)</f>
        <v/>
      </c>
      <c r="BS10" s="0" t="str">
        <f aca="false">IF(AND($B10="D10",$C10="G4"),BS9&amp;IF(BS9="","",CHAR(10))&amp;$A10,BS9)</f>
        <v/>
      </c>
      <c r="BT10" s="0" t="str">
        <f aca="false">IF(AND($B10="D10",$C10="G5"),BT9&amp;IF(BT9="","",CHAR(10))&amp;$A10,BT9)</f>
        <v/>
      </c>
      <c r="BU10" s="0" t="str">
        <f aca="false">IF(AND($B10="D10",$C10="G6"),BU9&amp;IF(BU9="","",CHAR(10))&amp;$A10,BU9)</f>
        <v/>
      </c>
      <c r="BX10" s="0" t="str">
        <f aca="false">IF(AND(03_能力總表_Master!$A10&lt;&gt;"",LEFT(03_能力總表_Master!$H10,2)="缺口"),MAX($BX$4:BX9)+1,"")</f>
        <v/>
      </c>
      <c r="BY10" s="0" t="str">
        <f aca="false">IF(AND(03_能力總表_Master!$A10&lt;&gt;"",03_能力總表_Master!$J10=12_夥伴視角_PartnerView!$C$4),MAX($BY$4:BY9)+1,"")</f>
        <v/>
      </c>
      <c r="BZ10" s="0" t="n">
        <f aca="false">IF(AND(05_法規門檻_Gates!$A10&lt;&gt;"",05_法規門檻_Gates!$E10="強制",05_法規門檻_Gates!$F10="待確認"),MAX($BZ$4:BZ9)+1,"")</f>
        <v>6</v>
      </c>
      <c r="CA10" s="0" t="n">
        <f aca="false">IF(AND(08_風險清冊_Risk!$A10&lt;&gt;"",OR(08_風險清冊_Risk!$G10="極高",08_風險清冊_Risk!$G10="高")),MAX($CA$4:CA9)+1,"")</f>
        <v>6</v>
      </c>
      <c r="CB10" s="0" t="str">
        <f aca="false">IF(AND(14_商機清單_Pipeline!$A10&lt;&gt;"",OR(N(14_商機清單_Pipeline!$I10)&gt;0,N(14_商機清單_Pipeline!$F10)=0)),MAX($CB$4:CB9)+1,"")</f>
        <v/>
      </c>
      <c r="CC10" s="0" t="str">
        <f aca="false">IF(AND(03_能力總表_Master!$A10&lt;&gt;"",IFERROR(INDEX(16_能力商機矩陣_CapOppMap!$D10:$CO10,MATCH(LEFT(17_商機作戰卡_OppView!$C$4,6),16_能力商機矩陣_CapOppMap!$D$4:$CO$4,0)),"")="✓"),MAX($CC$4:CC9)+1,"")</f>
        <v/>
      </c>
    </row>
    <row r="11" customFormat="false" ht="48.5" hidden="false" customHeight="false" outlineLevel="0" collapsed="false">
      <c r="A11" s="0" t="str">
        <f aca="false">IF(03_能力總表_Master!$A11="","",IF(LEFT(03_能力總表_Master!$H11,2)="群晶","● ",IF(ISNUMBER(SEARCH("已確認",03_能力總表_Master!$H11)),"◆ ",IF(ISNUMBER(SEARCH("缺口",03_能力總表_Master!$H11)),"○ ","◐ ")))&amp;RIGHT(03_能力總表_Master!$A11,3)&amp;" "&amp;03_能力總表_Master!$E11)</f>
        <v>◐ 007 人口需求與病例量預測</v>
      </c>
      <c r="B11" s="0" t="str">
        <f aca="false">IF(03_能力總表_Master!$A11="","",LEFT(03_能力總表_Master!$B11,3))</f>
        <v>D02</v>
      </c>
      <c r="C11" s="0" t="str">
        <f aca="false">IF(03_能力總表_Master!$A11="","",03_能力總表_Master!$C11)</f>
        <v>G1</v>
      </c>
      <c r="D11" s="363" t="str">
        <f aca="false">IF(AND($B11="D01",$C11="G0"),D10&amp;IF(D10="","",CHAR(10))&amp;$A11,D10)</f>
        <v>◐ 001 政府授權與計畫章程
◐ 002 利害關係人與權力地圖
◐ 005 聯盟治理與利益衝突</v>
      </c>
      <c r="E11" s="363" t="str">
        <f aca="false">IF(AND($B11="D01",$C11="G1"),E10&amp;IF(E10="","",CHAR(10))&amp;$A11,E10)</f>
        <v>◐ 003 交易模式選擇
◐ 004 法規與執照路徑</v>
      </c>
      <c r="F11" s="0" t="str">
        <f aca="false">IF(AND($B11="D01",$C11="G2"),F10&amp;IF(F10="","",CHAR(10))&amp;$A11,F10)</f>
        <v>◐ 006 績效契約與變更控制</v>
      </c>
      <c r="G11" s="0" t="str">
        <f aca="false">IF(AND($B11="D01",$C11="G3"),G10&amp;IF(G10="","",CHAR(10))&amp;$A11,G10)</f>
        <v/>
      </c>
      <c r="H11" s="0" t="str">
        <f aca="false">IF(AND($B11="D01",$C11="G4"),H10&amp;IF(H10="","",CHAR(10))&amp;$A11,H10)</f>
        <v/>
      </c>
      <c r="I11" s="0" t="str">
        <f aca="false">IF(AND($B11="D01",$C11="G5"),I10&amp;IF(I10="","",CHAR(10))&amp;$A11,I10)</f>
        <v/>
      </c>
      <c r="J11" s="0" t="str">
        <f aca="false">IF(AND($B11="D01",$C11="G6"),J10&amp;IF(J10="","",CHAR(10))&amp;$A11,J10)</f>
        <v/>
      </c>
      <c r="K11" s="0" t="str">
        <f aca="false">IF(AND($B11="D02",$C11="G0"),K10&amp;IF(K10="","",CHAR(10))&amp;$A11,K10)</f>
        <v/>
      </c>
      <c r="L11" s="0" t="str">
        <f aca="false">IF(AND($B11="D02",$C11="G1"),L10&amp;IF(L10="","",CHAR(10))&amp;$A11,L10)</f>
        <v>◐ 007 人口需求與病例量預測</v>
      </c>
      <c r="M11" s="0" t="str">
        <f aca="false">IF(AND($B11="D02",$C11="G2"),M10&amp;IF(M10="","",CHAR(10))&amp;$A11,M10)</f>
        <v/>
      </c>
      <c r="N11" s="0" t="str">
        <f aca="false">IF(AND($B11="D02",$C11="G3"),N10&amp;IF(N10="","",CHAR(10))&amp;$A11,N10)</f>
        <v/>
      </c>
      <c r="O11" s="0" t="str">
        <f aca="false">IF(AND($B11="D02",$C11="G4"),O10&amp;IF(O10="","",CHAR(10))&amp;$A11,O10)</f>
        <v/>
      </c>
      <c r="P11" s="0" t="str">
        <f aca="false">IF(AND($B11="D02",$C11="G5"),P10&amp;IF(P10="","",CHAR(10))&amp;$A11,P10)</f>
        <v/>
      </c>
      <c r="Q11" s="0" t="str">
        <f aca="false">IF(AND($B11="D02",$C11="G6"),Q10&amp;IF(Q10="","",CHAR(10))&amp;$A11,Q10)</f>
        <v/>
      </c>
      <c r="R11" s="0" t="str">
        <f aca="false">IF(AND($B11="D03",$C11="G0"),R10&amp;IF(R10="","",CHAR(10))&amp;$A11,R10)</f>
        <v/>
      </c>
      <c r="S11" s="0" t="str">
        <f aca="false">IF(AND($B11="D03",$C11="G1"),S10&amp;IF(S10="","",CHAR(10))&amp;$A11,S10)</f>
        <v/>
      </c>
      <c r="T11" s="0" t="str">
        <f aca="false">IF(AND($B11="D03",$C11="G2"),T10&amp;IF(T10="","",CHAR(10))&amp;$A11,T10)</f>
        <v/>
      </c>
      <c r="U11" s="0" t="str">
        <f aca="false">IF(AND($B11="D03",$C11="G3"),U10&amp;IF(U10="","",CHAR(10))&amp;$A11,U10)</f>
        <v/>
      </c>
      <c r="V11" s="0" t="str">
        <f aca="false">IF(AND($B11="D03",$C11="G4"),V10&amp;IF(V10="","",CHAR(10))&amp;$A11,V10)</f>
        <v/>
      </c>
      <c r="W11" s="0" t="str">
        <f aca="false">IF(AND($B11="D03",$C11="G5"),W10&amp;IF(W10="","",CHAR(10))&amp;$A11,W10)</f>
        <v/>
      </c>
      <c r="X11" s="0" t="str">
        <f aca="false">IF(AND($B11="D03",$C11="G6"),X10&amp;IF(X10="","",CHAR(10))&amp;$A11,X10)</f>
        <v/>
      </c>
      <c r="Y11" s="0" t="str">
        <f aca="false">IF(AND($B11="D04",$C11="G0"),Y10&amp;IF(Y10="","",CHAR(10))&amp;$A11,Y10)</f>
        <v/>
      </c>
      <c r="Z11" s="0" t="str">
        <f aca="false">IF(AND($B11="D04",$C11="G1"),Z10&amp;IF(Z10="","",CHAR(10))&amp;$A11,Z10)</f>
        <v/>
      </c>
      <c r="AA11" s="0" t="str">
        <f aca="false">IF(AND($B11="D04",$C11="G2"),AA10&amp;IF(AA10="","",CHAR(10))&amp;$A11,AA10)</f>
        <v/>
      </c>
      <c r="AB11" s="0" t="str">
        <f aca="false">IF(AND($B11="D04",$C11="G3"),AB10&amp;IF(AB10="","",CHAR(10))&amp;$A11,AB10)</f>
        <v/>
      </c>
      <c r="AC11" s="0" t="str">
        <f aca="false">IF(AND($B11="D04",$C11="G4"),AC10&amp;IF(AC10="","",CHAR(10))&amp;$A11,AC10)</f>
        <v/>
      </c>
      <c r="AD11" s="0" t="str">
        <f aca="false">IF(AND($B11="D04",$C11="G5"),AD10&amp;IF(AD10="","",CHAR(10))&amp;$A11,AD10)</f>
        <v/>
      </c>
      <c r="AE11" s="0" t="str">
        <f aca="false">IF(AND($B11="D04",$C11="G6"),AE10&amp;IF(AE10="","",CHAR(10))&amp;$A11,AE10)</f>
        <v/>
      </c>
      <c r="AF11" s="0" t="str">
        <f aca="false">IF(AND($B11="D05",$C11="G0"),AF10&amp;IF(AF10="","",CHAR(10))&amp;$A11,AF10)</f>
        <v/>
      </c>
      <c r="AG11" s="0" t="str">
        <f aca="false">IF(AND($B11="D05",$C11="G1"),AG10&amp;IF(AG10="","",CHAR(10))&amp;$A11,AG10)</f>
        <v/>
      </c>
      <c r="AH11" s="0" t="str">
        <f aca="false">IF(AND($B11="D05",$C11="G2"),AH10&amp;IF(AH10="","",CHAR(10))&amp;$A11,AH10)</f>
        <v/>
      </c>
      <c r="AI11" s="0" t="str">
        <f aca="false">IF(AND($B11="D05",$C11="G3"),AI10&amp;IF(AI10="","",CHAR(10))&amp;$A11,AI10)</f>
        <v/>
      </c>
      <c r="AJ11" s="0" t="str">
        <f aca="false">IF(AND($B11="D05",$C11="G4"),AJ10&amp;IF(AJ10="","",CHAR(10))&amp;$A11,AJ10)</f>
        <v/>
      </c>
      <c r="AK11" s="0" t="str">
        <f aca="false">IF(AND($B11="D05",$C11="G5"),AK10&amp;IF(AK10="","",CHAR(10))&amp;$A11,AK10)</f>
        <v/>
      </c>
      <c r="AL11" s="0" t="str">
        <f aca="false">IF(AND($B11="D05",$C11="G6"),AL10&amp;IF(AL10="","",CHAR(10))&amp;$A11,AL10)</f>
        <v/>
      </c>
      <c r="AM11" s="0" t="str">
        <f aca="false">IF(AND($B11="D06",$C11="G0"),AM10&amp;IF(AM10="","",CHAR(10))&amp;$A11,AM10)</f>
        <v/>
      </c>
      <c r="AN11" s="0" t="str">
        <f aca="false">IF(AND($B11="D06",$C11="G1"),AN10&amp;IF(AN10="","",CHAR(10))&amp;$A11,AN10)</f>
        <v/>
      </c>
      <c r="AO11" s="0" t="str">
        <f aca="false">IF(AND($B11="D06",$C11="G2"),AO10&amp;IF(AO10="","",CHAR(10))&amp;$A11,AO10)</f>
        <v/>
      </c>
      <c r="AP11" s="0" t="str">
        <f aca="false">IF(AND($B11="D06",$C11="G3"),AP10&amp;IF(AP10="","",CHAR(10))&amp;$A11,AP10)</f>
        <v/>
      </c>
      <c r="AQ11" s="0" t="str">
        <f aca="false">IF(AND($B11="D06",$C11="G4"),AQ10&amp;IF(AQ10="","",CHAR(10))&amp;$A11,AQ10)</f>
        <v/>
      </c>
      <c r="AR11" s="0" t="str">
        <f aca="false">IF(AND($B11="D06",$C11="G5"),AR10&amp;IF(AR10="","",CHAR(10))&amp;$A11,AR10)</f>
        <v/>
      </c>
      <c r="AS11" s="0" t="str">
        <f aca="false">IF(AND($B11="D06",$C11="G6"),AS10&amp;IF(AS10="","",CHAR(10))&amp;$A11,AS10)</f>
        <v/>
      </c>
      <c r="AT11" s="0" t="str">
        <f aca="false">IF(AND($B11="D07",$C11="G0"),AT10&amp;IF(AT10="","",CHAR(10))&amp;$A11,AT10)</f>
        <v/>
      </c>
      <c r="AU11" s="0" t="str">
        <f aca="false">IF(AND($B11="D07",$C11="G1"),AU10&amp;IF(AU10="","",CHAR(10))&amp;$A11,AU10)</f>
        <v/>
      </c>
      <c r="AV11" s="0" t="str">
        <f aca="false">IF(AND($B11="D07",$C11="G2"),AV10&amp;IF(AV10="","",CHAR(10))&amp;$A11,AV10)</f>
        <v/>
      </c>
      <c r="AW11" s="0" t="str">
        <f aca="false">IF(AND($B11="D07",$C11="G3"),AW10&amp;IF(AW10="","",CHAR(10))&amp;$A11,AW10)</f>
        <v/>
      </c>
      <c r="AX11" s="0" t="str">
        <f aca="false">IF(AND($B11="D07",$C11="G4"),AX10&amp;IF(AX10="","",CHAR(10))&amp;$A11,AX10)</f>
        <v/>
      </c>
      <c r="AY11" s="0" t="str">
        <f aca="false">IF(AND($B11="D07",$C11="G5"),AY10&amp;IF(AY10="","",CHAR(10))&amp;$A11,AY10)</f>
        <v/>
      </c>
      <c r="AZ11" s="0" t="str">
        <f aca="false">IF(AND($B11="D07",$C11="G6"),AZ10&amp;IF(AZ10="","",CHAR(10))&amp;$A11,AZ10)</f>
        <v/>
      </c>
      <c r="BA11" s="0" t="str">
        <f aca="false">IF(AND($B11="D08",$C11="G0"),BA10&amp;IF(BA10="","",CHAR(10))&amp;$A11,BA10)</f>
        <v/>
      </c>
      <c r="BB11" s="0" t="str">
        <f aca="false">IF(AND($B11="D08",$C11="G1"),BB10&amp;IF(BB10="","",CHAR(10))&amp;$A11,BB10)</f>
        <v/>
      </c>
      <c r="BC11" s="0" t="str">
        <f aca="false">IF(AND($B11="D08",$C11="G2"),BC10&amp;IF(BC10="","",CHAR(10))&amp;$A11,BC10)</f>
        <v/>
      </c>
      <c r="BD11" s="0" t="str">
        <f aca="false">IF(AND($B11="D08",$C11="G3"),BD10&amp;IF(BD10="","",CHAR(10))&amp;$A11,BD10)</f>
        <v/>
      </c>
      <c r="BE11" s="0" t="str">
        <f aca="false">IF(AND($B11="D08",$C11="G4"),BE10&amp;IF(BE10="","",CHAR(10))&amp;$A11,BE10)</f>
        <v/>
      </c>
      <c r="BF11" s="0" t="str">
        <f aca="false">IF(AND($B11="D08",$C11="G5"),BF10&amp;IF(BF10="","",CHAR(10))&amp;$A11,BF10)</f>
        <v/>
      </c>
      <c r="BG11" s="0" t="str">
        <f aca="false">IF(AND($B11="D08",$C11="G6"),BG10&amp;IF(BG10="","",CHAR(10))&amp;$A11,BG10)</f>
        <v/>
      </c>
      <c r="BH11" s="0" t="str">
        <f aca="false">IF(AND($B11="D09",$C11="G0"),BH10&amp;IF(BH10="","",CHAR(10))&amp;$A11,BH10)</f>
        <v/>
      </c>
      <c r="BI11" s="0" t="str">
        <f aca="false">IF(AND($B11="D09",$C11="G1"),BI10&amp;IF(BI10="","",CHAR(10))&amp;$A11,BI10)</f>
        <v/>
      </c>
      <c r="BJ11" s="0" t="str">
        <f aca="false">IF(AND($B11="D09",$C11="G2"),BJ10&amp;IF(BJ10="","",CHAR(10))&amp;$A11,BJ10)</f>
        <v/>
      </c>
      <c r="BK11" s="0" t="str">
        <f aca="false">IF(AND($B11="D09",$C11="G3"),BK10&amp;IF(BK10="","",CHAR(10))&amp;$A11,BK10)</f>
        <v/>
      </c>
      <c r="BL11" s="0" t="str">
        <f aca="false">IF(AND($B11="D09",$C11="G4"),BL10&amp;IF(BL10="","",CHAR(10))&amp;$A11,BL10)</f>
        <v/>
      </c>
      <c r="BM11" s="0" t="str">
        <f aca="false">IF(AND($B11="D09",$C11="G5"),BM10&amp;IF(BM10="","",CHAR(10))&amp;$A11,BM10)</f>
        <v/>
      </c>
      <c r="BN11" s="0" t="str">
        <f aca="false">IF(AND($B11="D09",$C11="G6"),BN10&amp;IF(BN10="","",CHAR(10))&amp;$A11,BN10)</f>
        <v/>
      </c>
      <c r="BO11" s="0" t="str">
        <f aca="false">IF(AND($B11="D10",$C11="G0"),BO10&amp;IF(BO10="","",CHAR(10))&amp;$A11,BO10)</f>
        <v/>
      </c>
      <c r="BP11" s="0" t="str">
        <f aca="false">IF(AND($B11="D10",$C11="G1"),BP10&amp;IF(BP10="","",CHAR(10))&amp;$A11,BP10)</f>
        <v/>
      </c>
      <c r="BQ11" s="0" t="str">
        <f aca="false">IF(AND($B11="D10",$C11="G2"),BQ10&amp;IF(BQ10="","",CHAR(10))&amp;$A11,BQ10)</f>
        <v/>
      </c>
      <c r="BR11" s="0" t="str">
        <f aca="false">IF(AND($B11="D10",$C11="G3"),BR10&amp;IF(BR10="","",CHAR(10))&amp;$A11,BR10)</f>
        <v/>
      </c>
      <c r="BS11" s="0" t="str">
        <f aca="false">IF(AND($B11="D10",$C11="G4"),BS10&amp;IF(BS10="","",CHAR(10))&amp;$A11,BS10)</f>
        <v/>
      </c>
      <c r="BT11" s="0" t="str">
        <f aca="false">IF(AND($B11="D10",$C11="G5"),BT10&amp;IF(BT10="","",CHAR(10))&amp;$A11,BT10)</f>
        <v/>
      </c>
      <c r="BU11" s="0" t="str">
        <f aca="false">IF(AND($B11="D10",$C11="G6"),BU10&amp;IF(BU10="","",CHAR(10))&amp;$A11,BU10)</f>
        <v/>
      </c>
      <c r="BX11" s="0" t="str">
        <f aca="false">IF(AND(03_能力總表_Master!$A11&lt;&gt;"",LEFT(03_能力總表_Master!$H11,2)="缺口"),MAX($BX$4:BX10)+1,"")</f>
        <v/>
      </c>
      <c r="BY11" s="0" t="str">
        <f aca="false">IF(AND(03_能力總表_Master!$A11&lt;&gt;"",03_能力總表_Master!$J11=12_夥伴視角_PartnerView!$C$4),MAX($BY$4:BY10)+1,"")</f>
        <v/>
      </c>
      <c r="BZ11" s="0" t="n">
        <f aca="false">IF(AND(05_法規門檻_Gates!$A11&lt;&gt;"",05_法規門檻_Gates!$E11="強制",05_法規門檻_Gates!$F11="待確認"),MAX($BZ$4:BZ10)+1,"")</f>
        <v>7</v>
      </c>
      <c r="CA11" s="0" t="n">
        <f aca="false">IF(AND(08_風險清冊_Risk!$A11&lt;&gt;"",OR(08_風險清冊_Risk!$G11="極高",08_風險清冊_Risk!$G11="高")),MAX($CA$4:CA10)+1,"")</f>
        <v>7</v>
      </c>
      <c r="CB11" s="0" t="str">
        <f aca="false">IF(AND(14_商機清單_Pipeline!$A11&lt;&gt;"",OR(N(14_商機清單_Pipeline!$I11)&gt;0,N(14_商機清單_Pipeline!$F11)=0)),MAX($CB$4:CB10)+1,"")</f>
        <v/>
      </c>
      <c r="CC11" s="0" t="str">
        <f aca="false">IF(AND(03_能力總表_Master!$A11&lt;&gt;"",IFERROR(INDEX(16_能力商機矩陣_CapOppMap!$D11:$CO11,MATCH(LEFT(17_商機作戰卡_OppView!$C$4,6),16_能力商機矩陣_CapOppMap!$D$4:$CO$4,0)),"")="✓"),MAX($CC$4:CC10)+1,"")</f>
        <v/>
      </c>
    </row>
    <row r="12" customFormat="false" ht="48.5" hidden="false" customHeight="false" outlineLevel="0" collapsed="false">
      <c r="A12" s="0" t="str">
        <f aca="false">IF(03_能力總表_Master!$A12="","",IF(LEFT(03_能力總表_Master!$H12,2)="群晶","● ",IF(ISNUMBER(SEARCH("已確認",03_能力總表_Master!$H12)),"◆ ",IF(ISNUMBER(SEARCH("缺口",03_能力總表_Master!$H12)),"○ ","◐ ")))&amp;RIGHT(03_能力總表_Master!$A12,3)&amp;" "&amp;03_能力總表_Master!$E12)</f>
        <v>◐ 008 醫院定位與服務組合</v>
      </c>
      <c r="B12" s="0" t="str">
        <f aca="false">IF(03_能力總表_Master!$A12="","",LEFT(03_能力總表_Master!$B12,3))</f>
        <v>D02</v>
      </c>
      <c r="C12" s="0" t="str">
        <f aca="false">IF(03_能力總表_Master!$A12="","",03_能力總表_Master!$C12)</f>
        <v>G1</v>
      </c>
      <c r="D12" s="363" t="str">
        <f aca="false">IF(AND($B12="D01",$C12="G0"),D11&amp;IF(D11="","",CHAR(10))&amp;$A12,D11)</f>
        <v>◐ 001 政府授權與計畫章程
◐ 002 利害關係人與權力地圖
◐ 005 聯盟治理與利益衝突</v>
      </c>
      <c r="E12" s="363" t="str">
        <f aca="false">IF(AND($B12="D01",$C12="G1"),E11&amp;IF(E11="","",CHAR(10))&amp;$A12,E11)</f>
        <v>◐ 003 交易模式選擇
◐ 004 法規與執照路徑</v>
      </c>
      <c r="F12" s="0" t="str">
        <f aca="false">IF(AND($B12="D01",$C12="G2"),F11&amp;IF(F11="","",CHAR(10))&amp;$A12,F11)</f>
        <v>◐ 006 績效契約與變更控制</v>
      </c>
      <c r="G12" s="0" t="str">
        <f aca="false">IF(AND($B12="D01",$C12="G3"),G11&amp;IF(G11="","",CHAR(10))&amp;$A12,G11)</f>
        <v/>
      </c>
      <c r="H12" s="0" t="str">
        <f aca="false">IF(AND($B12="D01",$C12="G4"),H11&amp;IF(H11="","",CHAR(10))&amp;$A12,H11)</f>
        <v/>
      </c>
      <c r="I12" s="0" t="str">
        <f aca="false">IF(AND($B12="D01",$C12="G5"),I11&amp;IF(I11="","",CHAR(10))&amp;$A12,I11)</f>
        <v/>
      </c>
      <c r="J12" s="0" t="str">
        <f aca="false">IF(AND($B12="D01",$C12="G6"),J11&amp;IF(J11="","",CHAR(10))&amp;$A12,J11)</f>
        <v/>
      </c>
      <c r="K12" s="0" t="str">
        <f aca="false">IF(AND($B12="D02",$C12="G0"),K11&amp;IF(K11="","",CHAR(10))&amp;$A12,K11)</f>
        <v/>
      </c>
      <c r="L12" s="363" t="str">
        <f aca="false">IF(AND($B12="D02",$C12="G1"),L11&amp;IF(L11="","",CHAR(10))&amp;$A12,L11)</f>
        <v>◐ 007 人口需求與病例量預測
◐ 008 醫院定位與服務組合</v>
      </c>
      <c r="M12" s="0" t="str">
        <f aca="false">IF(AND($B12="D02",$C12="G2"),M11&amp;IF(M11="","",CHAR(10))&amp;$A12,M11)</f>
        <v/>
      </c>
      <c r="N12" s="0" t="str">
        <f aca="false">IF(AND($B12="D02",$C12="G3"),N11&amp;IF(N11="","",CHAR(10))&amp;$A12,N11)</f>
        <v/>
      </c>
      <c r="O12" s="0" t="str">
        <f aca="false">IF(AND($B12="D02",$C12="G4"),O11&amp;IF(O11="","",CHAR(10))&amp;$A12,O11)</f>
        <v/>
      </c>
      <c r="P12" s="0" t="str">
        <f aca="false">IF(AND($B12="D02",$C12="G5"),P11&amp;IF(P11="","",CHAR(10))&amp;$A12,P11)</f>
        <v/>
      </c>
      <c r="Q12" s="0" t="str">
        <f aca="false">IF(AND($B12="D02",$C12="G6"),Q11&amp;IF(Q11="","",CHAR(10))&amp;$A12,Q11)</f>
        <v/>
      </c>
      <c r="R12" s="0" t="str">
        <f aca="false">IF(AND($B12="D03",$C12="G0"),R11&amp;IF(R11="","",CHAR(10))&amp;$A12,R11)</f>
        <v/>
      </c>
      <c r="S12" s="0" t="str">
        <f aca="false">IF(AND($B12="D03",$C12="G1"),S11&amp;IF(S11="","",CHAR(10))&amp;$A12,S11)</f>
        <v/>
      </c>
      <c r="T12" s="0" t="str">
        <f aca="false">IF(AND($B12="D03",$C12="G2"),T11&amp;IF(T11="","",CHAR(10))&amp;$A12,T11)</f>
        <v/>
      </c>
      <c r="U12" s="0" t="str">
        <f aca="false">IF(AND($B12="D03",$C12="G3"),U11&amp;IF(U11="","",CHAR(10))&amp;$A12,U11)</f>
        <v/>
      </c>
      <c r="V12" s="0" t="str">
        <f aca="false">IF(AND($B12="D03",$C12="G4"),V11&amp;IF(V11="","",CHAR(10))&amp;$A12,V11)</f>
        <v/>
      </c>
      <c r="W12" s="0" t="str">
        <f aca="false">IF(AND($B12="D03",$C12="G5"),W11&amp;IF(W11="","",CHAR(10))&amp;$A12,W11)</f>
        <v/>
      </c>
      <c r="X12" s="0" t="str">
        <f aca="false">IF(AND($B12="D03",$C12="G6"),X11&amp;IF(X11="","",CHAR(10))&amp;$A12,X11)</f>
        <v/>
      </c>
      <c r="Y12" s="0" t="str">
        <f aca="false">IF(AND($B12="D04",$C12="G0"),Y11&amp;IF(Y11="","",CHAR(10))&amp;$A12,Y11)</f>
        <v/>
      </c>
      <c r="Z12" s="0" t="str">
        <f aca="false">IF(AND($B12="D04",$C12="G1"),Z11&amp;IF(Z11="","",CHAR(10))&amp;$A12,Z11)</f>
        <v/>
      </c>
      <c r="AA12" s="0" t="str">
        <f aca="false">IF(AND($B12="D04",$C12="G2"),AA11&amp;IF(AA11="","",CHAR(10))&amp;$A12,AA11)</f>
        <v/>
      </c>
      <c r="AB12" s="0" t="str">
        <f aca="false">IF(AND($B12="D04",$C12="G3"),AB11&amp;IF(AB11="","",CHAR(10))&amp;$A12,AB11)</f>
        <v/>
      </c>
      <c r="AC12" s="0" t="str">
        <f aca="false">IF(AND($B12="D04",$C12="G4"),AC11&amp;IF(AC11="","",CHAR(10))&amp;$A12,AC11)</f>
        <v/>
      </c>
      <c r="AD12" s="0" t="str">
        <f aca="false">IF(AND($B12="D04",$C12="G5"),AD11&amp;IF(AD11="","",CHAR(10))&amp;$A12,AD11)</f>
        <v/>
      </c>
      <c r="AE12" s="0" t="str">
        <f aca="false">IF(AND($B12="D04",$C12="G6"),AE11&amp;IF(AE11="","",CHAR(10))&amp;$A12,AE11)</f>
        <v/>
      </c>
      <c r="AF12" s="0" t="str">
        <f aca="false">IF(AND($B12="D05",$C12="G0"),AF11&amp;IF(AF11="","",CHAR(10))&amp;$A12,AF11)</f>
        <v/>
      </c>
      <c r="AG12" s="0" t="str">
        <f aca="false">IF(AND($B12="D05",$C12="G1"),AG11&amp;IF(AG11="","",CHAR(10))&amp;$A12,AG11)</f>
        <v/>
      </c>
      <c r="AH12" s="0" t="str">
        <f aca="false">IF(AND($B12="D05",$C12="G2"),AH11&amp;IF(AH11="","",CHAR(10))&amp;$A12,AH11)</f>
        <v/>
      </c>
      <c r="AI12" s="0" t="str">
        <f aca="false">IF(AND($B12="D05",$C12="G3"),AI11&amp;IF(AI11="","",CHAR(10))&amp;$A12,AI11)</f>
        <v/>
      </c>
      <c r="AJ12" s="0" t="str">
        <f aca="false">IF(AND($B12="D05",$C12="G4"),AJ11&amp;IF(AJ11="","",CHAR(10))&amp;$A12,AJ11)</f>
        <v/>
      </c>
      <c r="AK12" s="0" t="str">
        <f aca="false">IF(AND($B12="D05",$C12="G5"),AK11&amp;IF(AK11="","",CHAR(10))&amp;$A12,AK11)</f>
        <v/>
      </c>
      <c r="AL12" s="0" t="str">
        <f aca="false">IF(AND($B12="D05",$C12="G6"),AL11&amp;IF(AL11="","",CHAR(10))&amp;$A12,AL11)</f>
        <v/>
      </c>
      <c r="AM12" s="0" t="str">
        <f aca="false">IF(AND($B12="D06",$C12="G0"),AM11&amp;IF(AM11="","",CHAR(10))&amp;$A12,AM11)</f>
        <v/>
      </c>
      <c r="AN12" s="0" t="str">
        <f aca="false">IF(AND($B12="D06",$C12="G1"),AN11&amp;IF(AN11="","",CHAR(10))&amp;$A12,AN11)</f>
        <v/>
      </c>
      <c r="AO12" s="0" t="str">
        <f aca="false">IF(AND($B12="D06",$C12="G2"),AO11&amp;IF(AO11="","",CHAR(10))&amp;$A12,AO11)</f>
        <v/>
      </c>
      <c r="AP12" s="0" t="str">
        <f aca="false">IF(AND($B12="D06",$C12="G3"),AP11&amp;IF(AP11="","",CHAR(10))&amp;$A12,AP11)</f>
        <v/>
      </c>
      <c r="AQ12" s="0" t="str">
        <f aca="false">IF(AND($B12="D06",$C12="G4"),AQ11&amp;IF(AQ11="","",CHAR(10))&amp;$A12,AQ11)</f>
        <v/>
      </c>
      <c r="AR12" s="0" t="str">
        <f aca="false">IF(AND($B12="D06",$C12="G5"),AR11&amp;IF(AR11="","",CHAR(10))&amp;$A12,AR11)</f>
        <v/>
      </c>
      <c r="AS12" s="0" t="str">
        <f aca="false">IF(AND($B12="D06",$C12="G6"),AS11&amp;IF(AS11="","",CHAR(10))&amp;$A12,AS11)</f>
        <v/>
      </c>
      <c r="AT12" s="0" t="str">
        <f aca="false">IF(AND($B12="D07",$C12="G0"),AT11&amp;IF(AT11="","",CHAR(10))&amp;$A12,AT11)</f>
        <v/>
      </c>
      <c r="AU12" s="0" t="str">
        <f aca="false">IF(AND($B12="D07",$C12="G1"),AU11&amp;IF(AU11="","",CHAR(10))&amp;$A12,AU11)</f>
        <v/>
      </c>
      <c r="AV12" s="0" t="str">
        <f aca="false">IF(AND($B12="D07",$C12="G2"),AV11&amp;IF(AV11="","",CHAR(10))&amp;$A12,AV11)</f>
        <v/>
      </c>
      <c r="AW12" s="0" t="str">
        <f aca="false">IF(AND($B12="D07",$C12="G3"),AW11&amp;IF(AW11="","",CHAR(10))&amp;$A12,AW11)</f>
        <v/>
      </c>
      <c r="AX12" s="0" t="str">
        <f aca="false">IF(AND($B12="D07",$C12="G4"),AX11&amp;IF(AX11="","",CHAR(10))&amp;$A12,AX11)</f>
        <v/>
      </c>
      <c r="AY12" s="0" t="str">
        <f aca="false">IF(AND($B12="D07",$C12="G5"),AY11&amp;IF(AY11="","",CHAR(10))&amp;$A12,AY11)</f>
        <v/>
      </c>
      <c r="AZ12" s="0" t="str">
        <f aca="false">IF(AND($B12="D07",$C12="G6"),AZ11&amp;IF(AZ11="","",CHAR(10))&amp;$A12,AZ11)</f>
        <v/>
      </c>
      <c r="BA12" s="0" t="str">
        <f aca="false">IF(AND($B12="D08",$C12="G0"),BA11&amp;IF(BA11="","",CHAR(10))&amp;$A12,BA11)</f>
        <v/>
      </c>
      <c r="BB12" s="0" t="str">
        <f aca="false">IF(AND($B12="D08",$C12="G1"),BB11&amp;IF(BB11="","",CHAR(10))&amp;$A12,BB11)</f>
        <v/>
      </c>
      <c r="BC12" s="0" t="str">
        <f aca="false">IF(AND($B12="D08",$C12="G2"),BC11&amp;IF(BC11="","",CHAR(10))&amp;$A12,BC11)</f>
        <v/>
      </c>
      <c r="BD12" s="0" t="str">
        <f aca="false">IF(AND($B12="D08",$C12="G3"),BD11&amp;IF(BD11="","",CHAR(10))&amp;$A12,BD11)</f>
        <v/>
      </c>
      <c r="BE12" s="0" t="str">
        <f aca="false">IF(AND($B12="D08",$C12="G4"),BE11&amp;IF(BE11="","",CHAR(10))&amp;$A12,BE11)</f>
        <v/>
      </c>
      <c r="BF12" s="0" t="str">
        <f aca="false">IF(AND($B12="D08",$C12="G5"),BF11&amp;IF(BF11="","",CHAR(10))&amp;$A12,BF11)</f>
        <v/>
      </c>
      <c r="BG12" s="0" t="str">
        <f aca="false">IF(AND($B12="D08",$C12="G6"),BG11&amp;IF(BG11="","",CHAR(10))&amp;$A12,BG11)</f>
        <v/>
      </c>
      <c r="BH12" s="0" t="str">
        <f aca="false">IF(AND($B12="D09",$C12="G0"),BH11&amp;IF(BH11="","",CHAR(10))&amp;$A12,BH11)</f>
        <v/>
      </c>
      <c r="BI12" s="0" t="str">
        <f aca="false">IF(AND($B12="D09",$C12="G1"),BI11&amp;IF(BI11="","",CHAR(10))&amp;$A12,BI11)</f>
        <v/>
      </c>
      <c r="BJ12" s="0" t="str">
        <f aca="false">IF(AND($B12="D09",$C12="G2"),BJ11&amp;IF(BJ11="","",CHAR(10))&amp;$A12,BJ11)</f>
        <v/>
      </c>
      <c r="BK12" s="0" t="str">
        <f aca="false">IF(AND($B12="D09",$C12="G3"),BK11&amp;IF(BK11="","",CHAR(10))&amp;$A12,BK11)</f>
        <v/>
      </c>
      <c r="BL12" s="0" t="str">
        <f aca="false">IF(AND($B12="D09",$C12="G4"),BL11&amp;IF(BL11="","",CHAR(10))&amp;$A12,BL11)</f>
        <v/>
      </c>
      <c r="BM12" s="0" t="str">
        <f aca="false">IF(AND($B12="D09",$C12="G5"),BM11&amp;IF(BM11="","",CHAR(10))&amp;$A12,BM11)</f>
        <v/>
      </c>
      <c r="BN12" s="0" t="str">
        <f aca="false">IF(AND($B12="D09",$C12="G6"),BN11&amp;IF(BN11="","",CHAR(10))&amp;$A12,BN11)</f>
        <v/>
      </c>
      <c r="BO12" s="0" t="str">
        <f aca="false">IF(AND($B12="D10",$C12="G0"),BO11&amp;IF(BO11="","",CHAR(10))&amp;$A12,BO11)</f>
        <v/>
      </c>
      <c r="BP12" s="0" t="str">
        <f aca="false">IF(AND($B12="D10",$C12="G1"),BP11&amp;IF(BP11="","",CHAR(10))&amp;$A12,BP11)</f>
        <v/>
      </c>
      <c r="BQ12" s="0" t="str">
        <f aca="false">IF(AND($B12="D10",$C12="G2"),BQ11&amp;IF(BQ11="","",CHAR(10))&amp;$A12,BQ11)</f>
        <v/>
      </c>
      <c r="BR12" s="0" t="str">
        <f aca="false">IF(AND($B12="D10",$C12="G3"),BR11&amp;IF(BR11="","",CHAR(10))&amp;$A12,BR11)</f>
        <v/>
      </c>
      <c r="BS12" s="0" t="str">
        <f aca="false">IF(AND($B12="D10",$C12="G4"),BS11&amp;IF(BS11="","",CHAR(10))&amp;$A12,BS11)</f>
        <v/>
      </c>
      <c r="BT12" s="0" t="str">
        <f aca="false">IF(AND($B12="D10",$C12="G5"),BT11&amp;IF(BT11="","",CHAR(10))&amp;$A12,BT11)</f>
        <v/>
      </c>
      <c r="BU12" s="0" t="str">
        <f aca="false">IF(AND($B12="D10",$C12="G6"),BU11&amp;IF(BU11="","",CHAR(10))&amp;$A12,BU11)</f>
        <v/>
      </c>
      <c r="BX12" s="0" t="str">
        <f aca="false">IF(AND(03_能力總表_Master!$A12&lt;&gt;"",LEFT(03_能力總表_Master!$H12,2)="缺口"),MAX($BX$4:BX11)+1,"")</f>
        <v/>
      </c>
      <c r="BY12" s="0" t="str">
        <f aca="false">IF(AND(03_能力總表_Master!$A12&lt;&gt;"",03_能力總表_Master!$J12=12_夥伴視角_PartnerView!$C$4),MAX($BY$4:BY11)+1,"")</f>
        <v/>
      </c>
      <c r="BZ12" s="0" t="str">
        <f aca="false">IF(AND(05_法規門檻_Gates!$A12&lt;&gt;"",05_法規門檻_Gates!$E12="強制",05_法規門檻_Gates!$F12="待確認"),MAX($BZ$4:BZ11)+1,"")</f>
        <v/>
      </c>
      <c r="CA12" s="0" t="n">
        <f aca="false">IF(AND(08_風險清冊_Risk!$A12&lt;&gt;"",OR(08_風險清冊_Risk!$G12="極高",08_風險清冊_Risk!$G12="高")),MAX($CA$4:CA11)+1,"")</f>
        <v>8</v>
      </c>
      <c r="CB12" s="0" t="n">
        <f aca="false">IF(AND(14_商機清單_Pipeline!$A12&lt;&gt;"",OR(N(14_商機清單_Pipeline!$I12)&gt;0,N(14_商機清單_Pipeline!$F12)=0)),MAX($CB$4:CB11)+1,"")</f>
        <v>3</v>
      </c>
      <c r="CC12" s="0" t="str">
        <f aca="false">IF(AND(03_能力總表_Master!$A12&lt;&gt;"",IFERROR(INDEX(16_能力商機矩陣_CapOppMap!$D12:$CO12,MATCH(LEFT(17_商機作戰卡_OppView!$C$4,6),16_能力商機矩陣_CapOppMap!$D$4:$CO$4,0)),"")="✓"),MAX($CC$4:CC11)+1,"")</f>
        <v/>
      </c>
    </row>
    <row r="13" customFormat="false" ht="48.5" hidden="false" customHeight="false" outlineLevel="0" collapsed="false">
      <c r="A13" s="0" t="str">
        <f aca="false">IF(03_能力總表_Master!$A13="","",IF(LEFT(03_能力總表_Master!$H13,2)="群晶","● ",IF(ISNUMBER(SEARCH("已確認",03_能力總表_Master!$H13)),"◆ ",IF(ISNUMBER(SEARCH("缺口",03_能力總表_Master!$H13)),"○ ","◐ ")))&amp;RIGHT(03_能力總表_Master!$A13,3)&amp;" "&amp;03_能力總表_Master!$E13)</f>
        <v>◐ 009 重點專科優先化</v>
      </c>
      <c r="B13" s="0" t="str">
        <f aca="false">IF(03_能力總表_Master!$A13="","",LEFT(03_能力總表_Master!$B13,3))</f>
        <v>D02</v>
      </c>
      <c r="C13" s="0" t="str">
        <f aca="false">IF(03_能力總表_Master!$A13="","",03_能力總表_Master!$C13)</f>
        <v>G1</v>
      </c>
      <c r="D13" s="363" t="str">
        <f aca="false">IF(AND($B13="D01",$C13="G0"),D12&amp;IF(D12="","",CHAR(10))&amp;$A13,D12)</f>
        <v>◐ 001 政府授權與計畫章程
◐ 002 利害關係人與權力地圖
◐ 005 聯盟治理與利益衝突</v>
      </c>
      <c r="E13" s="363" t="str">
        <f aca="false">IF(AND($B13="D01",$C13="G1"),E12&amp;IF(E12="","",CHAR(10))&amp;$A13,E12)</f>
        <v>◐ 003 交易模式選擇
◐ 004 法規與執照路徑</v>
      </c>
      <c r="F13" s="0" t="str">
        <f aca="false">IF(AND($B13="D01",$C13="G2"),F12&amp;IF(F12="","",CHAR(10))&amp;$A13,F12)</f>
        <v>◐ 006 績效契約與變更控制</v>
      </c>
      <c r="G13" s="0" t="str">
        <f aca="false">IF(AND($B13="D01",$C13="G3"),G12&amp;IF(G12="","",CHAR(10))&amp;$A13,G12)</f>
        <v/>
      </c>
      <c r="H13" s="0" t="str">
        <f aca="false">IF(AND($B13="D01",$C13="G4"),H12&amp;IF(H12="","",CHAR(10))&amp;$A13,H12)</f>
        <v/>
      </c>
      <c r="I13" s="0" t="str">
        <f aca="false">IF(AND($B13="D01",$C13="G5"),I12&amp;IF(I12="","",CHAR(10))&amp;$A13,I12)</f>
        <v/>
      </c>
      <c r="J13" s="0" t="str">
        <f aca="false">IF(AND($B13="D01",$C13="G6"),J12&amp;IF(J12="","",CHAR(10))&amp;$A13,J12)</f>
        <v/>
      </c>
      <c r="K13" s="0" t="str">
        <f aca="false">IF(AND($B13="D02",$C13="G0"),K12&amp;IF(K12="","",CHAR(10))&amp;$A13,K12)</f>
        <v/>
      </c>
      <c r="L13" s="363" t="str">
        <f aca="false">IF(AND($B13="D02",$C13="G1"),L12&amp;IF(L12="","",CHAR(10))&amp;$A13,L12)</f>
        <v>◐ 007 人口需求與病例量預測
◐ 008 醫院定位與服務組合
◐ 009 重點專科優先化</v>
      </c>
      <c r="M13" s="0" t="str">
        <f aca="false">IF(AND($B13="D02",$C13="G2"),M12&amp;IF(M12="","",CHAR(10))&amp;$A13,M12)</f>
        <v/>
      </c>
      <c r="N13" s="0" t="str">
        <f aca="false">IF(AND($B13="D02",$C13="G3"),N12&amp;IF(N12="","",CHAR(10))&amp;$A13,N12)</f>
        <v/>
      </c>
      <c r="O13" s="0" t="str">
        <f aca="false">IF(AND($B13="D02",$C13="G4"),O12&amp;IF(O12="","",CHAR(10))&amp;$A13,O12)</f>
        <v/>
      </c>
      <c r="P13" s="0" t="str">
        <f aca="false">IF(AND($B13="D02",$C13="G5"),P12&amp;IF(P12="","",CHAR(10))&amp;$A13,P12)</f>
        <v/>
      </c>
      <c r="Q13" s="0" t="str">
        <f aca="false">IF(AND($B13="D02",$C13="G6"),Q12&amp;IF(Q12="","",CHAR(10))&amp;$A13,Q12)</f>
        <v/>
      </c>
      <c r="R13" s="0" t="str">
        <f aca="false">IF(AND($B13="D03",$C13="G0"),R12&amp;IF(R12="","",CHAR(10))&amp;$A13,R12)</f>
        <v/>
      </c>
      <c r="S13" s="0" t="str">
        <f aca="false">IF(AND($B13="D03",$C13="G1"),S12&amp;IF(S12="","",CHAR(10))&amp;$A13,S12)</f>
        <v/>
      </c>
      <c r="T13" s="0" t="str">
        <f aca="false">IF(AND($B13="D03",$C13="G2"),T12&amp;IF(T12="","",CHAR(10))&amp;$A13,T12)</f>
        <v/>
      </c>
      <c r="U13" s="0" t="str">
        <f aca="false">IF(AND($B13="D03",$C13="G3"),U12&amp;IF(U12="","",CHAR(10))&amp;$A13,U12)</f>
        <v/>
      </c>
      <c r="V13" s="0" t="str">
        <f aca="false">IF(AND($B13="D03",$C13="G4"),V12&amp;IF(V12="","",CHAR(10))&amp;$A13,V12)</f>
        <v/>
      </c>
      <c r="W13" s="0" t="str">
        <f aca="false">IF(AND($B13="D03",$C13="G5"),W12&amp;IF(W12="","",CHAR(10))&amp;$A13,W12)</f>
        <v/>
      </c>
      <c r="X13" s="0" t="str">
        <f aca="false">IF(AND($B13="D03",$C13="G6"),X12&amp;IF(X12="","",CHAR(10))&amp;$A13,X12)</f>
        <v/>
      </c>
      <c r="Y13" s="0" t="str">
        <f aca="false">IF(AND($B13="D04",$C13="G0"),Y12&amp;IF(Y12="","",CHAR(10))&amp;$A13,Y12)</f>
        <v/>
      </c>
      <c r="Z13" s="0" t="str">
        <f aca="false">IF(AND($B13="D04",$C13="G1"),Z12&amp;IF(Z12="","",CHAR(10))&amp;$A13,Z12)</f>
        <v/>
      </c>
      <c r="AA13" s="0" t="str">
        <f aca="false">IF(AND($B13="D04",$C13="G2"),AA12&amp;IF(AA12="","",CHAR(10))&amp;$A13,AA12)</f>
        <v/>
      </c>
      <c r="AB13" s="0" t="str">
        <f aca="false">IF(AND($B13="D04",$C13="G3"),AB12&amp;IF(AB12="","",CHAR(10))&amp;$A13,AB12)</f>
        <v/>
      </c>
      <c r="AC13" s="0" t="str">
        <f aca="false">IF(AND($B13="D04",$C13="G4"),AC12&amp;IF(AC12="","",CHAR(10))&amp;$A13,AC12)</f>
        <v/>
      </c>
      <c r="AD13" s="0" t="str">
        <f aca="false">IF(AND($B13="D04",$C13="G5"),AD12&amp;IF(AD12="","",CHAR(10))&amp;$A13,AD12)</f>
        <v/>
      </c>
      <c r="AE13" s="0" t="str">
        <f aca="false">IF(AND($B13="D04",$C13="G6"),AE12&amp;IF(AE12="","",CHAR(10))&amp;$A13,AE12)</f>
        <v/>
      </c>
      <c r="AF13" s="0" t="str">
        <f aca="false">IF(AND($B13="D05",$C13="G0"),AF12&amp;IF(AF12="","",CHAR(10))&amp;$A13,AF12)</f>
        <v/>
      </c>
      <c r="AG13" s="0" t="str">
        <f aca="false">IF(AND($B13="D05",$C13="G1"),AG12&amp;IF(AG12="","",CHAR(10))&amp;$A13,AG12)</f>
        <v/>
      </c>
      <c r="AH13" s="0" t="str">
        <f aca="false">IF(AND($B13="D05",$C13="G2"),AH12&amp;IF(AH12="","",CHAR(10))&amp;$A13,AH12)</f>
        <v/>
      </c>
      <c r="AI13" s="0" t="str">
        <f aca="false">IF(AND($B13="D05",$C13="G3"),AI12&amp;IF(AI12="","",CHAR(10))&amp;$A13,AI12)</f>
        <v/>
      </c>
      <c r="AJ13" s="0" t="str">
        <f aca="false">IF(AND($B13="D05",$C13="G4"),AJ12&amp;IF(AJ12="","",CHAR(10))&amp;$A13,AJ12)</f>
        <v/>
      </c>
      <c r="AK13" s="0" t="str">
        <f aca="false">IF(AND($B13="D05",$C13="G5"),AK12&amp;IF(AK12="","",CHAR(10))&amp;$A13,AK12)</f>
        <v/>
      </c>
      <c r="AL13" s="0" t="str">
        <f aca="false">IF(AND($B13="D05",$C13="G6"),AL12&amp;IF(AL12="","",CHAR(10))&amp;$A13,AL12)</f>
        <v/>
      </c>
      <c r="AM13" s="0" t="str">
        <f aca="false">IF(AND($B13="D06",$C13="G0"),AM12&amp;IF(AM12="","",CHAR(10))&amp;$A13,AM12)</f>
        <v/>
      </c>
      <c r="AN13" s="0" t="str">
        <f aca="false">IF(AND($B13="D06",$C13="G1"),AN12&amp;IF(AN12="","",CHAR(10))&amp;$A13,AN12)</f>
        <v/>
      </c>
      <c r="AO13" s="0" t="str">
        <f aca="false">IF(AND($B13="D06",$C13="G2"),AO12&amp;IF(AO12="","",CHAR(10))&amp;$A13,AO12)</f>
        <v/>
      </c>
      <c r="AP13" s="0" t="str">
        <f aca="false">IF(AND($B13="D06",$C13="G3"),AP12&amp;IF(AP12="","",CHAR(10))&amp;$A13,AP12)</f>
        <v/>
      </c>
      <c r="AQ13" s="0" t="str">
        <f aca="false">IF(AND($B13="D06",$C13="G4"),AQ12&amp;IF(AQ12="","",CHAR(10))&amp;$A13,AQ12)</f>
        <v/>
      </c>
      <c r="AR13" s="0" t="str">
        <f aca="false">IF(AND($B13="D06",$C13="G5"),AR12&amp;IF(AR12="","",CHAR(10))&amp;$A13,AR12)</f>
        <v/>
      </c>
      <c r="AS13" s="0" t="str">
        <f aca="false">IF(AND($B13="D06",$C13="G6"),AS12&amp;IF(AS12="","",CHAR(10))&amp;$A13,AS12)</f>
        <v/>
      </c>
      <c r="AT13" s="0" t="str">
        <f aca="false">IF(AND($B13="D07",$C13="G0"),AT12&amp;IF(AT12="","",CHAR(10))&amp;$A13,AT12)</f>
        <v/>
      </c>
      <c r="AU13" s="0" t="str">
        <f aca="false">IF(AND($B13="D07",$C13="G1"),AU12&amp;IF(AU12="","",CHAR(10))&amp;$A13,AU12)</f>
        <v/>
      </c>
      <c r="AV13" s="0" t="str">
        <f aca="false">IF(AND($B13="D07",$C13="G2"),AV12&amp;IF(AV12="","",CHAR(10))&amp;$A13,AV12)</f>
        <v/>
      </c>
      <c r="AW13" s="0" t="str">
        <f aca="false">IF(AND($B13="D07",$C13="G3"),AW12&amp;IF(AW12="","",CHAR(10))&amp;$A13,AW12)</f>
        <v/>
      </c>
      <c r="AX13" s="0" t="str">
        <f aca="false">IF(AND($B13="D07",$C13="G4"),AX12&amp;IF(AX12="","",CHAR(10))&amp;$A13,AX12)</f>
        <v/>
      </c>
      <c r="AY13" s="0" t="str">
        <f aca="false">IF(AND($B13="D07",$C13="G5"),AY12&amp;IF(AY12="","",CHAR(10))&amp;$A13,AY12)</f>
        <v/>
      </c>
      <c r="AZ13" s="0" t="str">
        <f aca="false">IF(AND($B13="D07",$C13="G6"),AZ12&amp;IF(AZ12="","",CHAR(10))&amp;$A13,AZ12)</f>
        <v/>
      </c>
      <c r="BA13" s="0" t="str">
        <f aca="false">IF(AND($B13="D08",$C13="G0"),BA12&amp;IF(BA12="","",CHAR(10))&amp;$A13,BA12)</f>
        <v/>
      </c>
      <c r="BB13" s="0" t="str">
        <f aca="false">IF(AND($B13="D08",$C13="G1"),BB12&amp;IF(BB12="","",CHAR(10))&amp;$A13,BB12)</f>
        <v/>
      </c>
      <c r="BC13" s="0" t="str">
        <f aca="false">IF(AND($B13="D08",$C13="G2"),BC12&amp;IF(BC12="","",CHAR(10))&amp;$A13,BC12)</f>
        <v/>
      </c>
      <c r="BD13" s="0" t="str">
        <f aca="false">IF(AND($B13="D08",$C13="G3"),BD12&amp;IF(BD12="","",CHAR(10))&amp;$A13,BD12)</f>
        <v/>
      </c>
      <c r="BE13" s="0" t="str">
        <f aca="false">IF(AND($B13="D08",$C13="G4"),BE12&amp;IF(BE12="","",CHAR(10))&amp;$A13,BE12)</f>
        <v/>
      </c>
      <c r="BF13" s="0" t="str">
        <f aca="false">IF(AND($B13="D08",$C13="G5"),BF12&amp;IF(BF12="","",CHAR(10))&amp;$A13,BF12)</f>
        <v/>
      </c>
      <c r="BG13" s="0" t="str">
        <f aca="false">IF(AND($B13="D08",$C13="G6"),BG12&amp;IF(BG12="","",CHAR(10))&amp;$A13,BG12)</f>
        <v/>
      </c>
      <c r="BH13" s="0" t="str">
        <f aca="false">IF(AND($B13="D09",$C13="G0"),BH12&amp;IF(BH12="","",CHAR(10))&amp;$A13,BH12)</f>
        <v/>
      </c>
      <c r="BI13" s="0" t="str">
        <f aca="false">IF(AND($B13="D09",$C13="G1"),BI12&amp;IF(BI12="","",CHAR(10))&amp;$A13,BI12)</f>
        <v/>
      </c>
      <c r="BJ13" s="0" t="str">
        <f aca="false">IF(AND($B13="D09",$C13="G2"),BJ12&amp;IF(BJ12="","",CHAR(10))&amp;$A13,BJ12)</f>
        <v/>
      </c>
      <c r="BK13" s="0" t="str">
        <f aca="false">IF(AND($B13="D09",$C13="G3"),BK12&amp;IF(BK12="","",CHAR(10))&amp;$A13,BK12)</f>
        <v/>
      </c>
      <c r="BL13" s="0" t="str">
        <f aca="false">IF(AND($B13="D09",$C13="G4"),BL12&amp;IF(BL12="","",CHAR(10))&amp;$A13,BL12)</f>
        <v/>
      </c>
      <c r="BM13" s="0" t="str">
        <f aca="false">IF(AND($B13="D09",$C13="G5"),BM12&amp;IF(BM12="","",CHAR(10))&amp;$A13,BM12)</f>
        <v/>
      </c>
      <c r="BN13" s="0" t="str">
        <f aca="false">IF(AND($B13="D09",$C13="G6"),BN12&amp;IF(BN12="","",CHAR(10))&amp;$A13,BN12)</f>
        <v/>
      </c>
      <c r="BO13" s="0" t="str">
        <f aca="false">IF(AND($B13="D10",$C13="G0"),BO12&amp;IF(BO12="","",CHAR(10))&amp;$A13,BO12)</f>
        <v/>
      </c>
      <c r="BP13" s="0" t="str">
        <f aca="false">IF(AND($B13="D10",$C13="G1"),BP12&amp;IF(BP12="","",CHAR(10))&amp;$A13,BP12)</f>
        <v/>
      </c>
      <c r="BQ13" s="0" t="str">
        <f aca="false">IF(AND($B13="D10",$C13="G2"),BQ12&amp;IF(BQ12="","",CHAR(10))&amp;$A13,BQ12)</f>
        <v/>
      </c>
      <c r="BR13" s="0" t="str">
        <f aca="false">IF(AND($B13="D10",$C13="G3"),BR12&amp;IF(BR12="","",CHAR(10))&amp;$A13,BR12)</f>
        <v/>
      </c>
      <c r="BS13" s="0" t="str">
        <f aca="false">IF(AND($B13="D10",$C13="G4"),BS12&amp;IF(BS12="","",CHAR(10))&amp;$A13,BS12)</f>
        <v/>
      </c>
      <c r="BT13" s="0" t="str">
        <f aca="false">IF(AND($B13="D10",$C13="G5"),BT12&amp;IF(BT12="","",CHAR(10))&amp;$A13,BT12)</f>
        <v/>
      </c>
      <c r="BU13" s="0" t="str">
        <f aca="false">IF(AND($B13="D10",$C13="G6"),BU12&amp;IF(BU12="","",CHAR(10))&amp;$A13,BU12)</f>
        <v/>
      </c>
      <c r="BX13" s="0" t="str">
        <f aca="false">IF(AND(03_能力總表_Master!$A13&lt;&gt;"",LEFT(03_能力總表_Master!$H13,2)="缺口"),MAX($BX$4:BX12)+1,"")</f>
        <v/>
      </c>
      <c r="BY13" s="0" t="str">
        <f aca="false">IF(AND(03_能力總表_Master!$A13&lt;&gt;"",03_能力總表_Master!$J13=12_夥伴視角_PartnerView!$C$4),MAX($BY$4:BY12)+1,"")</f>
        <v/>
      </c>
      <c r="BZ13" s="0" t="str">
        <f aca="false">IF(AND(05_法規門檻_Gates!$A13&lt;&gt;"",05_法規門檻_Gates!$E13="強制",05_法規門檻_Gates!$F13="待確認"),MAX($BZ$4:BZ12)+1,"")</f>
        <v/>
      </c>
      <c r="CA13" s="0" t="n">
        <f aca="false">IF(AND(08_風險清冊_Risk!$A13&lt;&gt;"",OR(08_風險清冊_Risk!$G13="極高",08_風險清冊_Risk!$G13="高")),MAX($CA$4:CA12)+1,"")</f>
        <v>9</v>
      </c>
      <c r="CB13" s="0" t="str">
        <f aca="false">IF(AND(14_商機清單_Pipeline!$A13&lt;&gt;"",OR(N(14_商機清單_Pipeline!$I13)&gt;0,N(14_商機清單_Pipeline!$F13)=0)),MAX($CB$4:CB12)+1,"")</f>
        <v/>
      </c>
      <c r="CC13" s="0" t="str">
        <f aca="false">IF(AND(03_能力總表_Master!$A13&lt;&gt;"",IFERROR(INDEX(16_能力商機矩陣_CapOppMap!$D13:$CO13,MATCH(LEFT(17_商機作戰卡_OppView!$C$4,6),16_能力商機矩陣_CapOppMap!$D$4:$CO$4,0)),"")="✓"),MAX($CC$4:CC12)+1,"")</f>
        <v/>
      </c>
    </row>
    <row r="14" customFormat="false" ht="64.15" hidden="false" customHeight="false" outlineLevel="0" collapsed="false">
      <c r="A14" s="0" t="str">
        <f aca="false">IF(03_能力總表_Master!$A14="","",IF(LEFT(03_能力總表_Master!$H14,2)="群晶","● ",IF(ISNUMBER(SEARCH("已確認",03_能力總表_Master!$H14)),"◆ ",IF(ISNUMBER(SEARCH("缺口",03_能力總表_Master!$H14)),"○ ","◐ ")))&amp;RIGHT(03_能力總表_Master!$A14,3)&amp;" "&amp;03_能力總表_Master!$E14)</f>
        <v>◐ 010 病人流程與容量設計</v>
      </c>
      <c r="B14" s="0" t="str">
        <f aca="false">IF(03_能力總表_Master!$A14="","",LEFT(03_能力總表_Master!$B14,3))</f>
        <v>D02</v>
      </c>
      <c r="C14" s="0" t="str">
        <f aca="false">IF(03_能力總表_Master!$A14="","",03_能力總表_Master!$C14)</f>
        <v>G1</v>
      </c>
      <c r="D14" s="363" t="str">
        <f aca="false">IF(AND($B14="D01",$C14="G0"),D13&amp;IF(D13="","",CHAR(10))&amp;$A14,D13)</f>
        <v>◐ 001 政府授權與計畫章程
◐ 002 利害關係人與權力地圖
◐ 005 聯盟治理與利益衝突</v>
      </c>
      <c r="E14" s="363" t="str">
        <f aca="false">IF(AND($B14="D01",$C14="G1"),E13&amp;IF(E13="","",CHAR(10))&amp;$A14,E13)</f>
        <v>◐ 003 交易模式選擇
◐ 004 法規與執照路徑</v>
      </c>
      <c r="F14" s="0" t="str">
        <f aca="false">IF(AND($B14="D01",$C14="G2"),F13&amp;IF(F13="","",CHAR(10))&amp;$A14,F13)</f>
        <v>◐ 006 績效契約與變更控制</v>
      </c>
      <c r="G14" s="0" t="str">
        <f aca="false">IF(AND($B14="D01",$C14="G3"),G13&amp;IF(G13="","",CHAR(10))&amp;$A14,G13)</f>
        <v/>
      </c>
      <c r="H14" s="0" t="str">
        <f aca="false">IF(AND($B14="D01",$C14="G4"),H13&amp;IF(H13="","",CHAR(10))&amp;$A14,H13)</f>
        <v/>
      </c>
      <c r="I14" s="0" t="str">
        <f aca="false">IF(AND($B14="D01",$C14="G5"),I13&amp;IF(I13="","",CHAR(10))&amp;$A14,I13)</f>
        <v/>
      </c>
      <c r="J14" s="0" t="str">
        <f aca="false">IF(AND($B14="D01",$C14="G6"),J13&amp;IF(J13="","",CHAR(10))&amp;$A14,J13)</f>
        <v/>
      </c>
      <c r="K14" s="0" t="str">
        <f aca="false">IF(AND($B14="D02",$C14="G0"),K13&amp;IF(K13="","",CHAR(10))&amp;$A14,K13)</f>
        <v/>
      </c>
      <c r="L14" s="363" t="str">
        <f aca="false">IF(AND($B14="D02",$C14="G1"),L13&amp;IF(L13="","",CHAR(10))&amp;$A14,L13)</f>
        <v>◐ 007 人口需求與病例量預測
◐ 008 醫院定位與服務組合
◐ 009 重點專科優先化
◐ 010 病人流程與容量設計</v>
      </c>
      <c r="M14" s="0" t="str">
        <f aca="false">IF(AND($B14="D02",$C14="G2"),M13&amp;IF(M13="","",CHAR(10))&amp;$A14,M13)</f>
        <v/>
      </c>
      <c r="N14" s="0" t="str">
        <f aca="false">IF(AND($B14="D02",$C14="G3"),N13&amp;IF(N13="","",CHAR(10))&amp;$A14,N13)</f>
        <v/>
      </c>
      <c r="O14" s="0" t="str">
        <f aca="false">IF(AND($B14="D02",$C14="G4"),O13&amp;IF(O13="","",CHAR(10))&amp;$A14,O13)</f>
        <v/>
      </c>
      <c r="P14" s="0" t="str">
        <f aca="false">IF(AND($B14="D02",$C14="G5"),P13&amp;IF(P13="","",CHAR(10))&amp;$A14,P13)</f>
        <v/>
      </c>
      <c r="Q14" s="0" t="str">
        <f aca="false">IF(AND($B14="D02",$C14="G6"),Q13&amp;IF(Q13="","",CHAR(10))&amp;$A14,Q13)</f>
        <v/>
      </c>
      <c r="R14" s="0" t="str">
        <f aca="false">IF(AND($B14="D03",$C14="G0"),R13&amp;IF(R13="","",CHAR(10))&amp;$A14,R13)</f>
        <v/>
      </c>
      <c r="S14" s="0" t="str">
        <f aca="false">IF(AND($B14="D03",$C14="G1"),S13&amp;IF(S13="","",CHAR(10))&amp;$A14,S13)</f>
        <v/>
      </c>
      <c r="T14" s="0" t="str">
        <f aca="false">IF(AND($B14="D03",$C14="G2"),T13&amp;IF(T13="","",CHAR(10))&amp;$A14,T13)</f>
        <v/>
      </c>
      <c r="U14" s="0" t="str">
        <f aca="false">IF(AND($B14="D03",$C14="G3"),U13&amp;IF(U13="","",CHAR(10))&amp;$A14,U13)</f>
        <v/>
      </c>
      <c r="V14" s="0" t="str">
        <f aca="false">IF(AND($B14="D03",$C14="G4"),V13&amp;IF(V13="","",CHAR(10))&amp;$A14,V13)</f>
        <v/>
      </c>
      <c r="W14" s="0" t="str">
        <f aca="false">IF(AND($B14="D03",$C14="G5"),W13&amp;IF(W13="","",CHAR(10))&amp;$A14,W13)</f>
        <v/>
      </c>
      <c r="X14" s="0" t="str">
        <f aca="false">IF(AND($B14="D03",$C14="G6"),X13&amp;IF(X13="","",CHAR(10))&amp;$A14,X13)</f>
        <v/>
      </c>
      <c r="Y14" s="0" t="str">
        <f aca="false">IF(AND($B14="D04",$C14="G0"),Y13&amp;IF(Y13="","",CHAR(10))&amp;$A14,Y13)</f>
        <v/>
      </c>
      <c r="Z14" s="0" t="str">
        <f aca="false">IF(AND($B14="D04",$C14="G1"),Z13&amp;IF(Z13="","",CHAR(10))&amp;$A14,Z13)</f>
        <v/>
      </c>
      <c r="AA14" s="0" t="str">
        <f aca="false">IF(AND($B14="D04",$C14="G2"),AA13&amp;IF(AA13="","",CHAR(10))&amp;$A14,AA13)</f>
        <v/>
      </c>
      <c r="AB14" s="0" t="str">
        <f aca="false">IF(AND($B14="D04",$C14="G3"),AB13&amp;IF(AB13="","",CHAR(10))&amp;$A14,AB13)</f>
        <v/>
      </c>
      <c r="AC14" s="0" t="str">
        <f aca="false">IF(AND($B14="D04",$C14="G4"),AC13&amp;IF(AC13="","",CHAR(10))&amp;$A14,AC13)</f>
        <v/>
      </c>
      <c r="AD14" s="0" t="str">
        <f aca="false">IF(AND($B14="D04",$C14="G5"),AD13&amp;IF(AD13="","",CHAR(10))&amp;$A14,AD13)</f>
        <v/>
      </c>
      <c r="AE14" s="0" t="str">
        <f aca="false">IF(AND($B14="D04",$C14="G6"),AE13&amp;IF(AE13="","",CHAR(10))&amp;$A14,AE13)</f>
        <v/>
      </c>
      <c r="AF14" s="0" t="str">
        <f aca="false">IF(AND($B14="D05",$C14="G0"),AF13&amp;IF(AF13="","",CHAR(10))&amp;$A14,AF13)</f>
        <v/>
      </c>
      <c r="AG14" s="0" t="str">
        <f aca="false">IF(AND($B14="D05",$C14="G1"),AG13&amp;IF(AG13="","",CHAR(10))&amp;$A14,AG13)</f>
        <v/>
      </c>
      <c r="AH14" s="0" t="str">
        <f aca="false">IF(AND($B14="D05",$C14="G2"),AH13&amp;IF(AH13="","",CHAR(10))&amp;$A14,AH13)</f>
        <v/>
      </c>
      <c r="AI14" s="0" t="str">
        <f aca="false">IF(AND($B14="D05",$C14="G3"),AI13&amp;IF(AI13="","",CHAR(10))&amp;$A14,AI13)</f>
        <v/>
      </c>
      <c r="AJ14" s="0" t="str">
        <f aca="false">IF(AND($B14="D05",$C14="G4"),AJ13&amp;IF(AJ13="","",CHAR(10))&amp;$A14,AJ13)</f>
        <v/>
      </c>
      <c r="AK14" s="0" t="str">
        <f aca="false">IF(AND($B14="D05",$C14="G5"),AK13&amp;IF(AK13="","",CHAR(10))&amp;$A14,AK13)</f>
        <v/>
      </c>
      <c r="AL14" s="0" t="str">
        <f aca="false">IF(AND($B14="D05",$C14="G6"),AL13&amp;IF(AL13="","",CHAR(10))&amp;$A14,AL13)</f>
        <v/>
      </c>
      <c r="AM14" s="0" t="str">
        <f aca="false">IF(AND($B14="D06",$C14="G0"),AM13&amp;IF(AM13="","",CHAR(10))&amp;$A14,AM13)</f>
        <v/>
      </c>
      <c r="AN14" s="0" t="str">
        <f aca="false">IF(AND($B14="D06",$C14="G1"),AN13&amp;IF(AN13="","",CHAR(10))&amp;$A14,AN13)</f>
        <v/>
      </c>
      <c r="AO14" s="0" t="str">
        <f aca="false">IF(AND($B14="D06",$C14="G2"),AO13&amp;IF(AO13="","",CHAR(10))&amp;$A14,AO13)</f>
        <v/>
      </c>
      <c r="AP14" s="0" t="str">
        <f aca="false">IF(AND($B14="D06",$C14="G3"),AP13&amp;IF(AP13="","",CHAR(10))&amp;$A14,AP13)</f>
        <v/>
      </c>
      <c r="AQ14" s="0" t="str">
        <f aca="false">IF(AND($B14="D06",$C14="G4"),AQ13&amp;IF(AQ13="","",CHAR(10))&amp;$A14,AQ13)</f>
        <v/>
      </c>
      <c r="AR14" s="0" t="str">
        <f aca="false">IF(AND($B14="D06",$C14="G5"),AR13&amp;IF(AR13="","",CHAR(10))&amp;$A14,AR13)</f>
        <v/>
      </c>
      <c r="AS14" s="0" t="str">
        <f aca="false">IF(AND($B14="D06",$C14="G6"),AS13&amp;IF(AS13="","",CHAR(10))&amp;$A14,AS13)</f>
        <v/>
      </c>
      <c r="AT14" s="0" t="str">
        <f aca="false">IF(AND($B14="D07",$C14="G0"),AT13&amp;IF(AT13="","",CHAR(10))&amp;$A14,AT13)</f>
        <v/>
      </c>
      <c r="AU14" s="0" t="str">
        <f aca="false">IF(AND($B14="D07",$C14="G1"),AU13&amp;IF(AU13="","",CHAR(10))&amp;$A14,AU13)</f>
        <v/>
      </c>
      <c r="AV14" s="0" t="str">
        <f aca="false">IF(AND($B14="D07",$C14="G2"),AV13&amp;IF(AV13="","",CHAR(10))&amp;$A14,AV13)</f>
        <v/>
      </c>
      <c r="AW14" s="0" t="str">
        <f aca="false">IF(AND($B14="D07",$C14="G3"),AW13&amp;IF(AW13="","",CHAR(10))&amp;$A14,AW13)</f>
        <v/>
      </c>
      <c r="AX14" s="0" t="str">
        <f aca="false">IF(AND($B14="D07",$C14="G4"),AX13&amp;IF(AX13="","",CHAR(10))&amp;$A14,AX13)</f>
        <v/>
      </c>
      <c r="AY14" s="0" t="str">
        <f aca="false">IF(AND($B14="D07",$C14="G5"),AY13&amp;IF(AY13="","",CHAR(10))&amp;$A14,AY13)</f>
        <v/>
      </c>
      <c r="AZ14" s="0" t="str">
        <f aca="false">IF(AND($B14="D07",$C14="G6"),AZ13&amp;IF(AZ13="","",CHAR(10))&amp;$A14,AZ13)</f>
        <v/>
      </c>
      <c r="BA14" s="0" t="str">
        <f aca="false">IF(AND($B14="D08",$C14="G0"),BA13&amp;IF(BA13="","",CHAR(10))&amp;$A14,BA13)</f>
        <v/>
      </c>
      <c r="BB14" s="0" t="str">
        <f aca="false">IF(AND($B14="D08",$C14="G1"),BB13&amp;IF(BB13="","",CHAR(10))&amp;$A14,BB13)</f>
        <v/>
      </c>
      <c r="BC14" s="0" t="str">
        <f aca="false">IF(AND($B14="D08",$C14="G2"),BC13&amp;IF(BC13="","",CHAR(10))&amp;$A14,BC13)</f>
        <v/>
      </c>
      <c r="BD14" s="0" t="str">
        <f aca="false">IF(AND($B14="D08",$C14="G3"),BD13&amp;IF(BD13="","",CHAR(10))&amp;$A14,BD13)</f>
        <v/>
      </c>
      <c r="BE14" s="0" t="str">
        <f aca="false">IF(AND($B14="D08",$C14="G4"),BE13&amp;IF(BE13="","",CHAR(10))&amp;$A14,BE13)</f>
        <v/>
      </c>
      <c r="BF14" s="0" t="str">
        <f aca="false">IF(AND($B14="D08",$C14="G5"),BF13&amp;IF(BF13="","",CHAR(10))&amp;$A14,BF13)</f>
        <v/>
      </c>
      <c r="BG14" s="0" t="str">
        <f aca="false">IF(AND($B14="D08",$C14="G6"),BG13&amp;IF(BG13="","",CHAR(10))&amp;$A14,BG13)</f>
        <v/>
      </c>
      <c r="BH14" s="0" t="str">
        <f aca="false">IF(AND($B14="D09",$C14="G0"),BH13&amp;IF(BH13="","",CHAR(10))&amp;$A14,BH13)</f>
        <v/>
      </c>
      <c r="BI14" s="0" t="str">
        <f aca="false">IF(AND($B14="D09",$C14="G1"),BI13&amp;IF(BI13="","",CHAR(10))&amp;$A14,BI13)</f>
        <v/>
      </c>
      <c r="BJ14" s="0" t="str">
        <f aca="false">IF(AND($B14="D09",$C14="G2"),BJ13&amp;IF(BJ13="","",CHAR(10))&amp;$A14,BJ13)</f>
        <v/>
      </c>
      <c r="BK14" s="0" t="str">
        <f aca="false">IF(AND($B14="D09",$C14="G3"),BK13&amp;IF(BK13="","",CHAR(10))&amp;$A14,BK13)</f>
        <v/>
      </c>
      <c r="BL14" s="0" t="str">
        <f aca="false">IF(AND($B14="D09",$C14="G4"),BL13&amp;IF(BL13="","",CHAR(10))&amp;$A14,BL13)</f>
        <v/>
      </c>
      <c r="BM14" s="0" t="str">
        <f aca="false">IF(AND($B14="D09",$C14="G5"),BM13&amp;IF(BM13="","",CHAR(10))&amp;$A14,BM13)</f>
        <v/>
      </c>
      <c r="BN14" s="0" t="str">
        <f aca="false">IF(AND($B14="D09",$C14="G6"),BN13&amp;IF(BN13="","",CHAR(10))&amp;$A14,BN13)</f>
        <v/>
      </c>
      <c r="BO14" s="0" t="str">
        <f aca="false">IF(AND($B14="D10",$C14="G0"),BO13&amp;IF(BO13="","",CHAR(10))&amp;$A14,BO13)</f>
        <v/>
      </c>
      <c r="BP14" s="0" t="str">
        <f aca="false">IF(AND($B14="D10",$C14="G1"),BP13&amp;IF(BP13="","",CHAR(10))&amp;$A14,BP13)</f>
        <v/>
      </c>
      <c r="BQ14" s="0" t="str">
        <f aca="false">IF(AND($B14="D10",$C14="G2"),BQ13&amp;IF(BQ13="","",CHAR(10))&amp;$A14,BQ13)</f>
        <v/>
      </c>
      <c r="BR14" s="0" t="str">
        <f aca="false">IF(AND($B14="D10",$C14="G3"),BR13&amp;IF(BR13="","",CHAR(10))&amp;$A14,BR13)</f>
        <v/>
      </c>
      <c r="BS14" s="0" t="str">
        <f aca="false">IF(AND($B14="D10",$C14="G4"),BS13&amp;IF(BS13="","",CHAR(10))&amp;$A14,BS13)</f>
        <v/>
      </c>
      <c r="BT14" s="0" t="str">
        <f aca="false">IF(AND($B14="D10",$C14="G5"),BT13&amp;IF(BT13="","",CHAR(10))&amp;$A14,BT13)</f>
        <v/>
      </c>
      <c r="BU14" s="0" t="str">
        <f aca="false">IF(AND($B14="D10",$C14="G6"),BU13&amp;IF(BU13="","",CHAR(10))&amp;$A14,BU13)</f>
        <v/>
      </c>
      <c r="BX14" s="0" t="str">
        <f aca="false">IF(AND(03_能力總表_Master!$A14&lt;&gt;"",LEFT(03_能力總表_Master!$H14,2)="缺口"),MAX($BX$4:BX13)+1,"")</f>
        <v/>
      </c>
      <c r="BY14" s="0" t="str">
        <f aca="false">IF(AND(03_能力總表_Master!$A14&lt;&gt;"",03_能力總表_Master!$J14=12_夥伴視角_PartnerView!$C$4),MAX($BY$4:BY13)+1,"")</f>
        <v/>
      </c>
      <c r="BZ14" s="0" t="str">
        <f aca="false">IF(AND(05_法規門檻_Gates!$A14&lt;&gt;"",05_法規門檻_Gates!$E14="強制",05_法規門檻_Gates!$F14="待確認"),MAX($BZ$4:BZ13)+1,"")</f>
        <v/>
      </c>
      <c r="CA14" s="0" t="n">
        <f aca="false">IF(AND(08_風險清冊_Risk!$A14&lt;&gt;"",OR(08_風險清冊_Risk!$G14="極高",08_風險清冊_Risk!$G14="高")),MAX($CA$4:CA13)+1,"")</f>
        <v>10</v>
      </c>
      <c r="CB14" s="0" t="str">
        <f aca="false">IF(AND(14_商機清單_Pipeline!$A14&lt;&gt;"",OR(N(14_商機清單_Pipeline!$I14)&gt;0,N(14_商機清單_Pipeline!$F14)=0)),MAX($CB$4:CB13)+1,"")</f>
        <v/>
      </c>
      <c r="CC14" s="0" t="str">
        <f aca="false">IF(AND(03_能力總表_Master!$A14&lt;&gt;"",IFERROR(INDEX(16_能力商機矩陣_CapOppMap!$D14:$CO14,MATCH(LEFT(17_商機作戰卡_OppView!$C$4,6),16_能力商機矩陣_CapOppMap!$D$4:$CO$4,0)),"")="✓"),MAX($CC$4:CC13)+1,"")</f>
        <v/>
      </c>
    </row>
    <row r="15" customFormat="false" ht="79.85" hidden="false" customHeight="false" outlineLevel="0" collapsed="false">
      <c r="A15" s="0" t="str">
        <f aca="false">IF(03_能力總表_Master!$A15="","",IF(LEFT(03_能力總表_Master!$H15,2)="群晶","● ",IF(ISNUMBER(SEARCH("已確認",03_能力總表_Master!$H15)),"◆ ",IF(ISNUMBER(SEARCH("缺口",03_能力總表_Master!$H15)),"○ ","◐ ")))&amp;RIGHT(03_能力總表_Master!$A15,3)&amp;" "&amp;03_能力總表_Master!$E15)</f>
        <v>◐ 011 轉診與區域照護網絡</v>
      </c>
      <c r="B15" s="0" t="str">
        <f aca="false">IF(03_能力總表_Master!$A15="","",LEFT(03_能力總表_Master!$B15,3))</f>
        <v>D02</v>
      </c>
      <c r="C15" s="0" t="str">
        <f aca="false">IF(03_能力總表_Master!$A15="","",03_能力總表_Master!$C15)</f>
        <v>G1</v>
      </c>
      <c r="D15" s="363" t="str">
        <f aca="false">IF(AND($B15="D01",$C15="G0"),D14&amp;IF(D14="","",CHAR(10))&amp;$A15,D14)</f>
        <v>◐ 001 政府授權與計畫章程
◐ 002 利害關係人與權力地圖
◐ 005 聯盟治理與利益衝突</v>
      </c>
      <c r="E15" s="363" t="str">
        <f aca="false">IF(AND($B15="D01",$C15="G1"),E14&amp;IF(E14="","",CHAR(10))&amp;$A15,E14)</f>
        <v>◐ 003 交易模式選擇
◐ 004 法規與執照路徑</v>
      </c>
      <c r="F15" s="0" t="str">
        <f aca="false">IF(AND($B15="D01",$C15="G2"),F14&amp;IF(F14="","",CHAR(10))&amp;$A15,F14)</f>
        <v>◐ 006 績效契約與變更控制</v>
      </c>
      <c r="G15" s="0" t="str">
        <f aca="false">IF(AND($B15="D01",$C15="G3"),G14&amp;IF(G14="","",CHAR(10))&amp;$A15,G14)</f>
        <v/>
      </c>
      <c r="H15" s="0" t="str">
        <f aca="false">IF(AND($B15="D01",$C15="G4"),H14&amp;IF(H14="","",CHAR(10))&amp;$A15,H14)</f>
        <v/>
      </c>
      <c r="I15" s="0" t="str">
        <f aca="false">IF(AND($B15="D01",$C15="G5"),I14&amp;IF(I14="","",CHAR(10))&amp;$A15,I14)</f>
        <v/>
      </c>
      <c r="J15" s="0" t="str">
        <f aca="false">IF(AND($B15="D01",$C15="G6"),J14&amp;IF(J14="","",CHAR(10))&amp;$A15,J14)</f>
        <v/>
      </c>
      <c r="K15" s="0" t="str">
        <f aca="false">IF(AND($B15="D02",$C15="G0"),K14&amp;IF(K14="","",CHAR(10))&amp;$A15,K14)</f>
        <v/>
      </c>
      <c r="L15" s="363" t="str">
        <f aca="false">IF(AND($B15="D02",$C15="G1"),L14&amp;IF(L14="","",CHAR(10))&amp;$A15,L14)</f>
        <v>◐ 007 人口需求與病例量預測
◐ 008 醫院定位與服務組合
◐ 009 重點專科優先化
◐ 010 病人流程與容量設計
◐ 011 轉診與區域照護網絡</v>
      </c>
      <c r="M15" s="0" t="str">
        <f aca="false">IF(AND($B15="D02",$C15="G2"),M14&amp;IF(M14="","",CHAR(10))&amp;$A15,M14)</f>
        <v/>
      </c>
      <c r="N15" s="0" t="str">
        <f aca="false">IF(AND($B15="D02",$C15="G3"),N14&amp;IF(N14="","",CHAR(10))&amp;$A15,N14)</f>
        <v/>
      </c>
      <c r="O15" s="0" t="str">
        <f aca="false">IF(AND($B15="D02",$C15="G4"),O14&amp;IF(O14="","",CHAR(10))&amp;$A15,O14)</f>
        <v/>
      </c>
      <c r="P15" s="0" t="str">
        <f aca="false">IF(AND($B15="D02",$C15="G5"),P14&amp;IF(P14="","",CHAR(10))&amp;$A15,P14)</f>
        <v/>
      </c>
      <c r="Q15" s="0" t="str">
        <f aca="false">IF(AND($B15="D02",$C15="G6"),Q14&amp;IF(Q14="","",CHAR(10))&amp;$A15,Q14)</f>
        <v/>
      </c>
      <c r="R15" s="0" t="str">
        <f aca="false">IF(AND($B15="D03",$C15="G0"),R14&amp;IF(R14="","",CHAR(10))&amp;$A15,R14)</f>
        <v/>
      </c>
      <c r="S15" s="0" t="str">
        <f aca="false">IF(AND($B15="D03",$C15="G1"),S14&amp;IF(S14="","",CHAR(10))&amp;$A15,S14)</f>
        <v/>
      </c>
      <c r="T15" s="0" t="str">
        <f aca="false">IF(AND($B15="D03",$C15="G2"),T14&amp;IF(T14="","",CHAR(10))&amp;$A15,T14)</f>
        <v/>
      </c>
      <c r="U15" s="0" t="str">
        <f aca="false">IF(AND($B15="D03",$C15="G3"),U14&amp;IF(U14="","",CHAR(10))&amp;$A15,U14)</f>
        <v/>
      </c>
      <c r="V15" s="0" t="str">
        <f aca="false">IF(AND($B15="D03",$C15="G4"),V14&amp;IF(V14="","",CHAR(10))&amp;$A15,V14)</f>
        <v/>
      </c>
      <c r="W15" s="0" t="str">
        <f aca="false">IF(AND($B15="D03",$C15="G5"),W14&amp;IF(W14="","",CHAR(10))&amp;$A15,W14)</f>
        <v/>
      </c>
      <c r="X15" s="0" t="str">
        <f aca="false">IF(AND($B15="D03",$C15="G6"),X14&amp;IF(X14="","",CHAR(10))&amp;$A15,X14)</f>
        <v/>
      </c>
      <c r="Y15" s="0" t="str">
        <f aca="false">IF(AND($B15="D04",$C15="G0"),Y14&amp;IF(Y14="","",CHAR(10))&amp;$A15,Y14)</f>
        <v/>
      </c>
      <c r="Z15" s="0" t="str">
        <f aca="false">IF(AND($B15="D04",$C15="G1"),Z14&amp;IF(Z14="","",CHAR(10))&amp;$A15,Z14)</f>
        <v/>
      </c>
      <c r="AA15" s="0" t="str">
        <f aca="false">IF(AND($B15="D04",$C15="G2"),AA14&amp;IF(AA14="","",CHAR(10))&amp;$A15,AA14)</f>
        <v/>
      </c>
      <c r="AB15" s="0" t="str">
        <f aca="false">IF(AND($B15="D04",$C15="G3"),AB14&amp;IF(AB14="","",CHAR(10))&amp;$A15,AB14)</f>
        <v/>
      </c>
      <c r="AC15" s="0" t="str">
        <f aca="false">IF(AND($B15="D04",$C15="G4"),AC14&amp;IF(AC14="","",CHAR(10))&amp;$A15,AC14)</f>
        <v/>
      </c>
      <c r="AD15" s="0" t="str">
        <f aca="false">IF(AND($B15="D04",$C15="G5"),AD14&amp;IF(AD14="","",CHAR(10))&amp;$A15,AD14)</f>
        <v/>
      </c>
      <c r="AE15" s="0" t="str">
        <f aca="false">IF(AND($B15="D04",$C15="G6"),AE14&amp;IF(AE14="","",CHAR(10))&amp;$A15,AE14)</f>
        <v/>
      </c>
      <c r="AF15" s="0" t="str">
        <f aca="false">IF(AND($B15="D05",$C15="G0"),AF14&amp;IF(AF14="","",CHAR(10))&amp;$A15,AF14)</f>
        <v/>
      </c>
      <c r="AG15" s="0" t="str">
        <f aca="false">IF(AND($B15="D05",$C15="G1"),AG14&amp;IF(AG14="","",CHAR(10))&amp;$A15,AG14)</f>
        <v/>
      </c>
      <c r="AH15" s="0" t="str">
        <f aca="false">IF(AND($B15="D05",$C15="G2"),AH14&amp;IF(AH14="","",CHAR(10))&amp;$A15,AH14)</f>
        <v/>
      </c>
      <c r="AI15" s="0" t="str">
        <f aca="false">IF(AND($B15="D05",$C15="G3"),AI14&amp;IF(AI14="","",CHAR(10))&amp;$A15,AI14)</f>
        <v/>
      </c>
      <c r="AJ15" s="0" t="str">
        <f aca="false">IF(AND($B15="D05",$C15="G4"),AJ14&amp;IF(AJ14="","",CHAR(10))&amp;$A15,AJ14)</f>
        <v/>
      </c>
      <c r="AK15" s="0" t="str">
        <f aca="false">IF(AND($B15="D05",$C15="G5"),AK14&amp;IF(AK14="","",CHAR(10))&amp;$A15,AK14)</f>
        <v/>
      </c>
      <c r="AL15" s="0" t="str">
        <f aca="false">IF(AND($B15="D05",$C15="G6"),AL14&amp;IF(AL14="","",CHAR(10))&amp;$A15,AL14)</f>
        <v/>
      </c>
      <c r="AM15" s="0" t="str">
        <f aca="false">IF(AND($B15="D06",$C15="G0"),AM14&amp;IF(AM14="","",CHAR(10))&amp;$A15,AM14)</f>
        <v/>
      </c>
      <c r="AN15" s="0" t="str">
        <f aca="false">IF(AND($B15="D06",$C15="G1"),AN14&amp;IF(AN14="","",CHAR(10))&amp;$A15,AN14)</f>
        <v/>
      </c>
      <c r="AO15" s="0" t="str">
        <f aca="false">IF(AND($B15="D06",$C15="G2"),AO14&amp;IF(AO14="","",CHAR(10))&amp;$A15,AO14)</f>
        <v/>
      </c>
      <c r="AP15" s="0" t="str">
        <f aca="false">IF(AND($B15="D06",$C15="G3"),AP14&amp;IF(AP14="","",CHAR(10))&amp;$A15,AP14)</f>
        <v/>
      </c>
      <c r="AQ15" s="0" t="str">
        <f aca="false">IF(AND($B15="D06",$C15="G4"),AQ14&amp;IF(AQ14="","",CHAR(10))&amp;$A15,AQ14)</f>
        <v/>
      </c>
      <c r="AR15" s="0" t="str">
        <f aca="false">IF(AND($B15="D06",$C15="G5"),AR14&amp;IF(AR14="","",CHAR(10))&amp;$A15,AR14)</f>
        <v/>
      </c>
      <c r="AS15" s="0" t="str">
        <f aca="false">IF(AND($B15="D06",$C15="G6"),AS14&amp;IF(AS14="","",CHAR(10))&amp;$A15,AS14)</f>
        <v/>
      </c>
      <c r="AT15" s="0" t="str">
        <f aca="false">IF(AND($B15="D07",$C15="G0"),AT14&amp;IF(AT14="","",CHAR(10))&amp;$A15,AT14)</f>
        <v/>
      </c>
      <c r="AU15" s="0" t="str">
        <f aca="false">IF(AND($B15="D07",$C15="G1"),AU14&amp;IF(AU14="","",CHAR(10))&amp;$A15,AU14)</f>
        <v/>
      </c>
      <c r="AV15" s="0" t="str">
        <f aca="false">IF(AND($B15="D07",$C15="G2"),AV14&amp;IF(AV14="","",CHAR(10))&amp;$A15,AV14)</f>
        <v/>
      </c>
      <c r="AW15" s="0" t="str">
        <f aca="false">IF(AND($B15="D07",$C15="G3"),AW14&amp;IF(AW14="","",CHAR(10))&amp;$A15,AW14)</f>
        <v/>
      </c>
      <c r="AX15" s="0" t="str">
        <f aca="false">IF(AND($B15="D07",$C15="G4"),AX14&amp;IF(AX14="","",CHAR(10))&amp;$A15,AX14)</f>
        <v/>
      </c>
      <c r="AY15" s="0" t="str">
        <f aca="false">IF(AND($B15="D07",$C15="G5"),AY14&amp;IF(AY14="","",CHAR(10))&amp;$A15,AY14)</f>
        <v/>
      </c>
      <c r="AZ15" s="0" t="str">
        <f aca="false">IF(AND($B15="D07",$C15="G6"),AZ14&amp;IF(AZ14="","",CHAR(10))&amp;$A15,AZ14)</f>
        <v/>
      </c>
      <c r="BA15" s="0" t="str">
        <f aca="false">IF(AND($B15="D08",$C15="G0"),BA14&amp;IF(BA14="","",CHAR(10))&amp;$A15,BA14)</f>
        <v/>
      </c>
      <c r="BB15" s="0" t="str">
        <f aca="false">IF(AND($B15="D08",$C15="G1"),BB14&amp;IF(BB14="","",CHAR(10))&amp;$A15,BB14)</f>
        <v/>
      </c>
      <c r="BC15" s="0" t="str">
        <f aca="false">IF(AND($B15="D08",$C15="G2"),BC14&amp;IF(BC14="","",CHAR(10))&amp;$A15,BC14)</f>
        <v/>
      </c>
      <c r="BD15" s="0" t="str">
        <f aca="false">IF(AND($B15="D08",$C15="G3"),BD14&amp;IF(BD14="","",CHAR(10))&amp;$A15,BD14)</f>
        <v/>
      </c>
      <c r="BE15" s="0" t="str">
        <f aca="false">IF(AND($B15="D08",$C15="G4"),BE14&amp;IF(BE14="","",CHAR(10))&amp;$A15,BE14)</f>
        <v/>
      </c>
      <c r="BF15" s="0" t="str">
        <f aca="false">IF(AND($B15="D08",$C15="G5"),BF14&amp;IF(BF14="","",CHAR(10))&amp;$A15,BF14)</f>
        <v/>
      </c>
      <c r="BG15" s="0" t="str">
        <f aca="false">IF(AND($B15="D08",$C15="G6"),BG14&amp;IF(BG14="","",CHAR(10))&amp;$A15,BG14)</f>
        <v/>
      </c>
      <c r="BH15" s="0" t="str">
        <f aca="false">IF(AND($B15="D09",$C15="G0"),BH14&amp;IF(BH14="","",CHAR(10))&amp;$A15,BH14)</f>
        <v/>
      </c>
      <c r="BI15" s="0" t="str">
        <f aca="false">IF(AND($B15="D09",$C15="G1"),BI14&amp;IF(BI14="","",CHAR(10))&amp;$A15,BI14)</f>
        <v/>
      </c>
      <c r="BJ15" s="0" t="str">
        <f aca="false">IF(AND($B15="D09",$C15="G2"),BJ14&amp;IF(BJ14="","",CHAR(10))&amp;$A15,BJ14)</f>
        <v/>
      </c>
      <c r="BK15" s="0" t="str">
        <f aca="false">IF(AND($B15="D09",$C15="G3"),BK14&amp;IF(BK14="","",CHAR(10))&amp;$A15,BK14)</f>
        <v/>
      </c>
      <c r="BL15" s="0" t="str">
        <f aca="false">IF(AND($B15="D09",$C15="G4"),BL14&amp;IF(BL14="","",CHAR(10))&amp;$A15,BL14)</f>
        <v/>
      </c>
      <c r="BM15" s="0" t="str">
        <f aca="false">IF(AND($B15="D09",$C15="G5"),BM14&amp;IF(BM14="","",CHAR(10))&amp;$A15,BM14)</f>
        <v/>
      </c>
      <c r="BN15" s="0" t="str">
        <f aca="false">IF(AND($B15="D09",$C15="G6"),BN14&amp;IF(BN14="","",CHAR(10))&amp;$A15,BN14)</f>
        <v/>
      </c>
      <c r="BO15" s="0" t="str">
        <f aca="false">IF(AND($B15="D10",$C15="G0"),BO14&amp;IF(BO14="","",CHAR(10))&amp;$A15,BO14)</f>
        <v/>
      </c>
      <c r="BP15" s="0" t="str">
        <f aca="false">IF(AND($B15="D10",$C15="G1"),BP14&amp;IF(BP14="","",CHAR(10))&amp;$A15,BP14)</f>
        <v/>
      </c>
      <c r="BQ15" s="0" t="str">
        <f aca="false">IF(AND($B15="D10",$C15="G2"),BQ14&amp;IF(BQ14="","",CHAR(10))&amp;$A15,BQ14)</f>
        <v/>
      </c>
      <c r="BR15" s="0" t="str">
        <f aca="false">IF(AND($B15="D10",$C15="G3"),BR14&amp;IF(BR14="","",CHAR(10))&amp;$A15,BR14)</f>
        <v/>
      </c>
      <c r="BS15" s="0" t="str">
        <f aca="false">IF(AND($B15="D10",$C15="G4"),BS14&amp;IF(BS14="","",CHAR(10))&amp;$A15,BS14)</f>
        <v/>
      </c>
      <c r="BT15" s="0" t="str">
        <f aca="false">IF(AND($B15="D10",$C15="G5"),BT14&amp;IF(BT14="","",CHAR(10))&amp;$A15,BT14)</f>
        <v/>
      </c>
      <c r="BU15" s="0" t="str">
        <f aca="false">IF(AND($B15="D10",$C15="G6"),BU14&amp;IF(BU14="","",CHAR(10))&amp;$A15,BU14)</f>
        <v/>
      </c>
      <c r="BX15" s="0" t="str">
        <f aca="false">IF(AND(03_能力總表_Master!$A15&lt;&gt;"",LEFT(03_能力總表_Master!$H15,2)="缺口"),MAX($BX$4:BX14)+1,"")</f>
        <v/>
      </c>
      <c r="BY15" s="0" t="str">
        <f aca="false">IF(AND(03_能力總表_Master!$A15&lt;&gt;"",03_能力總表_Master!$J15=12_夥伴視角_PartnerView!$C$4),MAX($BY$4:BY14)+1,"")</f>
        <v/>
      </c>
      <c r="BZ15" s="0" t="str">
        <f aca="false">IF(AND(05_法規門檻_Gates!$A15&lt;&gt;"",05_法規門檻_Gates!$E15="強制",05_法規門檻_Gates!$F15="待確認"),MAX($BZ$4:BZ14)+1,"")</f>
        <v/>
      </c>
      <c r="CA15" s="0" t="n">
        <f aca="false">IF(AND(08_風險清冊_Risk!$A15&lt;&gt;"",OR(08_風險清冊_Risk!$G15="極高",08_風險清冊_Risk!$G15="高")),MAX($CA$4:CA14)+1,"")</f>
        <v>11</v>
      </c>
      <c r="CB15" s="0" t="str">
        <f aca="false">IF(AND(14_商機清單_Pipeline!$A15&lt;&gt;"",OR(N(14_商機清單_Pipeline!$I15)&gt;0,N(14_商機清單_Pipeline!$F15)=0)),MAX($CB$4:CB14)+1,"")</f>
        <v/>
      </c>
      <c r="CC15" s="0" t="str">
        <f aca="false">IF(AND(03_能力總表_Master!$A15&lt;&gt;"",IFERROR(INDEX(16_能力商機矩陣_CapOppMap!$D15:$CO15,MATCH(LEFT(17_商機作戰卡_OppView!$C$4,6),16_能力商機矩陣_CapOppMap!$D$4:$CO$4,0)),"")="✓"),MAX($CC$4:CC14)+1,"")</f>
        <v/>
      </c>
    </row>
    <row r="16" customFormat="false" ht="95.5" hidden="false" customHeight="false" outlineLevel="0" collapsed="false">
      <c r="A16" s="0" t="str">
        <f aca="false">IF(03_能力總表_Master!$A16="","",IF(LEFT(03_能力總表_Master!$H16,2)="群晶","● ",IF(ISNUMBER(SEARCH("已確認",03_能力總表_Master!$H16)),"◆ ",IF(ISNUMBER(SEARCH("缺口",03_能力總表_Master!$H16)),"○ ","◐ ")))&amp;RIGHT(03_能力總表_Master!$A16,3)&amp;" "&amp;03_能力總表_Master!$E16)</f>
        <v>◐ 012 臨床治理與責任架構</v>
      </c>
      <c r="B16" s="0" t="str">
        <f aca="false">IF(03_能力總表_Master!$A16="","",LEFT(03_能力總表_Master!$B16,3))</f>
        <v>D02</v>
      </c>
      <c r="C16" s="0" t="str">
        <f aca="false">IF(03_能力總表_Master!$A16="","",03_能力總表_Master!$C16)</f>
        <v>G1</v>
      </c>
      <c r="D16" s="363" t="str">
        <f aca="false">IF(AND($B16="D01",$C16="G0"),D15&amp;IF(D15="","",CHAR(10))&amp;$A16,D15)</f>
        <v>◐ 001 政府授權與計畫章程
◐ 002 利害關係人與權力地圖
◐ 005 聯盟治理與利益衝突</v>
      </c>
      <c r="E16" s="363" t="str">
        <f aca="false">IF(AND($B16="D01",$C16="G1"),E15&amp;IF(E15="","",CHAR(10))&amp;$A16,E15)</f>
        <v>◐ 003 交易模式選擇
◐ 004 法規與執照路徑</v>
      </c>
      <c r="F16" s="0" t="str">
        <f aca="false">IF(AND($B16="D01",$C16="G2"),F15&amp;IF(F15="","",CHAR(10))&amp;$A16,F15)</f>
        <v>◐ 006 績效契約與變更控制</v>
      </c>
      <c r="G16" s="0" t="str">
        <f aca="false">IF(AND($B16="D01",$C16="G3"),G15&amp;IF(G15="","",CHAR(10))&amp;$A16,G15)</f>
        <v/>
      </c>
      <c r="H16" s="0" t="str">
        <f aca="false">IF(AND($B16="D01",$C16="G4"),H15&amp;IF(H15="","",CHAR(10))&amp;$A16,H15)</f>
        <v/>
      </c>
      <c r="I16" s="0" t="str">
        <f aca="false">IF(AND($B16="D01",$C16="G5"),I15&amp;IF(I15="","",CHAR(10))&amp;$A16,I15)</f>
        <v/>
      </c>
      <c r="J16" s="0" t="str">
        <f aca="false">IF(AND($B16="D01",$C16="G6"),J15&amp;IF(J15="","",CHAR(10))&amp;$A16,J15)</f>
        <v/>
      </c>
      <c r="K16" s="0" t="str">
        <f aca="false">IF(AND($B16="D02",$C16="G0"),K15&amp;IF(K15="","",CHAR(10))&amp;$A16,K15)</f>
        <v/>
      </c>
      <c r="L16" s="363" t="str">
        <f aca="false">IF(AND($B16="D02",$C16="G1"),L15&amp;IF(L15="","",CHAR(10))&amp;$A16,L15)</f>
        <v>◐ 007 人口需求與病例量預測
◐ 008 醫院定位與服務組合
◐ 009 重點專科優先化
◐ 010 病人流程與容量設計
◐ 011 轉診與區域照護網絡
◐ 012 臨床治理與責任架構</v>
      </c>
      <c r="M16" s="0" t="str">
        <f aca="false">IF(AND($B16="D02",$C16="G2"),M15&amp;IF(M15="","",CHAR(10))&amp;$A16,M15)</f>
        <v/>
      </c>
      <c r="N16" s="0" t="str">
        <f aca="false">IF(AND($B16="D02",$C16="G3"),N15&amp;IF(N15="","",CHAR(10))&amp;$A16,N15)</f>
        <v/>
      </c>
      <c r="O16" s="0" t="str">
        <f aca="false">IF(AND($B16="D02",$C16="G4"),O15&amp;IF(O15="","",CHAR(10))&amp;$A16,O15)</f>
        <v/>
      </c>
      <c r="P16" s="0" t="str">
        <f aca="false">IF(AND($B16="D02",$C16="G5"),P15&amp;IF(P15="","",CHAR(10))&amp;$A16,P15)</f>
        <v/>
      </c>
      <c r="Q16" s="0" t="str">
        <f aca="false">IF(AND($B16="D02",$C16="G6"),Q15&amp;IF(Q15="","",CHAR(10))&amp;$A16,Q15)</f>
        <v/>
      </c>
      <c r="R16" s="0" t="str">
        <f aca="false">IF(AND($B16="D03",$C16="G0"),R15&amp;IF(R15="","",CHAR(10))&amp;$A16,R15)</f>
        <v/>
      </c>
      <c r="S16" s="0" t="str">
        <f aca="false">IF(AND($B16="D03",$C16="G1"),S15&amp;IF(S15="","",CHAR(10))&amp;$A16,S15)</f>
        <v/>
      </c>
      <c r="T16" s="0" t="str">
        <f aca="false">IF(AND($B16="D03",$C16="G2"),T15&amp;IF(T15="","",CHAR(10))&amp;$A16,T15)</f>
        <v/>
      </c>
      <c r="U16" s="0" t="str">
        <f aca="false">IF(AND($B16="D03",$C16="G3"),U15&amp;IF(U15="","",CHAR(10))&amp;$A16,U15)</f>
        <v/>
      </c>
      <c r="V16" s="0" t="str">
        <f aca="false">IF(AND($B16="D03",$C16="G4"),V15&amp;IF(V15="","",CHAR(10))&amp;$A16,V15)</f>
        <v/>
      </c>
      <c r="W16" s="0" t="str">
        <f aca="false">IF(AND($B16="D03",$C16="G5"),W15&amp;IF(W15="","",CHAR(10))&amp;$A16,W15)</f>
        <v/>
      </c>
      <c r="X16" s="0" t="str">
        <f aca="false">IF(AND($B16="D03",$C16="G6"),X15&amp;IF(X15="","",CHAR(10))&amp;$A16,X15)</f>
        <v/>
      </c>
      <c r="Y16" s="0" t="str">
        <f aca="false">IF(AND($B16="D04",$C16="G0"),Y15&amp;IF(Y15="","",CHAR(10))&amp;$A16,Y15)</f>
        <v/>
      </c>
      <c r="Z16" s="0" t="str">
        <f aca="false">IF(AND($B16="D04",$C16="G1"),Z15&amp;IF(Z15="","",CHAR(10))&amp;$A16,Z15)</f>
        <v/>
      </c>
      <c r="AA16" s="0" t="str">
        <f aca="false">IF(AND($B16="D04",$C16="G2"),AA15&amp;IF(AA15="","",CHAR(10))&amp;$A16,AA15)</f>
        <v/>
      </c>
      <c r="AB16" s="0" t="str">
        <f aca="false">IF(AND($B16="D04",$C16="G3"),AB15&amp;IF(AB15="","",CHAR(10))&amp;$A16,AB15)</f>
        <v/>
      </c>
      <c r="AC16" s="0" t="str">
        <f aca="false">IF(AND($B16="D04",$C16="G4"),AC15&amp;IF(AC15="","",CHAR(10))&amp;$A16,AC15)</f>
        <v/>
      </c>
      <c r="AD16" s="0" t="str">
        <f aca="false">IF(AND($B16="D04",$C16="G5"),AD15&amp;IF(AD15="","",CHAR(10))&amp;$A16,AD15)</f>
        <v/>
      </c>
      <c r="AE16" s="0" t="str">
        <f aca="false">IF(AND($B16="D04",$C16="G6"),AE15&amp;IF(AE15="","",CHAR(10))&amp;$A16,AE15)</f>
        <v/>
      </c>
      <c r="AF16" s="0" t="str">
        <f aca="false">IF(AND($B16="D05",$C16="G0"),AF15&amp;IF(AF15="","",CHAR(10))&amp;$A16,AF15)</f>
        <v/>
      </c>
      <c r="AG16" s="0" t="str">
        <f aca="false">IF(AND($B16="D05",$C16="G1"),AG15&amp;IF(AG15="","",CHAR(10))&amp;$A16,AG15)</f>
        <v/>
      </c>
      <c r="AH16" s="0" t="str">
        <f aca="false">IF(AND($B16="D05",$C16="G2"),AH15&amp;IF(AH15="","",CHAR(10))&amp;$A16,AH15)</f>
        <v/>
      </c>
      <c r="AI16" s="0" t="str">
        <f aca="false">IF(AND($B16="D05",$C16="G3"),AI15&amp;IF(AI15="","",CHAR(10))&amp;$A16,AI15)</f>
        <v/>
      </c>
      <c r="AJ16" s="0" t="str">
        <f aca="false">IF(AND($B16="D05",$C16="G4"),AJ15&amp;IF(AJ15="","",CHAR(10))&amp;$A16,AJ15)</f>
        <v/>
      </c>
      <c r="AK16" s="0" t="str">
        <f aca="false">IF(AND($B16="D05",$C16="G5"),AK15&amp;IF(AK15="","",CHAR(10))&amp;$A16,AK15)</f>
        <v/>
      </c>
      <c r="AL16" s="0" t="str">
        <f aca="false">IF(AND($B16="D05",$C16="G6"),AL15&amp;IF(AL15="","",CHAR(10))&amp;$A16,AL15)</f>
        <v/>
      </c>
      <c r="AM16" s="0" t="str">
        <f aca="false">IF(AND($B16="D06",$C16="G0"),AM15&amp;IF(AM15="","",CHAR(10))&amp;$A16,AM15)</f>
        <v/>
      </c>
      <c r="AN16" s="0" t="str">
        <f aca="false">IF(AND($B16="D06",$C16="G1"),AN15&amp;IF(AN15="","",CHAR(10))&amp;$A16,AN15)</f>
        <v/>
      </c>
      <c r="AO16" s="0" t="str">
        <f aca="false">IF(AND($B16="D06",$C16="G2"),AO15&amp;IF(AO15="","",CHAR(10))&amp;$A16,AO15)</f>
        <v/>
      </c>
      <c r="AP16" s="0" t="str">
        <f aca="false">IF(AND($B16="D06",$C16="G3"),AP15&amp;IF(AP15="","",CHAR(10))&amp;$A16,AP15)</f>
        <v/>
      </c>
      <c r="AQ16" s="0" t="str">
        <f aca="false">IF(AND($B16="D06",$C16="G4"),AQ15&amp;IF(AQ15="","",CHAR(10))&amp;$A16,AQ15)</f>
        <v/>
      </c>
      <c r="AR16" s="0" t="str">
        <f aca="false">IF(AND($B16="D06",$C16="G5"),AR15&amp;IF(AR15="","",CHAR(10))&amp;$A16,AR15)</f>
        <v/>
      </c>
      <c r="AS16" s="0" t="str">
        <f aca="false">IF(AND($B16="D06",$C16="G6"),AS15&amp;IF(AS15="","",CHAR(10))&amp;$A16,AS15)</f>
        <v/>
      </c>
      <c r="AT16" s="0" t="str">
        <f aca="false">IF(AND($B16="D07",$C16="G0"),AT15&amp;IF(AT15="","",CHAR(10))&amp;$A16,AT15)</f>
        <v/>
      </c>
      <c r="AU16" s="0" t="str">
        <f aca="false">IF(AND($B16="D07",$C16="G1"),AU15&amp;IF(AU15="","",CHAR(10))&amp;$A16,AU15)</f>
        <v/>
      </c>
      <c r="AV16" s="0" t="str">
        <f aca="false">IF(AND($B16="D07",$C16="G2"),AV15&amp;IF(AV15="","",CHAR(10))&amp;$A16,AV15)</f>
        <v/>
      </c>
      <c r="AW16" s="0" t="str">
        <f aca="false">IF(AND($B16="D07",$C16="G3"),AW15&amp;IF(AW15="","",CHAR(10))&amp;$A16,AW15)</f>
        <v/>
      </c>
      <c r="AX16" s="0" t="str">
        <f aca="false">IF(AND($B16="D07",$C16="G4"),AX15&amp;IF(AX15="","",CHAR(10))&amp;$A16,AX15)</f>
        <v/>
      </c>
      <c r="AY16" s="0" t="str">
        <f aca="false">IF(AND($B16="D07",$C16="G5"),AY15&amp;IF(AY15="","",CHAR(10))&amp;$A16,AY15)</f>
        <v/>
      </c>
      <c r="AZ16" s="0" t="str">
        <f aca="false">IF(AND($B16="D07",$C16="G6"),AZ15&amp;IF(AZ15="","",CHAR(10))&amp;$A16,AZ15)</f>
        <v/>
      </c>
      <c r="BA16" s="0" t="str">
        <f aca="false">IF(AND($B16="D08",$C16="G0"),BA15&amp;IF(BA15="","",CHAR(10))&amp;$A16,BA15)</f>
        <v/>
      </c>
      <c r="BB16" s="0" t="str">
        <f aca="false">IF(AND($B16="D08",$C16="G1"),BB15&amp;IF(BB15="","",CHAR(10))&amp;$A16,BB15)</f>
        <v/>
      </c>
      <c r="BC16" s="0" t="str">
        <f aca="false">IF(AND($B16="D08",$C16="G2"),BC15&amp;IF(BC15="","",CHAR(10))&amp;$A16,BC15)</f>
        <v/>
      </c>
      <c r="BD16" s="0" t="str">
        <f aca="false">IF(AND($B16="D08",$C16="G3"),BD15&amp;IF(BD15="","",CHAR(10))&amp;$A16,BD15)</f>
        <v/>
      </c>
      <c r="BE16" s="0" t="str">
        <f aca="false">IF(AND($B16="D08",$C16="G4"),BE15&amp;IF(BE15="","",CHAR(10))&amp;$A16,BE15)</f>
        <v/>
      </c>
      <c r="BF16" s="0" t="str">
        <f aca="false">IF(AND($B16="D08",$C16="G5"),BF15&amp;IF(BF15="","",CHAR(10))&amp;$A16,BF15)</f>
        <v/>
      </c>
      <c r="BG16" s="0" t="str">
        <f aca="false">IF(AND($B16="D08",$C16="G6"),BG15&amp;IF(BG15="","",CHAR(10))&amp;$A16,BG15)</f>
        <v/>
      </c>
      <c r="BH16" s="0" t="str">
        <f aca="false">IF(AND($B16="D09",$C16="G0"),BH15&amp;IF(BH15="","",CHAR(10))&amp;$A16,BH15)</f>
        <v/>
      </c>
      <c r="BI16" s="0" t="str">
        <f aca="false">IF(AND($B16="D09",$C16="G1"),BI15&amp;IF(BI15="","",CHAR(10))&amp;$A16,BI15)</f>
        <v/>
      </c>
      <c r="BJ16" s="0" t="str">
        <f aca="false">IF(AND($B16="D09",$C16="G2"),BJ15&amp;IF(BJ15="","",CHAR(10))&amp;$A16,BJ15)</f>
        <v/>
      </c>
      <c r="BK16" s="0" t="str">
        <f aca="false">IF(AND($B16="D09",$C16="G3"),BK15&amp;IF(BK15="","",CHAR(10))&amp;$A16,BK15)</f>
        <v/>
      </c>
      <c r="BL16" s="0" t="str">
        <f aca="false">IF(AND($B16="D09",$C16="G4"),BL15&amp;IF(BL15="","",CHAR(10))&amp;$A16,BL15)</f>
        <v/>
      </c>
      <c r="BM16" s="0" t="str">
        <f aca="false">IF(AND($B16="D09",$C16="G5"),BM15&amp;IF(BM15="","",CHAR(10))&amp;$A16,BM15)</f>
        <v/>
      </c>
      <c r="BN16" s="0" t="str">
        <f aca="false">IF(AND($B16="D09",$C16="G6"),BN15&amp;IF(BN15="","",CHAR(10))&amp;$A16,BN15)</f>
        <v/>
      </c>
      <c r="BO16" s="0" t="str">
        <f aca="false">IF(AND($B16="D10",$C16="G0"),BO15&amp;IF(BO15="","",CHAR(10))&amp;$A16,BO15)</f>
        <v/>
      </c>
      <c r="BP16" s="0" t="str">
        <f aca="false">IF(AND($B16="D10",$C16="G1"),BP15&amp;IF(BP15="","",CHAR(10))&amp;$A16,BP15)</f>
        <v/>
      </c>
      <c r="BQ16" s="0" t="str">
        <f aca="false">IF(AND($B16="D10",$C16="G2"),BQ15&amp;IF(BQ15="","",CHAR(10))&amp;$A16,BQ15)</f>
        <v/>
      </c>
      <c r="BR16" s="0" t="str">
        <f aca="false">IF(AND($B16="D10",$C16="G3"),BR15&amp;IF(BR15="","",CHAR(10))&amp;$A16,BR15)</f>
        <v/>
      </c>
      <c r="BS16" s="0" t="str">
        <f aca="false">IF(AND($B16="D10",$C16="G4"),BS15&amp;IF(BS15="","",CHAR(10))&amp;$A16,BS15)</f>
        <v/>
      </c>
      <c r="BT16" s="0" t="str">
        <f aca="false">IF(AND($B16="D10",$C16="G5"),BT15&amp;IF(BT15="","",CHAR(10))&amp;$A16,BT15)</f>
        <v/>
      </c>
      <c r="BU16" s="0" t="str">
        <f aca="false">IF(AND($B16="D10",$C16="G6"),BU15&amp;IF(BU15="","",CHAR(10))&amp;$A16,BU15)</f>
        <v/>
      </c>
      <c r="BX16" s="0" t="str">
        <f aca="false">IF(AND(03_能力總表_Master!$A16&lt;&gt;"",LEFT(03_能力總表_Master!$H16,2)="缺口"),MAX($BX$4:BX15)+1,"")</f>
        <v/>
      </c>
      <c r="BY16" s="0" t="str">
        <f aca="false">IF(AND(03_能力總表_Master!$A16&lt;&gt;"",03_能力總表_Master!$J16=12_夥伴視角_PartnerView!$C$4),MAX($BY$4:BY15)+1,"")</f>
        <v/>
      </c>
      <c r="BZ16" s="0" t="str">
        <f aca="false">IF(AND(05_法規門檻_Gates!$A16&lt;&gt;"",05_法規門檻_Gates!$E16="強制",05_法規門檻_Gates!$F16="待確認"),MAX($BZ$4:BZ15)+1,"")</f>
        <v/>
      </c>
      <c r="CA16" s="0" t="n">
        <f aca="false">IF(AND(08_風險清冊_Risk!$A16&lt;&gt;"",OR(08_風險清冊_Risk!$G16="極高",08_風險清冊_Risk!$G16="高")),MAX($CA$4:CA15)+1,"")</f>
        <v>12</v>
      </c>
      <c r="CB16" s="0" t="str">
        <f aca="false">IF(AND(14_商機清單_Pipeline!$A16&lt;&gt;"",OR(N(14_商機清單_Pipeline!$I16)&gt;0,N(14_商機清單_Pipeline!$F16)=0)),MAX($CB$4:CB15)+1,"")</f>
        <v/>
      </c>
      <c r="CC16" s="0" t="str">
        <f aca="false">IF(AND(03_能力總表_Master!$A16&lt;&gt;"",IFERROR(INDEX(16_能力商機矩陣_CapOppMap!$D16:$CO16,MATCH(LEFT(17_商機作戰卡_OppView!$C$4,6),16_能力商機矩陣_CapOppMap!$D$4:$CO$4,0)),"")="✓"),MAX($CC$4:CC15)+1,"")</f>
        <v/>
      </c>
    </row>
    <row r="17" customFormat="false" ht="95.5" hidden="false" customHeight="false" outlineLevel="0" collapsed="false">
      <c r="A17" s="0" t="str">
        <f aca="false">IF(03_能力總表_Master!$A17="","",IF(LEFT(03_能力總表_Master!$H17,2)="群晶","● ",IF(ISNUMBER(SEARCH("已確認",03_能力總表_Master!$H17)),"◆ ",IF(ISNUMBER(SEARCH("缺口",03_能力總表_Master!$H17)),"○ ","◐ ")))&amp;RIGHT(03_能力總表_Master!$A17,3)&amp;" "&amp;03_能力總表_Master!$E17)</f>
        <v>◐ 013 場址與醫院總體規劃</v>
      </c>
      <c r="B17" s="0" t="str">
        <f aca="false">IF(03_能力總表_Master!$A17="","",LEFT(03_能力總表_Master!$B17,3))</f>
        <v>D03</v>
      </c>
      <c r="C17" s="0" t="str">
        <f aca="false">IF(03_能力總表_Master!$A17="","",03_能力總表_Master!$C17)</f>
        <v>G1</v>
      </c>
      <c r="D17" s="363" t="str">
        <f aca="false">IF(AND($B17="D01",$C17="G0"),D16&amp;IF(D16="","",CHAR(10))&amp;$A17,D16)</f>
        <v>◐ 001 政府授權與計畫章程
◐ 002 利害關係人與權力地圖
◐ 005 聯盟治理與利益衝突</v>
      </c>
      <c r="E17" s="363" t="str">
        <f aca="false">IF(AND($B17="D01",$C17="G1"),E16&amp;IF(E16="","",CHAR(10))&amp;$A17,E16)</f>
        <v>◐ 003 交易模式選擇
◐ 004 法規與執照路徑</v>
      </c>
      <c r="F17" s="0" t="str">
        <f aca="false">IF(AND($B17="D01",$C17="G2"),F16&amp;IF(F16="","",CHAR(10))&amp;$A17,F16)</f>
        <v>◐ 006 績效契約與變更控制</v>
      </c>
      <c r="G17" s="0" t="str">
        <f aca="false">IF(AND($B17="D01",$C17="G3"),G16&amp;IF(G16="","",CHAR(10))&amp;$A17,G16)</f>
        <v/>
      </c>
      <c r="H17" s="0" t="str">
        <f aca="false">IF(AND($B17="D01",$C17="G4"),H16&amp;IF(H16="","",CHAR(10))&amp;$A17,H16)</f>
        <v/>
      </c>
      <c r="I17" s="0" t="str">
        <f aca="false">IF(AND($B17="D01",$C17="G5"),I16&amp;IF(I16="","",CHAR(10))&amp;$A17,I16)</f>
        <v/>
      </c>
      <c r="J17" s="0" t="str">
        <f aca="false">IF(AND($B17="D01",$C17="G6"),J16&amp;IF(J16="","",CHAR(10))&amp;$A17,J16)</f>
        <v/>
      </c>
      <c r="K17" s="0" t="str">
        <f aca="false">IF(AND($B17="D02",$C17="G0"),K16&amp;IF(K16="","",CHAR(10))&amp;$A17,K16)</f>
        <v/>
      </c>
      <c r="L17" s="363" t="str">
        <f aca="false">IF(AND($B17="D02",$C17="G1"),L16&amp;IF(L16="","",CHAR(10))&amp;$A17,L16)</f>
        <v>◐ 007 人口需求與病例量預測
◐ 008 醫院定位與服務組合
◐ 009 重點專科優先化
◐ 010 病人流程與容量設計
◐ 011 轉診與區域照護網絡
◐ 012 臨床治理與責任架構</v>
      </c>
      <c r="M17" s="0" t="str">
        <f aca="false">IF(AND($B17="D02",$C17="G2"),M16&amp;IF(M16="","",CHAR(10))&amp;$A17,M16)</f>
        <v/>
      </c>
      <c r="N17" s="0" t="str">
        <f aca="false">IF(AND($B17="D02",$C17="G3"),N16&amp;IF(N16="","",CHAR(10))&amp;$A17,N16)</f>
        <v/>
      </c>
      <c r="O17" s="0" t="str">
        <f aca="false">IF(AND($B17="D02",$C17="G4"),O16&amp;IF(O16="","",CHAR(10))&amp;$A17,O16)</f>
        <v/>
      </c>
      <c r="P17" s="0" t="str">
        <f aca="false">IF(AND($B17="D02",$C17="G5"),P16&amp;IF(P16="","",CHAR(10))&amp;$A17,P16)</f>
        <v/>
      </c>
      <c r="Q17" s="0" t="str">
        <f aca="false">IF(AND($B17="D02",$C17="G6"),Q16&amp;IF(Q16="","",CHAR(10))&amp;$A17,Q16)</f>
        <v/>
      </c>
      <c r="R17" s="0" t="str">
        <f aca="false">IF(AND($B17="D03",$C17="G0"),R16&amp;IF(R16="","",CHAR(10))&amp;$A17,R16)</f>
        <v/>
      </c>
      <c r="S17" s="0" t="str">
        <f aca="false">IF(AND($B17="D03",$C17="G1"),S16&amp;IF(S16="","",CHAR(10))&amp;$A17,S16)</f>
        <v>◐ 013 場址與醫院總體規劃</v>
      </c>
      <c r="T17" s="0" t="str">
        <f aca="false">IF(AND($B17="D03",$C17="G2"),T16&amp;IF(T16="","",CHAR(10))&amp;$A17,T16)</f>
        <v/>
      </c>
      <c r="U17" s="0" t="str">
        <f aca="false">IF(AND($B17="D03",$C17="G3"),U16&amp;IF(U16="","",CHAR(10))&amp;$A17,U16)</f>
        <v/>
      </c>
      <c r="V17" s="0" t="str">
        <f aca="false">IF(AND($B17="D03",$C17="G4"),V16&amp;IF(V16="","",CHAR(10))&amp;$A17,V16)</f>
        <v/>
      </c>
      <c r="W17" s="0" t="str">
        <f aca="false">IF(AND($B17="D03",$C17="G5"),W16&amp;IF(W16="","",CHAR(10))&amp;$A17,W16)</f>
        <v/>
      </c>
      <c r="X17" s="0" t="str">
        <f aca="false">IF(AND($B17="D03",$C17="G6"),X16&amp;IF(X16="","",CHAR(10))&amp;$A17,X16)</f>
        <v/>
      </c>
      <c r="Y17" s="0" t="str">
        <f aca="false">IF(AND($B17="D04",$C17="G0"),Y16&amp;IF(Y16="","",CHAR(10))&amp;$A17,Y16)</f>
        <v/>
      </c>
      <c r="Z17" s="0" t="str">
        <f aca="false">IF(AND($B17="D04",$C17="G1"),Z16&amp;IF(Z16="","",CHAR(10))&amp;$A17,Z16)</f>
        <v/>
      </c>
      <c r="AA17" s="0" t="str">
        <f aca="false">IF(AND($B17="D04",$C17="G2"),AA16&amp;IF(AA16="","",CHAR(10))&amp;$A17,AA16)</f>
        <v/>
      </c>
      <c r="AB17" s="0" t="str">
        <f aca="false">IF(AND($B17="D04",$C17="G3"),AB16&amp;IF(AB16="","",CHAR(10))&amp;$A17,AB16)</f>
        <v/>
      </c>
      <c r="AC17" s="0" t="str">
        <f aca="false">IF(AND($B17="D04",$C17="G4"),AC16&amp;IF(AC16="","",CHAR(10))&amp;$A17,AC16)</f>
        <v/>
      </c>
      <c r="AD17" s="0" t="str">
        <f aca="false">IF(AND($B17="D04",$C17="G5"),AD16&amp;IF(AD16="","",CHAR(10))&amp;$A17,AD16)</f>
        <v/>
      </c>
      <c r="AE17" s="0" t="str">
        <f aca="false">IF(AND($B17="D04",$C17="G6"),AE16&amp;IF(AE16="","",CHAR(10))&amp;$A17,AE16)</f>
        <v/>
      </c>
      <c r="AF17" s="0" t="str">
        <f aca="false">IF(AND($B17="D05",$C17="G0"),AF16&amp;IF(AF16="","",CHAR(10))&amp;$A17,AF16)</f>
        <v/>
      </c>
      <c r="AG17" s="0" t="str">
        <f aca="false">IF(AND($B17="D05",$C17="G1"),AG16&amp;IF(AG16="","",CHAR(10))&amp;$A17,AG16)</f>
        <v/>
      </c>
      <c r="AH17" s="0" t="str">
        <f aca="false">IF(AND($B17="D05",$C17="G2"),AH16&amp;IF(AH16="","",CHAR(10))&amp;$A17,AH16)</f>
        <v/>
      </c>
      <c r="AI17" s="0" t="str">
        <f aca="false">IF(AND($B17="D05",$C17="G3"),AI16&amp;IF(AI16="","",CHAR(10))&amp;$A17,AI16)</f>
        <v/>
      </c>
      <c r="AJ17" s="0" t="str">
        <f aca="false">IF(AND($B17="D05",$C17="G4"),AJ16&amp;IF(AJ16="","",CHAR(10))&amp;$A17,AJ16)</f>
        <v/>
      </c>
      <c r="AK17" s="0" t="str">
        <f aca="false">IF(AND($B17="D05",$C17="G5"),AK16&amp;IF(AK16="","",CHAR(10))&amp;$A17,AK16)</f>
        <v/>
      </c>
      <c r="AL17" s="0" t="str">
        <f aca="false">IF(AND($B17="D05",$C17="G6"),AL16&amp;IF(AL16="","",CHAR(10))&amp;$A17,AL16)</f>
        <v/>
      </c>
      <c r="AM17" s="0" t="str">
        <f aca="false">IF(AND($B17="D06",$C17="G0"),AM16&amp;IF(AM16="","",CHAR(10))&amp;$A17,AM16)</f>
        <v/>
      </c>
      <c r="AN17" s="0" t="str">
        <f aca="false">IF(AND($B17="D06",$C17="G1"),AN16&amp;IF(AN16="","",CHAR(10))&amp;$A17,AN16)</f>
        <v/>
      </c>
      <c r="AO17" s="0" t="str">
        <f aca="false">IF(AND($B17="D06",$C17="G2"),AO16&amp;IF(AO16="","",CHAR(10))&amp;$A17,AO16)</f>
        <v/>
      </c>
      <c r="AP17" s="0" t="str">
        <f aca="false">IF(AND($B17="D06",$C17="G3"),AP16&amp;IF(AP16="","",CHAR(10))&amp;$A17,AP16)</f>
        <v/>
      </c>
      <c r="AQ17" s="0" t="str">
        <f aca="false">IF(AND($B17="D06",$C17="G4"),AQ16&amp;IF(AQ16="","",CHAR(10))&amp;$A17,AQ16)</f>
        <v/>
      </c>
      <c r="AR17" s="0" t="str">
        <f aca="false">IF(AND($B17="D06",$C17="G5"),AR16&amp;IF(AR16="","",CHAR(10))&amp;$A17,AR16)</f>
        <v/>
      </c>
      <c r="AS17" s="0" t="str">
        <f aca="false">IF(AND($B17="D06",$C17="G6"),AS16&amp;IF(AS16="","",CHAR(10))&amp;$A17,AS16)</f>
        <v/>
      </c>
      <c r="AT17" s="0" t="str">
        <f aca="false">IF(AND($B17="D07",$C17="G0"),AT16&amp;IF(AT16="","",CHAR(10))&amp;$A17,AT16)</f>
        <v/>
      </c>
      <c r="AU17" s="0" t="str">
        <f aca="false">IF(AND($B17="D07",$C17="G1"),AU16&amp;IF(AU16="","",CHAR(10))&amp;$A17,AU16)</f>
        <v/>
      </c>
      <c r="AV17" s="0" t="str">
        <f aca="false">IF(AND($B17="D07",$C17="G2"),AV16&amp;IF(AV16="","",CHAR(10))&amp;$A17,AV16)</f>
        <v/>
      </c>
      <c r="AW17" s="0" t="str">
        <f aca="false">IF(AND($B17="D07",$C17="G3"),AW16&amp;IF(AW16="","",CHAR(10))&amp;$A17,AW16)</f>
        <v/>
      </c>
      <c r="AX17" s="0" t="str">
        <f aca="false">IF(AND($B17="D07",$C17="G4"),AX16&amp;IF(AX16="","",CHAR(10))&amp;$A17,AX16)</f>
        <v/>
      </c>
      <c r="AY17" s="0" t="str">
        <f aca="false">IF(AND($B17="D07",$C17="G5"),AY16&amp;IF(AY16="","",CHAR(10))&amp;$A17,AY16)</f>
        <v/>
      </c>
      <c r="AZ17" s="0" t="str">
        <f aca="false">IF(AND($B17="D07",$C17="G6"),AZ16&amp;IF(AZ16="","",CHAR(10))&amp;$A17,AZ16)</f>
        <v/>
      </c>
      <c r="BA17" s="0" t="str">
        <f aca="false">IF(AND($B17="D08",$C17="G0"),BA16&amp;IF(BA16="","",CHAR(10))&amp;$A17,BA16)</f>
        <v/>
      </c>
      <c r="BB17" s="0" t="str">
        <f aca="false">IF(AND($B17="D08",$C17="G1"),BB16&amp;IF(BB16="","",CHAR(10))&amp;$A17,BB16)</f>
        <v/>
      </c>
      <c r="BC17" s="0" t="str">
        <f aca="false">IF(AND($B17="D08",$C17="G2"),BC16&amp;IF(BC16="","",CHAR(10))&amp;$A17,BC16)</f>
        <v/>
      </c>
      <c r="BD17" s="0" t="str">
        <f aca="false">IF(AND($B17="D08",$C17="G3"),BD16&amp;IF(BD16="","",CHAR(10))&amp;$A17,BD16)</f>
        <v/>
      </c>
      <c r="BE17" s="0" t="str">
        <f aca="false">IF(AND($B17="D08",$C17="G4"),BE16&amp;IF(BE16="","",CHAR(10))&amp;$A17,BE16)</f>
        <v/>
      </c>
      <c r="BF17" s="0" t="str">
        <f aca="false">IF(AND($B17="D08",$C17="G5"),BF16&amp;IF(BF16="","",CHAR(10))&amp;$A17,BF16)</f>
        <v/>
      </c>
      <c r="BG17" s="0" t="str">
        <f aca="false">IF(AND($B17="D08",$C17="G6"),BG16&amp;IF(BG16="","",CHAR(10))&amp;$A17,BG16)</f>
        <v/>
      </c>
      <c r="BH17" s="0" t="str">
        <f aca="false">IF(AND($B17="D09",$C17="G0"),BH16&amp;IF(BH16="","",CHAR(10))&amp;$A17,BH16)</f>
        <v/>
      </c>
      <c r="BI17" s="0" t="str">
        <f aca="false">IF(AND($B17="D09",$C17="G1"),BI16&amp;IF(BI16="","",CHAR(10))&amp;$A17,BI16)</f>
        <v/>
      </c>
      <c r="BJ17" s="0" t="str">
        <f aca="false">IF(AND($B17="D09",$C17="G2"),BJ16&amp;IF(BJ16="","",CHAR(10))&amp;$A17,BJ16)</f>
        <v/>
      </c>
      <c r="BK17" s="0" t="str">
        <f aca="false">IF(AND($B17="D09",$C17="G3"),BK16&amp;IF(BK16="","",CHAR(10))&amp;$A17,BK16)</f>
        <v/>
      </c>
      <c r="BL17" s="0" t="str">
        <f aca="false">IF(AND($B17="D09",$C17="G4"),BL16&amp;IF(BL16="","",CHAR(10))&amp;$A17,BL16)</f>
        <v/>
      </c>
      <c r="BM17" s="0" t="str">
        <f aca="false">IF(AND($B17="D09",$C17="G5"),BM16&amp;IF(BM16="","",CHAR(10))&amp;$A17,BM16)</f>
        <v/>
      </c>
      <c r="BN17" s="0" t="str">
        <f aca="false">IF(AND($B17="D09",$C17="G6"),BN16&amp;IF(BN16="","",CHAR(10))&amp;$A17,BN16)</f>
        <v/>
      </c>
      <c r="BO17" s="0" t="str">
        <f aca="false">IF(AND($B17="D10",$C17="G0"),BO16&amp;IF(BO16="","",CHAR(10))&amp;$A17,BO16)</f>
        <v/>
      </c>
      <c r="BP17" s="0" t="str">
        <f aca="false">IF(AND($B17="D10",$C17="G1"),BP16&amp;IF(BP16="","",CHAR(10))&amp;$A17,BP16)</f>
        <v/>
      </c>
      <c r="BQ17" s="0" t="str">
        <f aca="false">IF(AND($B17="D10",$C17="G2"),BQ16&amp;IF(BQ16="","",CHAR(10))&amp;$A17,BQ16)</f>
        <v/>
      </c>
      <c r="BR17" s="0" t="str">
        <f aca="false">IF(AND($B17="D10",$C17="G3"),BR16&amp;IF(BR16="","",CHAR(10))&amp;$A17,BR16)</f>
        <v/>
      </c>
      <c r="BS17" s="0" t="str">
        <f aca="false">IF(AND($B17="D10",$C17="G4"),BS16&amp;IF(BS16="","",CHAR(10))&amp;$A17,BS16)</f>
        <v/>
      </c>
      <c r="BT17" s="0" t="str">
        <f aca="false">IF(AND($B17="D10",$C17="G5"),BT16&amp;IF(BT16="","",CHAR(10))&amp;$A17,BT16)</f>
        <v/>
      </c>
      <c r="BU17" s="0" t="str">
        <f aca="false">IF(AND($B17="D10",$C17="G6"),BU16&amp;IF(BU16="","",CHAR(10))&amp;$A17,BU16)</f>
        <v/>
      </c>
      <c r="BX17" s="0" t="str">
        <f aca="false">IF(AND(03_能力總表_Master!$A17&lt;&gt;"",LEFT(03_能力總表_Master!$H17,2)="缺口"),MAX($BX$4:BX16)+1,"")</f>
        <v/>
      </c>
      <c r="BY17" s="0" t="str">
        <f aca="false">IF(AND(03_能力總表_Master!$A17&lt;&gt;"",03_能力總表_Master!$J17=12_夥伴視角_PartnerView!$C$4),MAX($BY$4:BY16)+1,"")</f>
        <v/>
      </c>
      <c r="BZ17" s="0" t="str">
        <f aca="false">IF(AND(05_法規門檻_Gates!$A17&lt;&gt;"",05_法規門檻_Gates!$E17="強制",05_法規門檻_Gates!$F17="待確認"),MAX($BZ$4:BZ16)+1,"")</f>
        <v/>
      </c>
      <c r="CA17" s="0" t="n">
        <f aca="false">IF(AND(08_風險清冊_Risk!$A17&lt;&gt;"",OR(08_風險清冊_Risk!$G17="極高",08_風險清冊_Risk!$G17="高")),MAX($CA$4:CA16)+1,"")</f>
        <v>13</v>
      </c>
      <c r="CB17" s="0" t="str">
        <f aca="false">IF(AND(14_商機清單_Pipeline!$A17&lt;&gt;"",OR(N(14_商機清單_Pipeline!$I17)&gt;0,N(14_商機清單_Pipeline!$F17)=0)),MAX($CB$4:CB16)+1,"")</f>
        <v/>
      </c>
      <c r="CC17" s="0" t="str">
        <f aca="false">IF(AND(03_能力總表_Master!$A17&lt;&gt;"",IFERROR(INDEX(16_能力商機矩陣_CapOppMap!$D17:$CO17,MATCH(LEFT(17_商機作戰卡_OppView!$C$4,6),16_能力商機矩陣_CapOppMap!$D$4:$CO$4,0)),"")="✓"),MAX($CC$4:CC16)+1,"")</f>
        <v/>
      </c>
    </row>
    <row r="18" customFormat="false" ht="95.5" hidden="false" customHeight="false" outlineLevel="0" collapsed="false">
      <c r="A18" s="0" t="str">
        <f aca="false">IF(03_能力總表_Master!$A18="","",IF(LEFT(03_能力總表_Master!$H18,2)="群晶","● ",IF(ISNUMBER(SEARCH("已確認",03_能力總表_Master!$H18)),"◆ ",IF(ISNUMBER(SEARCH("缺口",03_能力總表_Master!$H18)),"○ ","◐ ")))&amp;RIGHT(03_能力總表_Master!$A18,3)&amp;" "&amp;03_能力總表_Master!$E18)</f>
        <v>◐ 014 醫療建築功能計畫</v>
      </c>
      <c r="B18" s="0" t="str">
        <f aca="false">IF(03_能力總表_Master!$A18="","",LEFT(03_能力總表_Master!$B18,3))</f>
        <v>D03</v>
      </c>
      <c r="C18" s="0" t="str">
        <f aca="false">IF(03_能力總表_Master!$A18="","",03_能力總表_Master!$C18)</f>
        <v>G2</v>
      </c>
      <c r="D18" s="363" t="str">
        <f aca="false">IF(AND($B18="D01",$C18="G0"),D17&amp;IF(D17="","",CHAR(10))&amp;$A18,D17)</f>
        <v>◐ 001 政府授權與計畫章程
◐ 002 利害關係人與權力地圖
◐ 005 聯盟治理與利益衝突</v>
      </c>
      <c r="E18" s="363" t="str">
        <f aca="false">IF(AND($B18="D01",$C18="G1"),E17&amp;IF(E17="","",CHAR(10))&amp;$A18,E17)</f>
        <v>◐ 003 交易模式選擇
◐ 004 法規與執照路徑</v>
      </c>
      <c r="F18" s="0" t="str">
        <f aca="false">IF(AND($B18="D01",$C18="G2"),F17&amp;IF(F17="","",CHAR(10))&amp;$A18,F17)</f>
        <v>◐ 006 績效契約與變更控制</v>
      </c>
      <c r="G18" s="0" t="str">
        <f aca="false">IF(AND($B18="D01",$C18="G3"),G17&amp;IF(G17="","",CHAR(10))&amp;$A18,G17)</f>
        <v/>
      </c>
      <c r="H18" s="0" t="str">
        <f aca="false">IF(AND($B18="D01",$C18="G4"),H17&amp;IF(H17="","",CHAR(10))&amp;$A18,H17)</f>
        <v/>
      </c>
      <c r="I18" s="0" t="str">
        <f aca="false">IF(AND($B18="D01",$C18="G5"),I17&amp;IF(I17="","",CHAR(10))&amp;$A18,I17)</f>
        <v/>
      </c>
      <c r="J18" s="0" t="str">
        <f aca="false">IF(AND($B18="D01",$C18="G6"),J17&amp;IF(J17="","",CHAR(10))&amp;$A18,J17)</f>
        <v/>
      </c>
      <c r="K18" s="0" t="str">
        <f aca="false">IF(AND($B18="D02",$C18="G0"),K17&amp;IF(K17="","",CHAR(10))&amp;$A18,K17)</f>
        <v/>
      </c>
      <c r="L18" s="363" t="str">
        <f aca="false">IF(AND($B18="D02",$C18="G1"),L17&amp;IF(L17="","",CHAR(10))&amp;$A18,L17)</f>
        <v>◐ 007 人口需求與病例量預測
◐ 008 醫院定位與服務組合
◐ 009 重點專科優先化
◐ 010 病人流程與容量設計
◐ 011 轉診與區域照護網絡
◐ 012 臨床治理與責任架構</v>
      </c>
      <c r="M18" s="0" t="str">
        <f aca="false">IF(AND($B18="D02",$C18="G2"),M17&amp;IF(M17="","",CHAR(10))&amp;$A18,M17)</f>
        <v/>
      </c>
      <c r="N18" s="0" t="str">
        <f aca="false">IF(AND($B18="D02",$C18="G3"),N17&amp;IF(N17="","",CHAR(10))&amp;$A18,N17)</f>
        <v/>
      </c>
      <c r="O18" s="0" t="str">
        <f aca="false">IF(AND($B18="D02",$C18="G4"),O17&amp;IF(O17="","",CHAR(10))&amp;$A18,O17)</f>
        <v/>
      </c>
      <c r="P18" s="0" t="str">
        <f aca="false">IF(AND($B18="D02",$C18="G5"),P17&amp;IF(P17="","",CHAR(10))&amp;$A18,P17)</f>
        <v/>
      </c>
      <c r="Q18" s="0" t="str">
        <f aca="false">IF(AND($B18="D02",$C18="G6"),Q17&amp;IF(Q17="","",CHAR(10))&amp;$A18,Q17)</f>
        <v/>
      </c>
      <c r="R18" s="0" t="str">
        <f aca="false">IF(AND($B18="D03",$C18="G0"),R17&amp;IF(R17="","",CHAR(10))&amp;$A18,R17)</f>
        <v/>
      </c>
      <c r="S18" s="0" t="str">
        <f aca="false">IF(AND($B18="D03",$C18="G1"),S17&amp;IF(S17="","",CHAR(10))&amp;$A18,S17)</f>
        <v>◐ 013 場址與醫院總體規劃</v>
      </c>
      <c r="T18" s="0" t="str">
        <f aca="false">IF(AND($B18="D03",$C18="G2"),T17&amp;IF(T17="","",CHAR(10))&amp;$A18,T17)</f>
        <v>◐ 014 醫療建築功能計畫</v>
      </c>
      <c r="U18" s="0" t="str">
        <f aca="false">IF(AND($B18="D03",$C18="G3"),U17&amp;IF(U17="","",CHAR(10))&amp;$A18,U17)</f>
        <v/>
      </c>
      <c r="V18" s="0" t="str">
        <f aca="false">IF(AND($B18="D03",$C18="G4"),V17&amp;IF(V17="","",CHAR(10))&amp;$A18,V17)</f>
        <v/>
      </c>
      <c r="W18" s="0" t="str">
        <f aca="false">IF(AND($B18="D03",$C18="G5"),W17&amp;IF(W17="","",CHAR(10))&amp;$A18,W17)</f>
        <v/>
      </c>
      <c r="X18" s="0" t="str">
        <f aca="false">IF(AND($B18="D03",$C18="G6"),X17&amp;IF(X17="","",CHAR(10))&amp;$A18,X17)</f>
        <v/>
      </c>
      <c r="Y18" s="0" t="str">
        <f aca="false">IF(AND($B18="D04",$C18="G0"),Y17&amp;IF(Y17="","",CHAR(10))&amp;$A18,Y17)</f>
        <v/>
      </c>
      <c r="Z18" s="0" t="str">
        <f aca="false">IF(AND($B18="D04",$C18="G1"),Z17&amp;IF(Z17="","",CHAR(10))&amp;$A18,Z17)</f>
        <v/>
      </c>
      <c r="AA18" s="0" t="str">
        <f aca="false">IF(AND($B18="D04",$C18="G2"),AA17&amp;IF(AA17="","",CHAR(10))&amp;$A18,AA17)</f>
        <v/>
      </c>
      <c r="AB18" s="0" t="str">
        <f aca="false">IF(AND($B18="D04",$C18="G3"),AB17&amp;IF(AB17="","",CHAR(10))&amp;$A18,AB17)</f>
        <v/>
      </c>
      <c r="AC18" s="0" t="str">
        <f aca="false">IF(AND($B18="D04",$C18="G4"),AC17&amp;IF(AC17="","",CHAR(10))&amp;$A18,AC17)</f>
        <v/>
      </c>
      <c r="AD18" s="0" t="str">
        <f aca="false">IF(AND($B18="D04",$C18="G5"),AD17&amp;IF(AD17="","",CHAR(10))&amp;$A18,AD17)</f>
        <v/>
      </c>
      <c r="AE18" s="0" t="str">
        <f aca="false">IF(AND($B18="D04",$C18="G6"),AE17&amp;IF(AE17="","",CHAR(10))&amp;$A18,AE17)</f>
        <v/>
      </c>
      <c r="AF18" s="0" t="str">
        <f aca="false">IF(AND($B18="D05",$C18="G0"),AF17&amp;IF(AF17="","",CHAR(10))&amp;$A18,AF17)</f>
        <v/>
      </c>
      <c r="AG18" s="0" t="str">
        <f aca="false">IF(AND($B18="D05",$C18="G1"),AG17&amp;IF(AG17="","",CHAR(10))&amp;$A18,AG17)</f>
        <v/>
      </c>
      <c r="AH18" s="0" t="str">
        <f aca="false">IF(AND($B18="D05",$C18="G2"),AH17&amp;IF(AH17="","",CHAR(10))&amp;$A18,AH17)</f>
        <v/>
      </c>
      <c r="AI18" s="0" t="str">
        <f aca="false">IF(AND($B18="D05",$C18="G3"),AI17&amp;IF(AI17="","",CHAR(10))&amp;$A18,AI17)</f>
        <v/>
      </c>
      <c r="AJ18" s="0" t="str">
        <f aca="false">IF(AND($B18="D05",$C18="G4"),AJ17&amp;IF(AJ17="","",CHAR(10))&amp;$A18,AJ17)</f>
        <v/>
      </c>
      <c r="AK18" s="0" t="str">
        <f aca="false">IF(AND($B18="D05",$C18="G5"),AK17&amp;IF(AK17="","",CHAR(10))&amp;$A18,AK17)</f>
        <v/>
      </c>
      <c r="AL18" s="0" t="str">
        <f aca="false">IF(AND($B18="D05",$C18="G6"),AL17&amp;IF(AL17="","",CHAR(10))&amp;$A18,AL17)</f>
        <v/>
      </c>
      <c r="AM18" s="0" t="str">
        <f aca="false">IF(AND($B18="D06",$C18="G0"),AM17&amp;IF(AM17="","",CHAR(10))&amp;$A18,AM17)</f>
        <v/>
      </c>
      <c r="AN18" s="0" t="str">
        <f aca="false">IF(AND($B18="D06",$C18="G1"),AN17&amp;IF(AN17="","",CHAR(10))&amp;$A18,AN17)</f>
        <v/>
      </c>
      <c r="AO18" s="0" t="str">
        <f aca="false">IF(AND($B18="D06",$C18="G2"),AO17&amp;IF(AO17="","",CHAR(10))&amp;$A18,AO17)</f>
        <v/>
      </c>
      <c r="AP18" s="0" t="str">
        <f aca="false">IF(AND($B18="D06",$C18="G3"),AP17&amp;IF(AP17="","",CHAR(10))&amp;$A18,AP17)</f>
        <v/>
      </c>
      <c r="AQ18" s="0" t="str">
        <f aca="false">IF(AND($B18="D06",$C18="G4"),AQ17&amp;IF(AQ17="","",CHAR(10))&amp;$A18,AQ17)</f>
        <v/>
      </c>
      <c r="AR18" s="0" t="str">
        <f aca="false">IF(AND($B18="D06",$C18="G5"),AR17&amp;IF(AR17="","",CHAR(10))&amp;$A18,AR17)</f>
        <v/>
      </c>
      <c r="AS18" s="0" t="str">
        <f aca="false">IF(AND($B18="D06",$C18="G6"),AS17&amp;IF(AS17="","",CHAR(10))&amp;$A18,AS17)</f>
        <v/>
      </c>
      <c r="AT18" s="0" t="str">
        <f aca="false">IF(AND($B18="D07",$C18="G0"),AT17&amp;IF(AT17="","",CHAR(10))&amp;$A18,AT17)</f>
        <v/>
      </c>
      <c r="AU18" s="0" t="str">
        <f aca="false">IF(AND($B18="D07",$C18="G1"),AU17&amp;IF(AU17="","",CHAR(10))&amp;$A18,AU17)</f>
        <v/>
      </c>
      <c r="AV18" s="0" t="str">
        <f aca="false">IF(AND($B18="D07",$C18="G2"),AV17&amp;IF(AV17="","",CHAR(10))&amp;$A18,AV17)</f>
        <v/>
      </c>
      <c r="AW18" s="0" t="str">
        <f aca="false">IF(AND($B18="D07",$C18="G3"),AW17&amp;IF(AW17="","",CHAR(10))&amp;$A18,AW17)</f>
        <v/>
      </c>
      <c r="AX18" s="0" t="str">
        <f aca="false">IF(AND($B18="D07",$C18="G4"),AX17&amp;IF(AX17="","",CHAR(10))&amp;$A18,AX17)</f>
        <v/>
      </c>
      <c r="AY18" s="0" t="str">
        <f aca="false">IF(AND($B18="D07",$C18="G5"),AY17&amp;IF(AY17="","",CHAR(10))&amp;$A18,AY17)</f>
        <v/>
      </c>
      <c r="AZ18" s="0" t="str">
        <f aca="false">IF(AND($B18="D07",$C18="G6"),AZ17&amp;IF(AZ17="","",CHAR(10))&amp;$A18,AZ17)</f>
        <v/>
      </c>
      <c r="BA18" s="0" t="str">
        <f aca="false">IF(AND($B18="D08",$C18="G0"),BA17&amp;IF(BA17="","",CHAR(10))&amp;$A18,BA17)</f>
        <v/>
      </c>
      <c r="BB18" s="0" t="str">
        <f aca="false">IF(AND($B18="D08",$C18="G1"),BB17&amp;IF(BB17="","",CHAR(10))&amp;$A18,BB17)</f>
        <v/>
      </c>
      <c r="BC18" s="0" t="str">
        <f aca="false">IF(AND($B18="D08",$C18="G2"),BC17&amp;IF(BC17="","",CHAR(10))&amp;$A18,BC17)</f>
        <v/>
      </c>
      <c r="BD18" s="0" t="str">
        <f aca="false">IF(AND($B18="D08",$C18="G3"),BD17&amp;IF(BD17="","",CHAR(10))&amp;$A18,BD17)</f>
        <v/>
      </c>
      <c r="BE18" s="0" t="str">
        <f aca="false">IF(AND($B18="D08",$C18="G4"),BE17&amp;IF(BE17="","",CHAR(10))&amp;$A18,BE17)</f>
        <v/>
      </c>
      <c r="BF18" s="0" t="str">
        <f aca="false">IF(AND($B18="D08",$C18="G5"),BF17&amp;IF(BF17="","",CHAR(10))&amp;$A18,BF17)</f>
        <v/>
      </c>
      <c r="BG18" s="0" t="str">
        <f aca="false">IF(AND($B18="D08",$C18="G6"),BG17&amp;IF(BG17="","",CHAR(10))&amp;$A18,BG17)</f>
        <v/>
      </c>
      <c r="BH18" s="0" t="str">
        <f aca="false">IF(AND($B18="D09",$C18="G0"),BH17&amp;IF(BH17="","",CHAR(10))&amp;$A18,BH17)</f>
        <v/>
      </c>
      <c r="BI18" s="0" t="str">
        <f aca="false">IF(AND($B18="D09",$C18="G1"),BI17&amp;IF(BI17="","",CHAR(10))&amp;$A18,BI17)</f>
        <v/>
      </c>
      <c r="BJ18" s="0" t="str">
        <f aca="false">IF(AND($B18="D09",$C18="G2"),BJ17&amp;IF(BJ17="","",CHAR(10))&amp;$A18,BJ17)</f>
        <v/>
      </c>
      <c r="BK18" s="0" t="str">
        <f aca="false">IF(AND($B18="D09",$C18="G3"),BK17&amp;IF(BK17="","",CHAR(10))&amp;$A18,BK17)</f>
        <v/>
      </c>
      <c r="BL18" s="0" t="str">
        <f aca="false">IF(AND($B18="D09",$C18="G4"),BL17&amp;IF(BL17="","",CHAR(10))&amp;$A18,BL17)</f>
        <v/>
      </c>
      <c r="BM18" s="0" t="str">
        <f aca="false">IF(AND($B18="D09",$C18="G5"),BM17&amp;IF(BM17="","",CHAR(10))&amp;$A18,BM17)</f>
        <v/>
      </c>
      <c r="BN18" s="0" t="str">
        <f aca="false">IF(AND($B18="D09",$C18="G6"),BN17&amp;IF(BN17="","",CHAR(10))&amp;$A18,BN17)</f>
        <v/>
      </c>
      <c r="BO18" s="0" t="str">
        <f aca="false">IF(AND($B18="D10",$C18="G0"),BO17&amp;IF(BO17="","",CHAR(10))&amp;$A18,BO17)</f>
        <v/>
      </c>
      <c r="BP18" s="0" t="str">
        <f aca="false">IF(AND($B18="D10",$C18="G1"),BP17&amp;IF(BP17="","",CHAR(10))&amp;$A18,BP17)</f>
        <v/>
      </c>
      <c r="BQ18" s="0" t="str">
        <f aca="false">IF(AND($B18="D10",$C18="G2"),BQ17&amp;IF(BQ17="","",CHAR(10))&amp;$A18,BQ17)</f>
        <v/>
      </c>
      <c r="BR18" s="0" t="str">
        <f aca="false">IF(AND($B18="D10",$C18="G3"),BR17&amp;IF(BR17="","",CHAR(10))&amp;$A18,BR17)</f>
        <v/>
      </c>
      <c r="BS18" s="0" t="str">
        <f aca="false">IF(AND($B18="D10",$C18="G4"),BS17&amp;IF(BS17="","",CHAR(10))&amp;$A18,BS17)</f>
        <v/>
      </c>
      <c r="BT18" s="0" t="str">
        <f aca="false">IF(AND($B18="D10",$C18="G5"),BT17&amp;IF(BT17="","",CHAR(10))&amp;$A18,BT17)</f>
        <v/>
      </c>
      <c r="BU18" s="0" t="str">
        <f aca="false">IF(AND($B18="D10",$C18="G6"),BU17&amp;IF(BU17="","",CHAR(10))&amp;$A18,BU17)</f>
        <v/>
      </c>
      <c r="BX18" s="0" t="str">
        <f aca="false">IF(AND(03_能力總表_Master!$A18&lt;&gt;"",LEFT(03_能力總表_Master!$H18,2)="缺口"),MAX($BX$4:BX17)+1,"")</f>
        <v/>
      </c>
      <c r="BY18" s="0" t="str">
        <f aca="false">IF(AND(03_能力總表_Master!$A18&lt;&gt;"",03_能力總表_Master!$J18=12_夥伴視角_PartnerView!$C$4),MAX($BY$4:BY17)+1,"")</f>
        <v/>
      </c>
      <c r="BZ18" s="0" t="str">
        <f aca="false">IF(AND(05_法規門檻_Gates!$A18&lt;&gt;"",05_法規門檻_Gates!$E18="強制",05_法規門檻_Gates!$F18="待確認"),MAX($BZ$4:BZ17)+1,"")</f>
        <v/>
      </c>
      <c r="CA18" s="0" t="n">
        <f aca="false">IF(AND(08_風險清冊_Risk!$A18&lt;&gt;"",OR(08_風險清冊_Risk!$G18="極高",08_風險清冊_Risk!$G18="高")),MAX($CA$4:CA17)+1,"")</f>
        <v>14</v>
      </c>
      <c r="CB18" s="0" t="str">
        <f aca="false">IF(AND(14_商機清單_Pipeline!$A18&lt;&gt;"",OR(N(14_商機清單_Pipeline!$I18)&gt;0,N(14_商機清單_Pipeline!$F18)=0)),MAX($CB$4:CB17)+1,"")</f>
        <v/>
      </c>
      <c r="CC18" s="0" t="str">
        <f aca="false">IF(AND(03_能力總表_Master!$A18&lt;&gt;"",IFERROR(INDEX(16_能力商機矩陣_CapOppMap!$D18:$CO18,MATCH(LEFT(17_商機作戰卡_OppView!$C$4,6),16_能力商機矩陣_CapOppMap!$D$4:$CO$4,0)),"")="✓"),MAX($CC$4:CC17)+1,"")</f>
        <v/>
      </c>
    </row>
    <row r="19" customFormat="false" ht="95.5" hidden="false" customHeight="false" outlineLevel="0" collapsed="false">
      <c r="A19" s="0" t="str">
        <f aca="false">IF(03_能力總表_Master!$A19="","",IF(LEFT(03_能力總表_Master!$H19,2)="群晶","● ",IF(ISNUMBER(SEARCH("已確認",03_能力總表_Master!$H19)),"◆ ",IF(ISNUMBER(SEARCH("缺口",03_能力總表_Master!$H19)),"○ ","◐ ")))&amp;RIGHT(03_能力總表_Master!$A19,3)&amp;" "&amp;03_能力總表_Master!$E19)</f>
        <v>◐ 015 感染控制與潔污動線</v>
      </c>
      <c r="B19" s="0" t="str">
        <f aca="false">IF(03_能力總表_Master!$A19="","",LEFT(03_能力總表_Master!$B19,3))</f>
        <v>D03</v>
      </c>
      <c r="C19" s="0" t="str">
        <f aca="false">IF(03_能力總表_Master!$A19="","",03_能力總表_Master!$C19)</f>
        <v>G2</v>
      </c>
      <c r="D19" s="363" t="str">
        <f aca="false">IF(AND($B19="D01",$C19="G0"),D18&amp;IF(D18="","",CHAR(10))&amp;$A19,D18)</f>
        <v>◐ 001 政府授權與計畫章程
◐ 002 利害關係人與權力地圖
◐ 005 聯盟治理與利益衝突</v>
      </c>
      <c r="E19" s="363" t="str">
        <f aca="false">IF(AND($B19="D01",$C19="G1"),E18&amp;IF(E18="","",CHAR(10))&amp;$A19,E18)</f>
        <v>◐ 003 交易模式選擇
◐ 004 法規與執照路徑</v>
      </c>
      <c r="F19" s="0" t="str">
        <f aca="false">IF(AND($B19="D01",$C19="G2"),F18&amp;IF(F18="","",CHAR(10))&amp;$A19,F18)</f>
        <v>◐ 006 績效契約與變更控制</v>
      </c>
      <c r="G19" s="0" t="str">
        <f aca="false">IF(AND($B19="D01",$C19="G3"),G18&amp;IF(G18="","",CHAR(10))&amp;$A19,G18)</f>
        <v/>
      </c>
      <c r="H19" s="0" t="str">
        <f aca="false">IF(AND($B19="D01",$C19="G4"),H18&amp;IF(H18="","",CHAR(10))&amp;$A19,H18)</f>
        <v/>
      </c>
      <c r="I19" s="0" t="str">
        <f aca="false">IF(AND($B19="D01",$C19="G5"),I18&amp;IF(I18="","",CHAR(10))&amp;$A19,I18)</f>
        <v/>
      </c>
      <c r="J19" s="0" t="str">
        <f aca="false">IF(AND($B19="D01",$C19="G6"),J18&amp;IF(J18="","",CHAR(10))&amp;$A19,J18)</f>
        <v/>
      </c>
      <c r="K19" s="0" t="str">
        <f aca="false">IF(AND($B19="D02",$C19="G0"),K18&amp;IF(K18="","",CHAR(10))&amp;$A19,K18)</f>
        <v/>
      </c>
      <c r="L19" s="363" t="str">
        <f aca="false">IF(AND($B19="D02",$C19="G1"),L18&amp;IF(L18="","",CHAR(10))&amp;$A19,L18)</f>
        <v>◐ 007 人口需求與病例量預測
◐ 008 醫院定位與服務組合
◐ 009 重點專科優先化
◐ 010 病人流程與容量設計
◐ 011 轉診與區域照護網絡
◐ 012 臨床治理與責任架構</v>
      </c>
      <c r="M19" s="0" t="str">
        <f aca="false">IF(AND($B19="D02",$C19="G2"),M18&amp;IF(M18="","",CHAR(10))&amp;$A19,M18)</f>
        <v/>
      </c>
      <c r="N19" s="0" t="str">
        <f aca="false">IF(AND($B19="D02",$C19="G3"),N18&amp;IF(N18="","",CHAR(10))&amp;$A19,N18)</f>
        <v/>
      </c>
      <c r="O19" s="0" t="str">
        <f aca="false">IF(AND($B19="D02",$C19="G4"),O18&amp;IF(O18="","",CHAR(10))&amp;$A19,O18)</f>
        <v/>
      </c>
      <c r="P19" s="0" t="str">
        <f aca="false">IF(AND($B19="D02",$C19="G5"),P18&amp;IF(P18="","",CHAR(10))&amp;$A19,P18)</f>
        <v/>
      </c>
      <c r="Q19" s="0" t="str">
        <f aca="false">IF(AND($B19="D02",$C19="G6"),Q18&amp;IF(Q18="","",CHAR(10))&amp;$A19,Q18)</f>
        <v/>
      </c>
      <c r="R19" s="0" t="str">
        <f aca="false">IF(AND($B19="D03",$C19="G0"),R18&amp;IF(R18="","",CHAR(10))&amp;$A19,R18)</f>
        <v/>
      </c>
      <c r="S19" s="0" t="str">
        <f aca="false">IF(AND($B19="D03",$C19="G1"),S18&amp;IF(S18="","",CHAR(10))&amp;$A19,S18)</f>
        <v>◐ 013 場址與醫院總體規劃</v>
      </c>
      <c r="T19" s="363" t="str">
        <f aca="false">IF(AND($B19="D03",$C19="G2"),T18&amp;IF(T18="","",CHAR(10))&amp;$A19,T18)</f>
        <v>◐ 014 醫療建築功能計畫
◐ 015 感染控制與潔污動線</v>
      </c>
      <c r="U19" s="0" t="str">
        <f aca="false">IF(AND($B19="D03",$C19="G3"),U18&amp;IF(U18="","",CHAR(10))&amp;$A19,U18)</f>
        <v/>
      </c>
      <c r="V19" s="0" t="str">
        <f aca="false">IF(AND($B19="D03",$C19="G4"),V18&amp;IF(V18="","",CHAR(10))&amp;$A19,V18)</f>
        <v/>
      </c>
      <c r="W19" s="0" t="str">
        <f aca="false">IF(AND($B19="D03",$C19="G5"),W18&amp;IF(W18="","",CHAR(10))&amp;$A19,W18)</f>
        <v/>
      </c>
      <c r="X19" s="0" t="str">
        <f aca="false">IF(AND($B19="D03",$C19="G6"),X18&amp;IF(X18="","",CHAR(10))&amp;$A19,X18)</f>
        <v/>
      </c>
      <c r="Y19" s="0" t="str">
        <f aca="false">IF(AND($B19="D04",$C19="G0"),Y18&amp;IF(Y18="","",CHAR(10))&amp;$A19,Y18)</f>
        <v/>
      </c>
      <c r="Z19" s="0" t="str">
        <f aca="false">IF(AND($B19="D04",$C19="G1"),Z18&amp;IF(Z18="","",CHAR(10))&amp;$A19,Z18)</f>
        <v/>
      </c>
      <c r="AA19" s="0" t="str">
        <f aca="false">IF(AND($B19="D04",$C19="G2"),AA18&amp;IF(AA18="","",CHAR(10))&amp;$A19,AA18)</f>
        <v/>
      </c>
      <c r="AB19" s="0" t="str">
        <f aca="false">IF(AND($B19="D04",$C19="G3"),AB18&amp;IF(AB18="","",CHAR(10))&amp;$A19,AB18)</f>
        <v/>
      </c>
      <c r="AC19" s="0" t="str">
        <f aca="false">IF(AND($B19="D04",$C19="G4"),AC18&amp;IF(AC18="","",CHAR(10))&amp;$A19,AC18)</f>
        <v/>
      </c>
      <c r="AD19" s="0" t="str">
        <f aca="false">IF(AND($B19="D04",$C19="G5"),AD18&amp;IF(AD18="","",CHAR(10))&amp;$A19,AD18)</f>
        <v/>
      </c>
      <c r="AE19" s="0" t="str">
        <f aca="false">IF(AND($B19="D04",$C19="G6"),AE18&amp;IF(AE18="","",CHAR(10))&amp;$A19,AE18)</f>
        <v/>
      </c>
      <c r="AF19" s="0" t="str">
        <f aca="false">IF(AND($B19="D05",$C19="G0"),AF18&amp;IF(AF18="","",CHAR(10))&amp;$A19,AF18)</f>
        <v/>
      </c>
      <c r="AG19" s="0" t="str">
        <f aca="false">IF(AND($B19="D05",$C19="G1"),AG18&amp;IF(AG18="","",CHAR(10))&amp;$A19,AG18)</f>
        <v/>
      </c>
      <c r="AH19" s="0" t="str">
        <f aca="false">IF(AND($B19="D05",$C19="G2"),AH18&amp;IF(AH18="","",CHAR(10))&amp;$A19,AH18)</f>
        <v/>
      </c>
      <c r="AI19" s="0" t="str">
        <f aca="false">IF(AND($B19="D05",$C19="G3"),AI18&amp;IF(AI18="","",CHAR(10))&amp;$A19,AI18)</f>
        <v/>
      </c>
      <c r="AJ19" s="0" t="str">
        <f aca="false">IF(AND($B19="D05",$C19="G4"),AJ18&amp;IF(AJ18="","",CHAR(10))&amp;$A19,AJ18)</f>
        <v/>
      </c>
      <c r="AK19" s="0" t="str">
        <f aca="false">IF(AND($B19="D05",$C19="G5"),AK18&amp;IF(AK18="","",CHAR(10))&amp;$A19,AK18)</f>
        <v/>
      </c>
      <c r="AL19" s="0" t="str">
        <f aca="false">IF(AND($B19="D05",$C19="G6"),AL18&amp;IF(AL18="","",CHAR(10))&amp;$A19,AL18)</f>
        <v/>
      </c>
      <c r="AM19" s="0" t="str">
        <f aca="false">IF(AND($B19="D06",$C19="G0"),AM18&amp;IF(AM18="","",CHAR(10))&amp;$A19,AM18)</f>
        <v/>
      </c>
      <c r="AN19" s="0" t="str">
        <f aca="false">IF(AND($B19="D06",$C19="G1"),AN18&amp;IF(AN18="","",CHAR(10))&amp;$A19,AN18)</f>
        <v/>
      </c>
      <c r="AO19" s="0" t="str">
        <f aca="false">IF(AND($B19="D06",$C19="G2"),AO18&amp;IF(AO18="","",CHAR(10))&amp;$A19,AO18)</f>
        <v/>
      </c>
      <c r="AP19" s="0" t="str">
        <f aca="false">IF(AND($B19="D06",$C19="G3"),AP18&amp;IF(AP18="","",CHAR(10))&amp;$A19,AP18)</f>
        <v/>
      </c>
      <c r="AQ19" s="0" t="str">
        <f aca="false">IF(AND($B19="D06",$C19="G4"),AQ18&amp;IF(AQ18="","",CHAR(10))&amp;$A19,AQ18)</f>
        <v/>
      </c>
      <c r="AR19" s="0" t="str">
        <f aca="false">IF(AND($B19="D06",$C19="G5"),AR18&amp;IF(AR18="","",CHAR(10))&amp;$A19,AR18)</f>
        <v/>
      </c>
      <c r="AS19" s="0" t="str">
        <f aca="false">IF(AND($B19="D06",$C19="G6"),AS18&amp;IF(AS18="","",CHAR(10))&amp;$A19,AS18)</f>
        <v/>
      </c>
      <c r="AT19" s="0" t="str">
        <f aca="false">IF(AND($B19="D07",$C19="G0"),AT18&amp;IF(AT18="","",CHAR(10))&amp;$A19,AT18)</f>
        <v/>
      </c>
      <c r="AU19" s="0" t="str">
        <f aca="false">IF(AND($B19="D07",$C19="G1"),AU18&amp;IF(AU18="","",CHAR(10))&amp;$A19,AU18)</f>
        <v/>
      </c>
      <c r="AV19" s="0" t="str">
        <f aca="false">IF(AND($B19="D07",$C19="G2"),AV18&amp;IF(AV18="","",CHAR(10))&amp;$A19,AV18)</f>
        <v/>
      </c>
      <c r="AW19" s="0" t="str">
        <f aca="false">IF(AND($B19="D07",$C19="G3"),AW18&amp;IF(AW18="","",CHAR(10))&amp;$A19,AW18)</f>
        <v/>
      </c>
      <c r="AX19" s="0" t="str">
        <f aca="false">IF(AND($B19="D07",$C19="G4"),AX18&amp;IF(AX18="","",CHAR(10))&amp;$A19,AX18)</f>
        <v/>
      </c>
      <c r="AY19" s="0" t="str">
        <f aca="false">IF(AND($B19="D07",$C19="G5"),AY18&amp;IF(AY18="","",CHAR(10))&amp;$A19,AY18)</f>
        <v/>
      </c>
      <c r="AZ19" s="0" t="str">
        <f aca="false">IF(AND($B19="D07",$C19="G6"),AZ18&amp;IF(AZ18="","",CHAR(10))&amp;$A19,AZ18)</f>
        <v/>
      </c>
      <c r="BA19" s="0" t="str">
        <f aca="false">IF(AND($B19="D08",$C19="G0"),BA18&amp;IF(BA18="","",CHAR(10))&amp;$A19,BA18)</f>
        <v/>
      </c>
      <c r="BB19" s="0" t="str">
        <f aca="false">IF(AND($B19="D08",$C19="G1"),BB18&amp;IF(BB18="","",CHAR(10))&amp;$A19,BB18)</f>
        <v/>
      </c>
      <c r="BC19" s="0" t="str">
        <f aca="false">IF(AND($B19="D08",$C19="G2"),BC18&amp;IF(BC18="","",CHAR(10))&amp;$A19,BC18)</f>
        <v/>
      </c>
      <c r="BD19" s="0" t="str">
        <f aca="false">IF(AND($B19="D08",$C19="G3"),BD18&amp;IF(BD18="","",CHAR(10))&amp;$A19,BD18)</f>
        <v/>
      </c>
      <c r="BE19" s="0" t="str">
        <f aca="false">IF(AND($B19="D08",$C19="G4"),BE18&amp;IF(BE18="","",CHAR(10))&amp;$A19,BE18)</f>
        <v/>
      </c>
      <c r="BF19" s="0" t="str">
        <f aca="false">IF(AND($B19="D08",$C19="G5"),BF18&amp;IF(BF18="","",CHAR(10))&amp;$A19,BF18)</f>
        <v/>
      </c>
      <c r="BG19" s="0" t="str">
        <f aca="false">IF(AND($B19="D08",$C19="G6"),BG18&amp;IF(BG18="","",CHAR(10))&amp;$A19,BG18)</f>
        <v/>
      </c>
      <c r="BH19" s="0" t="str">
        <f aca="false">IF(AND($B19="D09",$C19="G0"),BH18&amp;IF(BH18="","",CHAR(10))&amp;$A19,BH18)</f>
        <v/>
      </c>
      <c r="BI19" s="0" t="str">
        <f aca="false">IF(AND($B19="D09",$C19="G1"),BI18&amp;IF(BI18="","",CHAR(10))&amp;$A19,BI18)</f>
        <v/>
      </c>
      <c r="BJ19" s="0" t="str">
        <f aca="false">IF(AND($B19="D09",$C19="G2"),BJ18&amp;IF(BJ18="","",CHAR(10))&amp;$A19,BJ18)</f>
        <v/>
      </c>
      <c r="BK19" s="0" t="str">
        <f aca="false">IF(AND($B19="D09",$C19="G3"),BK18&amp;IF(BK18="","",CHAR(10))&amp;$A19,BK18)</f>
        <v/>
      </c>
      <c r="BL19" s="0" t="str">
        <f aca="false">IF(AND($B19="D09",$C19="G4"),BL18&amp;IF(BL18="","",CHAR(10))&amp;$A19,BL18)</f>
        <v/>
      </c>
      <c r="BM19" s="0" t="str">
        <f aca="false">IF(AND($B19="D09",$C19="G5"),BM18&amp;IF(BM18="","",CHAR(10))&amp;$A19,BM18)</f>
        <v/>
      </c>
      <c r="BN19" s="0" t="str">
        <f aca="false">IF(AND($B19="D09",$C19="G6"),BN18&amp;IF(BN18="","",CHAR(10))&amp;$A19,BN18)</f>
        <v/>
      </c>
      <c r="BO19" s="0" t="str">
        <f aca="false">IF(AND($B19="D10",$C19="G0"),BO18&amp;IF(BO18="","",CHAR(10))&amp;$A19,BO18)</f>
        <v/>
      </c>
      <c r="BP19" s="0" t="str">
        <f aca="false">IF(AND($B19="D10",$C19="G1"),BP18&amp;IF(BP18="","",CHAR(10))&amp;$A19,BP18)</f>
        <v/>
      </c>
      <c r="BQ19" s="0" t="str">
        <f aca="false">IF(AND($B19="D10",$C19="G2"),BQ18&amp;IF(BQ18="","",CHAR(10))&amp;$A19,BQ18)</f>
        <v/>
      </c>
      <c r="BR19" s="0" t="str">
        <f aca="false">IF(AND($B19="D10",$C19="G3"),BR18&amp;IF(BR18="","",CHAR(10))&amp;$A19,BR18)</f>
        <v/>
      </c>
      <c r="BS19" s="0" t="str">
        <f aca="false">IF(AND($B19="D10",$C19="G4"),BS18&amp;IF(BS18="","",CHAR(10))&amp;$A19,BS18)</f>
        <v/>
      </c>
      <c r="BT19" s="0" t="str">
        <f aca="false">IF(AND($B19="D10",$C19="G5"),BT18&amp;IF(BT18="","",CHAR(10))&amp;$A19,BT18)</f>
        <v/>
      </c>
      <c r="BU19" s="0" t="str">
        <f aca="false">IF(AND($B19="D10",$C19="G6"),BU18&amp;IF(BU18="","",CHAR(10))&amp;$A19,BU18)</f>
        <v/>
      </c>
      <c r="BX19" s="0" t="str">
        <f aca="false">IF(AND(03_能力總表_Master!$A19&lt;&gt;"",LEFT(03_能力總表_Master!$H19,2)="缺口"),MAX($BX$4:BX18)+1,"")</f>
        <v/>
      </c>
      <c r="BY19" s="0" t="str">
        <f aca="false">IF(AND(03_能力總表_Master!$A19&lt;&gt;"",03_能力總表_Master!$J19=12_夥伴視角_PartnerView!$C$4),MAX($BY$4:BY18)+1,"")</f>
        <v/>
      </c>
      <c r="BZ19" s="0" t="str">
        <f aca="false">IF(AND(05_法規門檻_Gates!$A19&lt;&gt;"",05_法規門檻_Gates!$E19="強制",05_法規門檻_Gates!$F19="待確認"),MAX($BZ$4:BZ18)+1,"")</f>
        <v/>
      </c>
      <c r="CA19" s="0" t="n">
        <f aca="false">IF(AND(08_風險清冊_Risk!$A19&lt;&gt;"",OR(08_風險清冊_Risk!$G19="極高",08_風險清冊_Risk!$G19="高")),MAX($CA$4:CA18)+1,"")</f>
        <v>15</v>
      </c>
      <c r="CB19" s="0" t="str">
        <f aca="false">IF(AND(14_商機清單_Pipeline!$A19&lt;&gt;"",OR(N(14_商機清單_Pipeline!$I19)&gt;0,N(14_商機清單_Pipeline!$F19)=0)),MAX($CB$4:CB18)+1,"")</f>
        <v/>
      </c>
      <c r="CC19" s="0" t="str">
        <f aca="false">IF(AND(03_能力總表_Master!$A19&lt;&gt;"",IFERROR(INDEX(16_能力商機矩陣_CapOppMap!$D19:$CO19,MATCH(LEFT(17_商機作戰卡_OppView!$C$4,6),16_能力商機矩陣_CapOppMap!$D$4:$CO$4,0)),"")="✓"),MAX($CC$4:CC18)+1,"")</f>
        <v/>
      </c>
    </row>
    <row r="20" customFormat="false" ht="95.5" hidden="false" customHeight="false" outlineLevel="0" collapsed="false">
      <c r="A20" s="0" t="str">
        <f aca="false">IF(03_能力總表_Master!$A20="","",IF(LEFT(03_能力總表_Master!$H20,2)="群晶","● ",IF(ISNUMBER(SEARCH("已確認",03_能力總表_Master!$H20)),"◆ ",IF(ISNUMBER(SEARCH("缺口",03_能力總表_Master!$H20)),"○ ","◐ ")))&amp;RIGHT(03_能力總表_Master!$A20,3)&amp;" "&amp;03_能力總表_Master!$E20)</f>
        <v>● 016 電力、備援與微電網</v>
      </c>
      <c r="B20" s="0" t="str">
        <f aca="false">IF(03_能力總表_Master!$A20="","",LEFT(03_能力總表_Master!$B20,3))</f>
        <v>D03</v>
      </c>
      <c r="C20" s="0" t="str">
        <f aca="false">IF(03_能力總表_Master!$A20="","",03_能力總表_Master!$C20)</f>
        <v>G3</v>
      </c>
      <c r="D20" s="363" t="str">
        <f aca="false">IF(AND($B20="D01",$C20="G0"),D19&amp;IF(D19="","",CHAR(10))&amp;$A20,D19)</f>
        <v>◐ 001 政府授權與計畫章程
◐ 002 利害關係人與權力地圖
◐ 005 聯盟治理與利益衝突</v>
      </c>
      <c r="E20" s="363" t="str">
        <f aca="false">IF(AND($B20="D01",$C20="G1"),E19&amp;IF(E19="","",CHAR(10))&amp;$A20,E19)</f>
        <v>◐ 003 交易模式選擇
◐ 004 法規與執照路徑</v>
      </c>
      <c r="F20" s="0" t="str">
        <f aca="false">IF(AND($B20="D01",$C20="G2"),F19&amp;IF(F19="","",CHAR(10))&amp;$A20,F19)</f>
        <v>◐ 006 績效契約與變更控制</v>
      </c>
      <c r="G20" s="0" t="str">
        <f aca="false">IF(AND($B20="D01",$C20="G3"),G19&amp;IF(G19="","",CHAR(10))&amp;$A20,G19)</f>
        <v/>
      </c>
      <c r="H20" s="0" t="str">
        <f aca="false">IF(AND($B20="D01",$C20="G4"),H19&amp;IF(H19="","",CHAR(10))&amp;$A20,H19)</f>
        <v/>
      </c>
      <c r="I20" s="0" t="str">
        <f aca="false">IF(AND($B20="D01",$C20="G5"),I19&amp;IF(I19="","",CHAR(10))&amp;$A20,I19)</f>
        <v/>
      </c>
      <c r="J20" s="0" t="str">
        <f aca="false">IF(AND($B20="D01",$C20="G6"),J19&amp;IF(J19="","",CHAR(10))&amp;$A20,J19)</f>
        <v/>
      </c>
      <c r="K20" s="0" t="str">
        <f aca="false">IF(AND($B20="D02",$C20="G0"),K19&amp;IF(K19="","",CHAR(10))&amp;$A20,K19)</f>
        <v/>
      </c>
      <c r="L20" s="363" t="str">
        <f aca="false">IF(AND($B20="D02",$C20="G1"),L19&amp;IF(L19="","",CHAR(10))&amp;$A20,L19)</f>
        <v>◐ 007 人口需求與病例量預測
◐ 008 醫院定位與服務組合
◐ 009 重點專科優先化
◐ 010 病人流程與容量設計
◐ 011 轉診與區域照護網絡
◐ 012 臨床治理與責任架構</v>
      </c>
      <c r="M20" s="0" t="str">
        <f aca="false">IF(AND($B20="D02",$C20="G2"),M19&amp;IF(M19="","",CHAR(10))&amp;$A20,M19)</f>
        <v/>
      </c>
      <c r="N20" s="0" t="str">
        <f aca="false">IF(AND($B20="D02",$C20="G3"),N19&amp;IF(N19="","",CHAR(10))&amp;$A20,N19)</f>
        <v/>
      </c>
      <c r="O20" s="0" t="str">
        <f aca="false">IF(AND($B20="D02",$C20="G4"),O19&amp;IF(O19="","",CHAR(10))&amp;$A20,O19)</f>
        <v/>
      </c>
      <c r="P20" s="0" t="str">
        <f aca="false">IF(AND($B20="D02",$C20="G5"),P19&amp;IF(P19="","",CHAR(10))&amp;$A20,P19)</f>
        <v/>
      </c>
      <c r="Q20" s="0" t="str">
        <f aca="false">IF(AND($B20="D02",$C20="G6"),Q19&amp;IF(Q19="","",CHAR(10))&amp;$A20,Q19)</f>
        <v/>
      </c>
      <c r="R20" s="0" t="str">
        <f aca="false">IF(AND($B20="D03",$C20="G0"),R19&amp;IF(R19="","",CHAR(10))&amp;$A20,R19)</f>
        <v/>
      </c>
      <c r="S20" s="0" t="str">
        <f aca="false">IF(AND($B20="D03",$C20="G1"),S19&amp;IF(S19="","",CHAR(10))&amp;$A20,S19)</f>
        <v>◐ 013 場址與醫院總體規劃</v>
      </c>
      <c r="T20" s="363" t="str">
        <f aca="false">IF(AND($B20="D03",$C20="G2"),T19&amp;IF(T19="","",CHAR(10))&amp;$A20,T19)</f>
        <v>◐ 014 醫療建築功能計畫
◐ 015 感染控制與潔污動線</v>
      </c>
      <c r="U20" s="0" t="str">
        <f aca="false">IF(AND($B20="D03",$C20="G3"),U19&amp;IF(U19="","",CHAR(10))&amp;$A20,U19)</f>
        <v>● 016 電力、備援與微電網</v>
      </c>
      <c r="V20" s="0" t="str">
        <f aca="false">IF(AND($B20="D03",$C20="G4"),V19&amp;IF(V19="","",CHAR(10))&amp;$A20,V19)</f>
        <v/>
      </c>
      <c r="W20" s="0" t="str">
        <f aca="false">IF(AND($B20="D03",$C20="G5"),W19&amp;IF(W19="","",CHAR(10))&amp;$A20,W19)</f>
        <v/>
      </c>
      <c r="X20" s="0" t="str">
        <f aca="false">IF(AND($B20="D03",$C20="G6"),X19&amp;IF(X19="","",CHAR(10))&amp;$A20,X19)</f>
        <v/>
      </c>
      <c r="Y20" s="0" t="str">
        <f aca="false">IF(AND($B20="D04",$C20="G0"),Y19&amp;IF(Y19="","",CHAR(10))&amp;$A20,Y19)</f>
        <v/>
      </c>
      <c r="Z20" s="0" t="str">
        <f aca="false">IF(AND($B20="D04",$C20="G1"),Z19&amp;IF(Z19="","",CHAR(10))&amp;$A20,Z19)</f>
        <v/>
      </c>
      <c r="AA20" s="0" t="str">
        <f aca="false">IF(AND($B20="D04",$C20="G2"),AA19&amp;IF(AA19="","",CHAR(10))&amp;$A20,AA19)</f>
        <v/>
      </c>
      <c r="AB20" s="0" t="str">
        <f aca="false">IF(AND($B20="D04",$C20="G3"),AB19&amp;IF(AB19="","",CHAR(10))&amp;$A20,AB19)</f>
        <v/>
      </c>
      <c r="AC20" s="0" t="str">
        <f aca="false">IF(AND($B20="D04",$C20="G4"),AC19&amp;IF(AC19="","",CHAR(10))&amp;$A20,AC19)</f>
        <v/>
      </c>
      <c r="AD20" s="0" t="str">
        <f aca="false">IF(AND($B20="D04",$C20="G5"),AD19&amp;IF(AD19="","",CHAR(10))&amp;$A20,AD19)</f>
        <v/>
      </c>
      <c r="AE20" s="0" t="str">
        <f aca="false">IF(AND($B20="D04",$C20="G6"),AE19&amp;IF(AE19="","",CHAR(10))&amp;$A20,AE19)</f>
        <v/>
      </c>
      <c r="AF20" s="0" t="str">
        <f aca="false">IF(AND($B20="D05",$C20="G0"),AF19&amp;IF(AF19="","",CHAR(10))&amp;$A20,AF19)</f>
        <v/>
      </c>
      <c r="AG20" s="0" t="str">
        <f aca="false">IF(AND($B20="D05",$C20="G1"),AG19&amp;IF(AG19="","",CHAR(10))&amp;$A20,AG19)</f>
        <v/>
      </c>
      <c r="AH20" s="0" t="str">
        <f aca="false">IF(AND($B20="D05",$C20="G2"),AH19&amp;IF(AH19="","",CHAR(10))&amp;$A20,AH19)</f>
        <v/>
      </c>
      <c r="AI20" s="0" t="str">
        <f aca="false">IF(AND($B20="D05",$C20="G3"),AI19&amp;IF(AI19="","",CHAR(10))&amp;$A20,AI19)</f>
        <v/>
      </c>
      <c r="AJ20" s="0" t="str">
        <f aca="false">IF(AND($B20="D05",$C20="G4"),AJ19&amp;IF(AJ19="","",CHAR(10))&amp;$A20,AJ19)</f>
        <v/>
      </c>
      <c r="AK20" s="0" t="str">
        <f aca="false">IF(AND($B20="D05",$C20="G5"),AK19&amp;IF(AK19="","",CHAR(10))&amp;$A20,AK19)</f>
        <v/>
      </c>
      <c r="AL20" s="0" t="str">
        <f aca="false">IF(AND($B20="D05",$C20="G6"),AL19&amp;IF(AL19="","",CHAR(10))&amp;$A20,AL19)</f>
        <v/>
      </c>
      <c r="AM20" s="0" t="str">
        <f aca="false">IF(AND($B20="D06",$C20="G0"),AM19&amp;IF(AM19="","",CHAR(10))&amp;$A20,AM19)</f>
        <v/>
      </c>
      <c r="AN20" s="0" t="str">
        <f aca="false">IF(AND($B20="D06",$C20="G1"),AN19&amp;IF(AN19="","",CHAR(10))&amp;$A20,AN19)</f>
        <v/>
      </c>
      <c r="AO20" s="0" t="str">
        <f aca="false">IF(AND($B20="D06",$C20="G2"),AO19&amp;IF(AO19="","",CHAR(10))&amp;$A20,AO19)</f>
        <v/>
      </c>
      <c r="AP20" s="0" t="str">
        <f aca="false">IF(AND($B20="D06",$C20="G3"),AP19&amp;IF(AP19="","",CHAR(10))&amp;$A20,AP19)</f>
        <v/>
      </c>
      <c r="AQ20" s="0" t="str">
        <f aca="false">IF(AND($B20="D06",$C20="G4"),AQ19&amp;IF(AQ19="","",CHAR(10))&amp;$A20,AQ19)</f>
        <v/>
      </c>
      <c r="AR20" s="0" t="str">
        <f aca="false">IF(AND($B20="D06",$C20="G5"),AR19&amp;IF(AR19="","",CHAR(10))&amp;$A20,AR19)</f>
        <v/>
      </c>
      <c r="AS20" s="0" t="str">
        <f aca="false">IF(AND($B20="D06",$C20="G6"),AS19&amp;IF(AS19="","",CHAR(10))&amp;$A20,AS19)</f>
        <v/>
      </c>
      <c r="AT20" s="0" t="str">
        <f aca="false">IF(AND($B20="D07",$C20="G0"),AT19&amp;IF(AT19="","",CHAR(10))&amp;$A20,AT19)</f>
        <v/>
      </c>
      <c r="AU20" s="0" t="str">
        <f aca="false">IF(AND($B20="D07",$C20="G1"),AU19&amp;IF(AU19="","",CHAR(10))&amp;$A20,AU19)</f>
        <v/>
      </c>
      <c r="AV20" s="0" t="str">
        <f aca="false">IF(AND($B20="D07",$C20="G2"),AV19&amp;IF(AV19="","",CHAR(10))&amp;$A20,AV19)</f>
        <v/>
      </c>
      <c r="AW20" s="0" t="str">
        <f aca="false">IF(AND($B20="D07",$C20="G3"),AW19&amp;IF(AW19="","",CHAR(10))&amp;$A20,AW19)</f>
        <v/>
      </c>
      <c r="AX20" s="0" t="str">
        <f aca="false">IF(AND($B20="D07",$C20="G4"),AX19&amp;IF(AX19="","",CHAR(10))&amp;$A20,AX19)</f>
        <v/>
      </c>
      <c r="AY20" s="0" t="str">
        <f aca="false">IF(AND($B20="D07",$C20="G5"),AY19&amp;IF(AY19="","",CHAR(10))&amp;$A20,AY19)</f>
        <v/>
      </c>
      <c r="AZ20" s="0" t="str">
        <f aca="false">IF(AND($B20="D07",$C20="G6"),AZ19&amp;IF(AZ19="","",CHAR(10))&amp;$A20,AZ19)</f>
        <v/>
      </c>
      <c r="BA20" s="0" t="str">
        <f aca="false">IF(AND($B20="D08",$C20="G0"),BA19&amp;IF(BA19="","",CHAR(10))&amp;$A20,BA19)</f>
        <v/>
      </c>
      <c r="BB20" s="0" t="str">
        <f aca="false">IF(AND($B20="D08",$C20="G1"),BB19&amp;IF(BB19="","",CHAR(10))&amp;$A20,BB19)</f>
        <v/>
      </c>
      <c r="BC20" s="0" t="str">
        <f aca="false">IF(AND($B20="D08",$C20="G2"),BC19&amp;IF(BC19="","",CHAR(10))&amp;$A20,BC19)</f>
        <v/>
      </c>
      <c r="BD20" s="0" t="str">
        <f aca="false">IF(AND($B20="D08",$C20="G3"),BD19&amp;IF(BD19="","",CHAR(10))&amp;$A20,BD19)</f>
        <v/>
      </c>
      <c r="BE20" s="0" t="str">
        <f aca="false">IF(AND($B20="D08",$C20="G4"),BE19&amp;IF(BE19="","",CHAR(10))&amp;$A20,BE19)</f>
        <v/>
      </c>
      <c r="BF20" s="0" t="str">
        <f aca="false">IF(AND($B20="D08",$C20="G5"),BF19&amp;IF(BF19="","",CHAR(10))&amp;$A20,BF19)</f>
        <v/>
      </c>
      <c r="BG20" s="0" t="str">
        <f aca="false">IF(AND($B20="D08",$C20="G6"),BG19&amp;IF(BG19="","",CHAR(10))&amp;$A20,BG19)</f>
        <v/>
      </c>
      <c r="BH20" s="0" t="str">
        <f aca="false">IF(AND($B20="D09",$C20="G0"),BH19&amp;IF(BH19="","",CHAR(10))&amp;$A20,BH19)</f>
        <v/>
      </c>
      <c r="BI20" s="0" t="str">
        <f aca="false">IF(AND($B20="D09",$C20="G1"),BI19&amp;IF(BI19="","",CHAR(10))&amp;$A20,BI19)</f>
        <v/>
      </c>
      <c r="BJ20" s="0" t="str">
        <f aca="false">IF(AND($B20="D09",$C20="G2"),BJ19&amp;IF(BJ19="","",CHAR(10))&amp;$A20,BJ19)</f>
        <v/>
      </c>
      <c r="BK20" s="0" t="str">
        <f aca="false">IF(AND($B20="D09",$C20="G3"),BK19&amp;IF(BK19="","",CHAR(10))&amp;$A20,BK19)</f>
        <v/>
      </c>
      <c r="BL20" s="0" t="str">
        <f aca="false">IF(AND($B20="D09",$C20="G4"),BL19&amp;IF(BL19="","",CHAR(10))&amp;$A20,BL19)</f>
        <v/>
      </c>
      <c r="BM20" s="0" t="str">
        <f aca="false">IF(AND($B20="D09",$C20="G5"),BM19&amp;IF(BM19="","",CHAR(10))&amp;$A20,BM19)</f>
        <v/>
      </c>
      <c r="BN20" s="0" t="str">
        <f aca="false">IF(AND($B20="D09",$C20="G6"),BN19&amp;IF(BN19="","",CHAR(10))&amp;$A20,BN19)</f>
        <v/>
      </c>
      <c r="BO20" s="0" t="str">
        <f aca="false">IF(AND($B20="D10",$C20="G0"),BO19&amp;IF(BO19="","",CHAR(10))&amp;$A20,BO19)</f>
        <v/>
      </c>
      <c r="BP20" s="0" t="str">
        <f aca="false">IF(AND($B20="D10",$C20="G1"),BP19&amp;IF(BP19="","",CHAR(10))&amp;$A20,BP19)</f>
        <v/>
      </c>
      <c r="BQ20" s="0" t="str">
        <f aca="false">IF(AND($B20="D10",$C20="G2"),BQ19&amp;IF(BQ19="","",CHAR(10))&amp;$A20,BQ19)</f>
        <v/>
      </c>
      <c r="BR20" s="0" t="str">
        <f aca="false">IF(AND($B20="D10",$C20="G3"),BR19&amp;IF(BR19="","",CHAR(10))&amp;$A20,BR19)</f>
        <v/>
      </c>
      <c r="BS20" s="0" t="str">
        <f aca="false">IF(AND($B20="D10",$C20="G4"),BS19&amp;IF(BS19="","",CHAR(10))&amp;$A20,BS19)</f>
        <v/>
      </c>
      <c r="BT20" s="0" t="str">
        <f aca="false">IF(AND($B20="D10",$C20="G5"),BT19&amp;IF(BT19="","",CHAR(10))&amp;$A20,BT19)</f>
        <v/>
      </c>
      <c r="BU20" s="0" t="str">
        <f aca="false">IF(AND($B20="D10",$C20="G6"),BU19&amp;IF(BU19="","",CHAR(10))&amp;$A20,BU19)</f>
        <v/>
      </c>
      <c r="BX20" s="0" t="str">
        <f aca="false">IF(AND(03_能力總表_Master!$A20&lt;&gt;"",LEFT(03_能力總表_Master!$H20,2)="缺口"),MAX($BX$4:BX19)+1,"")</f>
        <v/>
      </c>
      <c r="BY20" s="0" t="n">
        <f aca="false">IF(AND(03_能力總表_Master!$A20&lt;&gt;"",03_能力總表_Master!$J20=12_夥伴視角_PartnerView!$C$4),MAX($BY$4:BY19)+1,"")</f>
        <v>1</v>
      </c>
      <c r="BZ20" s="0" t="str">
        <f aca="false">IF(AND(05_法規門檻_Gates!$A20&lt;&gt;"",05_法規門檻_Gates!$E20="強制",05_法規門檻_Gates!$F20="待確認"),MAX($BZ$4:BZ19)+1,"")</f>
        <v/>
      </c>
      <c r="CA20" s="0" t="n">
        <f aca="false">IF(AND(08_風險清冊_Risk!$A20&lt;&gt;"",OR(08_風險清冊_Risk!$G20="極高",08_風險清冊_Risk!$G20="高")),MAX($CA$4:CA19)+1,"")</f>
        <v>16</v>
      </c>
      <c r="CB20" s="0" t="str">
        <f aca="false">IF(AND(14_商機清單_Pipeline!$A20&lt;&gt;"",OR(N(14_商機清單_Pipeline!$I20)&gt;0,N(14_商機清單_Pipeline!$F20)=0)),MAX($CB$4:CB19)+1,"")</f>
        <v/>
      </c>
      <c r="CC20" s="0" t="str">
        <f aca="false">IF(AND(03_能力總表_Master!$A20&lt;&gt;"",IFERROR(INDEX(16_能力商機矩陣_CapOppMap!$D20:$CO20,MATCH(LEFT(17_商機作戰卡_OppView!$C$4,6),16_能力商機矩陣_CapOppMap!$D$4:$CO$4,0)),"")="✓"),MAX($CC$4:CC19)+1,"")</f>
        <v/>
      </c>
    </row>
    <row r="21" customFormat="false" ht="95.5" hidden="false" customHeight="false" outlineLevel="0" collapsed="false">
      <c r="A21" s="0" t="str">
        <f aca="false">IF(03_能力總表_Master!$A21="","",IF(LEFT(03_能力總表_Master!$H21,2)="群晶","● ",IF(ISNUMBER(SEARCH("已確認",03_能力總表_Master!$H21)),"◆ ",IF(ISNUMBER(SEARCH("缺口",03_能力總表_Master!$H21)),"○ ","◐ ")))&amp;RIGHT(03_能力總表_Master!$A21,3)&amp;" "&amp;03_能力總表_Master!$E21)</f>
        <v>◐ 017 醫療氣體與關鍵公用系統</v>
      </c>
      <c r="B21" s="0" t="str">
        <f aca="false">IF(03_能力總表_Master!$A21="","",LEFT(03_能力總表_Master!$B21,3))</f>
        <v>D03</v>
      </c>
      <c r="C21" s="0" t="str">
        <f aca="false">IF(03_能力總表_Master!$A21="","",03_能力總表_Master!$C21)</f>
        <v>G3</v>
      </c>
      <c r="D21" s="363" t="str">
        <f aca="false">IF(AND($B21="D01",$C21="G0"),D20&amp;IF(D20="","",CHAR(10))&amp;$A21,D20)</f>
        <v>◐ 001 政府授權與計畫章程
◐ 002 利害關係人與權力地圖
◐ 005 聯盟治理與利益衝突</v>
      </c>
      <c r="E21" s="363" t="str">
        <f aca="false">IF(AND($B21="D01",$C21="G1"),E20&amp;IF(E20="","",CHAR(10))&amp;$A21,E20)</f>
        <v>◐ 003 交易模式選擇
◐ 004 法規與執照路徑</v>
      </c>
      <c r="F21" s="0" t="str">
        <f aca="false">IF(AND($B21="D01",$C21="G2"),F20&amp;IF(F20="","",CHAR(10))&amp;$A21,F20)</f>
        <v>◐ 006 績效契約與變更控制</v>
      </c>
      <c r="G21" s="0" t="str">
        <f aca="false">IF(AND($B21="D01",$C21="G3"),G20&amp;IF(G20="","",CHAR(10))&amp;$A21,G20)</f>
        <v/>
      </c>
      <c r="H21" s="0" t="str">
        <f aca="false">IF(AND($B21="D01",$C21="G4"),H20&amp;IF(H20="","",CHAR(10))&amp;$A21,H20)</f>
        <v/>
      </c>
      <c r="I21" s="0" t="str">
        <f aca="false">IF(AND($B21="D01",$C21="G5"),I20&amp;IF(I20="","",CHAR(10))&amp;$A21,I20)</f>
        <v/>
      </c>
      <c r="J21" s="0" t="str">
        <f aca="false">IF(AND($B21="D01",$C21="G6"),J20&amp;IF(J20="","",CHAR(10))&amp;$A21,J20)</f>
        <v/>
      </c>
      <c r="K21" s="0" t="str">
        <f aca="false">IF(AND($B21="D02",$C21="G0"),K20&amp;IF(K20="","",CHAR(10))&amp;$A21,K20)</f>
        <v/>
      </c>
      <c r="L21" s="363" t="str">
        <f aca="false">IF(AND($B21="D02",$C21="G1"),L20&amp;IF(L20="","",CHAR(10))&amp;$A21,L20)</f>
        <v>◐ 007 人口需求與病例量預測
◐ 008 醫院定位與服務組合
◐ 009 重點專科優先化
◐ 010 病人流程與容量設計
◐ 011 轉診與區域照護網絡
◐ 012 臨床治理與責任架構</v>
      </c>
      <c r="M21" s="0" t="str">
        <f aca="false">IF(AND($B21="D02",$C21="G2"),M20&amp;IF(M20="","",CHAR(10))&amp;$A21,M20)</f>
        <v/>
      </c>
      <c r="N21" s="0" t="str">
        <f aca="false">IF(AND($B21="D02",$C21="G3"),N20&amp;IF(N20="","",CHAR(10))&amp;$A21,N20)</f>
        <v/>
      </c>
      <c r="O21" s="0" t="str">
        <f aca="false">IF(AND($B21="D02",$C21="G4"),O20&amp;IF(O20="","",CHAR(10))&amp;$A21,O20)</f>
        <v/>
      </c>
      <c r="P21" s="0" t="str">
        <f aca="false">IF(AND($B21="D02",$C21="G5"),P20&amp;IF(P20="","",CHAR(10))&amp;$A21,P20)</f>
        <v/>
      </c>
      <c r="Q21" s="0" t="str">
        <f aca="false">IF(AND($B21="D02",$C21="G6"),Q20&amp;IF(Q20="","",CHAR(10))&amp;$A21,Q20)</f>
        <v/>
      </c>
      <c r="R21" s="0" t="str">
        <f aca="false">IF(AND($B21="D03",$C21="G0"),R20&amp;IF(R20="","",CHAR(10))&amp;$A21,R20)</f>
        <v/>
      </c>
      <c r="S21" s="0" t="str">
        <f aca="false">IF(AND($B21="D03",$C21="G1"),S20&amp;IF(S20="","",CHAR(10))&amp;$A21,S20)</f>
        <v>◐ 013 場址與醫院總體規劃</v>
      </c>
      <c r="T21" s="363" t="str">
        <f aca="false">IF(AND($B21="D03",$C21="G2"),T20&amp;IF(T20="","",CHAR(10))&amp;$A21,T20)</f>
        <v>◐ 014 醫療建築功能計畫
◐ 015 感染控制與潔污動線</v>
      </c>
      <c r="U21" s="363" t="str">
        <f aca="false">IF(AND($B21="D03",$C21="G3"),U20&amp;IF(U20="","",CHAR(10))&amp;$A21,U20)</f>
        <v>● 016 電力、備援與微電網
◐ 017 醫療氣體與關鍵公用系統</v>
      </c>
      <c r="V21" s="0" t="str">
        <f aca="false">IF(AND($B21="D03",$C21="G4"),V20&amp;IF(V20="","",CHAR(10))&amp;$A21,V20)</f>
        <v/>
      </c>
      <c r="W21" s="0" t="str">
        <f aca="false">IF(AND($B21="D03",$C21="G5"),W20&amp;IF(W20="","",CHAR(10))&amp;$A21,W20)</f>
        <v/>
      </c>
      <c r="X21" s="0" t="str">
        <f aca="false">IF(AND($B21="D03",$C21="G6"),X20&amp;IF(X20="","",CHAR(10))&amp;$A21,X20)</f>
        <v/>
      </c>
      <c r="Y21" s="0" t="str">
        <f aca="false">IF(AND($B21="D04",$C21="G0"),Y20&amp;IF(Y20="","",CHAR(10))&amp;$A21,Y20)</f>
        <v/>
      </c>
      <c r="Z21" s="0" t="str">
        <f aca="false">IF(AND($B21="D04",$C21="G1"),Z20&amp;IF(Z20="","",CHAR(10))&amp;$A21,Z20)</f>
        <v/>
      </c>
      <c r="AA21" s="0" t="str">
        <f aca="false">IF(AND($B21="D04",$C21="G2"),AA20&amp;IF(AA20="","",CHAR(10))&amp;$A21,AA20)</f>
        <v/>
      </c>
      <c r="AB21" s="0" t="str">
        <f aca="false">IF(AND($B21="D04",$C21="G3"),AB20&amp;IF(AB20="","",CHAR(10))&amp;$A21,AB20)</f>
        <v/>
      </c>
      <c r="AC21" s="0" t="str">
        <f aca="false">IF(AND($B21="D04",$C21="G4"),AC20&amp;IF(AC20="","",CHAR(10))&amp;$A21,AC20)</f>
        <v/>
      </c>
      <c r="AD21" s="0" t="str">
        <f aca="false">IF(AND($B21="D04",$C21="G5"),AD20&amp;IF(AD20="","",CHAR(10))&amp;$A21,AD20)</f>
        <v/>
      </c>
      <c r="AE21" s="0" t="str">
        <f aca="false">IF(AND($B21="D04",$C21="G6"),AE20&amp;IF(AE20="","",CHAR(10))&amp;$A21,AE20)</f>
        <v/>
      </c>
      <c r="AF21" s="0" t="str">
        <f aca="false">IF(AND($B21="D05",$C21="G0"),AF20&amp;IF(AF20="","",CHAR(10))&amp;$A21,AF20)</f>
        <v/>
      </c>
      <c r="AG21" s="0" t="str">
        <f aca="false">IF(AND($B21="D05",$C21="G1"),AG20&amp;IF(AG20="","",CHAR(10))&amp;$A21,AG20)</f>
        <v/>
      </c>
      <c r="AH21" s="0" t="str">
        <f aca="false">IF(AND($B21="D05",$C21="G2"),AH20&amp;IF(AH20="","",CHAR(10))&amp;$A21,AH20)</f>
        <v/>
      </c>
      <c r="AI21" s="0" t="str">
        <f aca="false">IF(AND($B21="D05",$C21="G3"),AI20&amp;IF(AI20="","",CHAR(10))&amp;$A21,AI20)</f>
        <v/>
      </c>
      <c r="AJ21" s="0" t="str">
        <f aca="false">IF(AND($B21="D05",$C21="G4"),AJ20&amp;IF(AJ20="","",CHAR(10))&amp;$A21,AJ20)</f>
        <v/>
      </c>
      <c r="AK21" s="0" t="str">
        <f aca="false">IF(AND($B21="D05",$C21="G5"),AK20&amp;IF(AK20="","",CHAR(10))&amp;$A21,AK20)</f>
        <v/>
      </c>
      <c r="AL21" s="0" t="str">
        <f aca="false">IF(AND($B21="D05",$C21="G6"),AL20&amp;IF(AL20="","",CHAR(10))&amp;$A21,AL20)</f>
        <v/>
      </c>
      <c r="AM21" s="0" t="str">
        <f aca="false">IF(AND($B21="D06",$C21="G0"),AM20&amp;IF(AM20="","",CHAR(10))&amp;$A21,AM20)</f>
        <v/>
      </c>
      <c r="AN21" s="0" t="str">
        <f aca="false">IF(AND($B21="D06",$C21="G1"),AN20&amp;IF(AN20="","",CHAR(10))&amp;$A21,AN20)</f>
        <v/>
      </c>
      <c r="AO21" s="0" t="str">
        <f aca="false">IF(AND($B21="D06",$C21="G2"),AO20&amp;IF(AO20="","",CHAR(10))&amp;$A21,AO20)</f>
        <v/>
      </c>
      <c r="AP21" s="0" t="str">
        <f aca="false">IF(AND($B21="D06",$C21="G3"),AP20&amp;IF(AP20="","",CHAR(10))&amp;$A21,AP20)</f>
        <v/>
      </c>
      <c r="AQ21" s="0" t="str">
        <f aca="false">IF(AND($B21="D06",$C21="G4"),AQ20&amp;IF(AQ20="","",CHAR(10))&amp;$A21,AQ20)</f>
        <v/>
      </c>
      <c r="AR21" s="0" t="str">
        <f aca="false">IF(AND($B21="D06",$C21="G5"),AR20&amp;IF(AR20="","",CHAR(10))&amp;$A21,AR20)</f>
        <v/>
      </c>
      <c r="AS21" s="0" t="str">
        <f aca="false">IF(AND($B21="D06",$C21="G6"),AS20&amp;IF(AS20="","",CHAR(10))&amp;$A21,AS20)</f>
        <v/>
      </c>
      <c r="AT21" s="0" t="str">
        <f aca="false">IF(AND($B21="D07",$C21="G0"),AT20&amp;IF(AT20="","",CHAR(10))&amp;$A21,AT20)</f>
        <v/>
      </c>
      <c r="AU21" s="0" t="str">
        <f aca="false">IF(AND($B21="D07",$C21="G1"),AU20&amp;IF(AU20="","",CHAR(10))&amp;$A21,AU20)</f>
        <v/>
      </c>
      <c r="AV21" s="0" t="str">
        <f aca="false">IF(AND($B21="D07",$C21="G2"),AV20&amp;IF(AV20="","",CHAR(10))&amp;$A21,AV20)</f>
        <v/>
      </c>
      <c r="AW21" s="0" t="str">
        <f aca="false">IF(AND($B21="D07",$C21="G3"),AW20&amp;IF(AW20="","",CHAR(10))&amp;$A21,AW20)</f>
        <v/>
      </c>
      <c r="AX21" s="0" t="str">
        <f aca="false">IF(AND($B21="D07",$C21="G4"),AX20&amp;IF(AX20="","",CHAR(10))&amp;$A21,AX20)</f>
        <v/>
      </c>
      <c r="AY21" s="0" t="str">
        <f aca="false">IF(AND($B21="D07",$C21="G5"),AY20&amp;IF(AY20="","",CHAR(10))&amp;$A21,AY20)</f>
        <v/>
      </c>
      <c r="AZ21" s="0" t="str">
        <f aca="false">IF(AND($B21="D07",$C21="G6"),AZ20&amp;IF(AZ20="","",CHAR(10))&amp;$A21,AZ20)</f>
        <v/>
      </c>
      <c r="BA21" s="0" t="str">
        <f aca="false">IF(AND($B21="D08",$C21="G0"),BA20&amp;IF(BA20="","",CHAR(10))&amp;$A21,BA20)</f>
        <v/>
      </c>
      <c r="BB21" s="0" t="str">
        <f aca="false">IF(AND($B21="D08",$C21="G1"),BB20&amp;IF(BB20="","",CHAR(10))&amp;$A21,BB20)</f>
        <v/>
      </c>
      <c r="BC21" s="0" t="str">
        <f aca="false">IF(AND($B21="D08",$C21="G2"),BC20&amp;IF(BC20="","",CHAR(10))&amp;$A21,BC20)</f>
        <v/>
      </c>
      <c r="BD21" s="0" t="str">
        <f aca="false">IF(AND($B21="D08",$C21="G3"),BD20&amp;IF(BD20="","",CHAR(10))&amp;$A21,BD20)</f>
        <v/>
      </c>
      <c r="BE21" s="0" t="str">
        <f aca="false">IF(AND($B21="D08",$C21="G4"),BE20&amp;IF(BE20="","",CHAR(10))&amp;$A21,BE20)</f>
        <v/>
      </c>
      <c r="BF21" s="0" t="str">
        <f aca="false">IF(AND($B21="D08",$C21="G5"),BF20&amp;IF(BF20="","",CHAR(10))&amp;$A21,BF20)</f>
        <v/>
      </c>
      <c r="BG21" s="0" t="str">
        <f aca="false">IF(AND($B21="D08",$C21="G6"),BG20&amp;IF(BG20="","",CHAR(10))&amp;$A21,BG20)</f>
        <v/>
      </c>
      <c r="BH21" s="0" t="str">
        <f aca="false">IF(AND($B21="D09",$C21="G0"),BH20&amp;IF(BH20="","",CHAR(10))&amp;$A21,BH20)</f>
        <v/>
      </c>
      <c r="BI21" s="0" t="str">
        <f aca="false">IF(AND($B21="D09",$C21="G1"),BI20&amp;IF(BI20="","",CHAR(10))&amp;$A21,BI20)</f>
        <v/>
      </c>
      <c r="BJ21" s="0" t="str">
        <f aca="false">IF(AND($B21="D09",$C21="G2"),BJ20&amp;IF(BJ20="","",CHAR(10))&amp;$A21,BJ20)</f>
        <v/>
      </c>
      <c r="BK21" s="0" t="str">
        <f aca="false">IF(AND($B21="D09",$C21="G3"),BK20&amp;IF(BK20="","",CHAR(10))&amp;$A21,BK20)</f>
        <v/>
      </c>
      <c r="BL21" s="0" t="str">
        <f aca="false">IF(AND($B21="D09",$C21="G4"),BL20&amp;IF(BL20="","",CHAR(10))&amp;$A21,BL20)</f>
        <v/>
      </c>
      <c r="BM21" s="0" t="str">
        <f aca="false">IF(AND($B21="D09",$C21="G5"),BM20&amp;IF(BM20="","",CHAR(10))&amp;$A21,BM20)</f>
        <v/>
      </c>
      <c r="BN21" s="0" t="str">
        <f aca="false">IF(AND($B21="D09",$C21="G6"),BN20&amp;IF(BN20="","",CHAR(10))&amp;$A21,BN20)</f>
        <v/>
      </c>
      <c r="BO21" s="0" t="str">
        <f aca="false">IF(AND($B21="D10",$C21="G0"),BO20&amp;IF(BO20="","",CHAR(10))&amp;$A21,BO20)</f>
        <v/>
      </c>
      <c r="BP21" s="0" t="str">
        <f aca="false">IF(AND($B21="D10",$C21="G1"),BP20&amp;IF(BP20="","",CHAR(10))&amp;$A21,BP20)</f>
        <v/>
      </c>
      <c r="BQ21" s="0" t="str">
        <f aca="false">IF(AND($B21="D10",$C21="G2"),BQ20&amp;IF(BQ20="","",CHAR(10))&amp;$A21,BQ20)</f>
        <v/>
      </c>
      <c r="BR21" s="0" t="str">
        <f aca="false">IF(AND($B21="D10",$C21="G3"),BR20&amp;IF(BR20="","",CHAR(10))&amp;$A21,BR20)</f>
        <v/>
      </c>
      <c r="BS21" s="0" t="str">
        <f aca="false">IF(AND($B21="D10",$C21="G4"),BS20&amp;IF(BS20="","",CHAR(10))&amp;$A21,BS20)</f>
        <v/>
      </c>
      <c r="BT21" s="0" t="str">
        <f aca="false">IF(AND($B21="D10",$C21="G5"),BT20&amp;IF(BT20="","",CHAR(10))&amp;$A21,BT20)</f>
        <v/>
      </c>
      <c r="BU21" s="0" t="str">
        <f aca="false">IF(AND($B21="D10",$C21="G6"),BU20&amp;IF(BU20="","",CHAR(10))&amp;$A21,BU20)</f>
        <v/>
      </c>
      <c r="BX21" s="0" t="str">
        <f aca="false">IF(AND(03_能力總表_Master!$A21&lt;&gt;"",LEFT(03_能力總表_Master!$H21,2)="缺口"),MAX($BX$4:BX20)+1,"")</f>
        <v/>
      </c>
      <c r="BY21" s="0" t="str">
        <f aca="false">IF(AND(03_能力總表_Master!$A21&lt;&gt;"",03_能力總表_Master!$J21=12_夥伴視角_PartnerView!$C$4),MAX($BY$4:BY20)+1,"")</f>
        <v/>
      </c>
      <c r="BZ21" s="0" t="str">
        <f aca="false">IF(AND(05_法規門檻_Gates!$A21&lt;&gt;"",05_法規門檻_Gates!$E21="強制",05_法規門檻_Gates!$F21="待確認"),MAX($BZ$4:BZ20)+1,"")</f>
        <v/>
      </c>
      <c r="CA21" s="0" t="n">
        <f aca="false">IF(AND(08_風險清冊_Risk!$A21&lt;&gt;"",OR(08_風險清冊_Risk!$G21="極高",08_風險清冊_Risk!$G21="高")),MAX($CA$4:CA20)+1,"")</f>
        <v>17</v>
      </c>
      <c r="CB21" s="0" t="str">
        <f aca="false">IF(AND(14_商機清單_Pipeline!$A21&lt;&gt;"",OR(N(14_商機清單_Pipeline!$I21)&gt;0,N(14_商機清單_Pipeline!$F21)=0)),MAX($CB$4:CB20)+1,"")</f>
        <v/>
      </c>
      <c r="CC21" s="0" t="str">
        <f aca="false">IF(AND(03_能力總表_Master!$A21&lt;&gt;"",IFERROR(INDEX(16_能力商機矩陣_CapOppMap!$D21:$CO21,MATCH(LEFT(17_商機作戰卡_OppView!$C$4,6),16_能力商機矩陣_CapOppMap!$D$4:$CO$4,0)),"")="✓"),MAX($CC$4:CC20)+1,"")</f>
        <v/>
      </c>
    </row>
    <row r="22" customFormat="false" ht="95.5" hidden="false" customHeight="false" outlineLevel="0" collapsed="false">
      <c r="A22" s="0" t="str">
        <f aca="false">IF(03_能力總表_Master!$A22="","",IF(LEFT(03_能力總表_Master!$H22,2)="群晶","● ",IF(ISNUMBER(SEARCH("已確認",03_能力總表_Master!$H22)),"◆ ",IF(ISNUMBER(SEARCH("缺口",03_能力總表_Master!$H22)),"○ ","◐ ")))&amp;RIGHT(03_能力總表_Master!$A22,3)&amp;" "&amp;03_能力總表_Master!$E22)</f>
        <v>◐ 018 醫療廢棄物與水資源</v>
      </c>
      <c r="B22" s="0" t="str">
        <f aca="false">IF(03_能力總表_Master!$A22="","",LEFT(03_能力總表_Master!$B22,3))</f>
        <v>D03</v>
      </c>
      <c r="C22" s="0" t="str">
        <f aca="false">IF(03_能力總表_Master!$A22="","",03_能力總表_Master!$C22)</f>
        <v>G3</v>
      </c>
      <c r="D22" s="363" t="str">
        <f aca="false">IF(AND($B22="D01",$C22="G0"),D21&amp;IF(D21="","",CHAR(10))&amp;$A22,D21)</f>
        <v>◐ 001 政府授權與計畫章程
◐ 002 利害關係人與權力地圖
◐ 005 聯盟治理與利益衝突</v>
      </c>
      <c r="E22" s="363" t="str">
        <f aca="false">IF(AND($B22="D01",$C22="G1"),E21&amp;IF(E21="","",CHAR(10))&amp;$A22,E21)</f>
        <v>◐ 003 交易模式選擇
◐ 004 法規與執照路徑</v>
      </c>
      <c r="F22" s="0" t="str">
        <f aca="false">IF(AND($B22="D01",$C22="G2"),F21&amp;IF(F21="","",CHAR(10))&amp;$A22,F21)</f>
        <v>◐ 006 績效契約與變更控制</v>
      </c>
      <c r="G22" s="0" t="str">
        <f aca="false">IF(AND($B22="D01",$C22="G3"),G21&amp;IF(G21="","",CHAR(10))&amp;$A22,G21)</f>
        <v/>
      </c>
      <c r="H22" s="0" t="str">
        <f aca="false">IF(AND($B22="D01",$C22="G4"),H21&amp;IF(H21="","",CHAR(10))&amp;$A22,H21)</f>
        <v/>
      </c>
      <c r="I22" s="0" t="str">
        <f aca="false">IF(AND($B22="D01",$C22="G5"),I21&amp;IF(I21="","",CHAR(10))&amp;$A22,I21)</f>
        <v/>
      </c>
      <c r="J22" s="0" t="str">
        <f aca="false">IF(AND($B22="D01",$C22="G6"),J21&amp;IF(J21="","",CHAR(10))&amp;$A22,J21)</f>
        <v/>
      </c>
      <c r="K22" s="0" t="str">
        <f aca="false">IF(AND($B22="D02",$C22="G0"),K21&amp;IF(K21="","",CHAR(10))&amp;$A22,K21)</f>
        <v/>
      </c>
      <c r="L22" s="363" t="str">
        <f aca="false">IF(AND($B22="D02",$C22="G1"),L21&amp;IF(L21="","",CHAR(10))&amp;$A22,L21)</f>
        <v>◐ 007 人口需求與病例量預測
◐ 008 醫院定位與服務組合
◐ 009 重點專科優先化
◐ 010 病人流程與容量設計
◐ 011 轉診與區域照護網絡
◐ 012 臨床治理與責任架構</v>
      </c>
      <c r="M22" s="0" t="str">
        <f aca="false">IF(AND($B22="D02",$C22="G2"),M21&amp;IF(M21="","",CHAR(10))&amp;$A22,M21)</f>
        <v/>
      </c>
      <c r="N22" s="0" t="str">
        <f aca="false">IF(AND($B22="D02",$C22="G3"),N21&amp;IF(N21="","",CHAR(10))&amp;$A22,N21)</f>
        <v/>
      </c>
      <c r="O22" s="0" t="str">
        <f aca="false">IF(AND($B22="D02",$C22="G4"),O21&amp;IF(O21="","",CHAR(10))&amp;$A22,O21)</f>
        <v/>
      </c>
      <c r="P22" s="0" t="str">
        <f aca="false">IF(AND($B22="D02",$C22="G5"),P21&amp;IF(P21="","",CHAR(10))&amp;$A22,P21)</f>
        <v/>
      </c>
      <c r="Q22" s="0" t="str">
        <f aca="false">IF(AND($B22="D02",$C22="G6"),Q21&amp;IF(Q21="","",CHAR(10))&amp;$A22,Q21)</f>
        <v/>
      </c>
      <c r="R22" s="0" t="str">
        <f aca="false">IF(AND($B22="D03",$C22="G0"),R21&amp;IF(R21="","",CHAR(10))&amp;$A22,R21)</f>
        <v/>
      </c>
      <c r="S22" s="0" t="str">
        <f aca="false">IF(AND($B22="D03",$C22="G1"),S21&amp;IF(S21="","",CHAR(10))&amp;$A22,S21)</f>
        <v>◐ 013 場址與醫院總體規劃</v>
      </c>
      <c r="T22" s="363" t="str">
        <f aca="false">IF(AND($B22="D03",$C22="G2"),T21&amp;IF(T21="","",CHAR(10))&amp;$A22,T21)</f>
        <v>◐ 014 醫療建築功能計畫
◐ 015 感染控制與潔污動線</v>
      </c>
      <c r="U22" s="363" t="str">
        <f aca="false">IF(AND($B22="D03",$C22="G3"),U21&amp;IF(U21="","",CHAR(10))&amp;$A22,U21)</f>
        <v>● 016 電力、備援與微電網
◐ 017 醫療氣體與關鍵公用系統
◐ 018 醫療廢棄物與水資源</v>
      </c>
      <c r="V22" s="0" t="str">
        <f aca="false">IF(AND($B22="D03",$C22="G4"),V21&amp;IF(V21="","",CHAR(10))&amp;$A22,V21)</f>
        <v/>
      </c>
      <c r="W22" s="0" t="str">
        <f aca="false">IF(AND($B22="D03",$C22="G5"),W21&amp;IF(W21="","",CHAR(10))&amp;$A22,W21)</f>
        <v/>
      </c>
      <c r="X22" s="0" t="str">
        <f aca="false">IF(AND($B22="D03",$C22="G6"),X21&amp;IF(X21="","",CHAR(10))&amp;$A22,X21)</f>
        <v/>
      </c>
      <c r="Y22" s="0" t="str">
        <f aca="false">IF(AND($B22="D04",$C22="G0"),Y21&amp;IF(Y21="","",CHAR(10))&amp;$A22,Y21)</f>
        <v/>
      </c>
      <c r="Z22" s="0" t="str">
        <f aca="false">IF(AND($B22="D04",$C22="G1"),Z21&amp;IF(Z21="","",CHAR(10))&amp;$A22,Z21)</f>
        <v/>
      </c>
      <c r="AA22" s="0" t="str">
        <f aca="false">IF(AND($B22="D04",$C22="G2"),AA21&amp;IF(AA21="","",CHAR(10))&amp;$A22,AA21)</f>
        <v/>
      </c>
      <c r="AB22" s="0" t="str">
        <f aca="false">IF(AND($B22="D04",$C22="G3"),AB21&amp;IF(AB21="","",CHAR(10))&amp;$A22,AB21)</f>
        <v/>
      </c>
      <c r="AC22" s="0" t="str">
        <f aca="false">IF(AND($B22="D04",$C22="G4"),AC21&amp;IF(AC21="","",CHAR(10))&amp;$A22,AC21)</f>
        <v/>
      </c>
      <c r="AD22" s="0" t="str">
        <f aca="false">IF(AND($B22="D04",$C22="G5"),AD21&amp;IF(AD21="","",CHAR(10))&amp;$A22,AD21)</f>
        <v/>
      </c>
      <c r="AE22" s="0" t="str">
        <f aca="false">IF(AND($B22="D04",$C22="G6"),AE21&amp;IF(AE21="","",CHAR(10))&amp;$A22,AE21)</f>
        <v/>
      </c>
      <c r="AF22" s="0" t="str">
        <f aca="false">IF(AND($B22="D05",$C22="G0"),AF21&amp;IF(AF21="","",CHAR(10))&amp;$A22,AF21)</f>
        <v/>
      </c>
      <c r="AG22" s="0" t="str">
        <f aca="false">IF(AND($B22="D05",$C22="G1"),AG21&amp;IF(AG21="","",CHAR(10))&amp;$A22,AG21)</f>
        <v/>
      </c>
      <c r="AH22" s="0" t="str">
        <f aca="false">IF(AND($B22="D05",$C22="G2"),AH21&amp;IF(AH21="","",CHAR(10))&amp;$A22,AH21)</f>
        <v/>
      </c>
      <c r="AI22" s="0" t="str">
        <f aca="false">IF(AND($B22="D05",$C22="G3"),AI21&amp;IF(AI21="","",CHAR(10))&amp;$A22,AI21)</f>
        <v/>
      </c>
      <c r="AJ22" s="0" t="str">
        <f aca="false">IF(AND($B22="D05",$C22="G4"),AJ21&amp;IF(AJ21="","",CHAR(10))&amp;$A22,AJ21)</f>
        <v/>
      </c>
      <c r="AK22" s="0" t="str">
        <f aca="false">IF(AND($B22="D05",$C22="G5"),AK21&amp;IF(AK21="","",CHAR(10))&amp;$A22,AK21)</f>
        <v/>
      </c>
      <c r="AL22" s="0" t="str">
        <f aca="false">IF(AND($B22="D05",$C22="G6"),AL21&amp;IF(AL21="","",CHAR(10))&amp;$A22,AL21)</f>
        <v/>
      </c>
      <c r="AM22" s="0" t="str">
        <f aca="false">IF(AND($B22="D06",$C22="G0"),AM21&amp;IF(AM21="","",CHAR(10))&amp;$A22,AM21)</f>
        <v/>
      </c>
      <c r="AN22" s="0" t="str">
        <f aca="false">IF(AND($B22="D06",$C22="G1"),AN21&amp;IF(AN21="","",CHAR(10))&amp;$A22,AN21)</f>
        <v/>
      </c>
      <c r="AO22" s="0" t="str">
        <f aca="false">IF(AND($B22="D06",$C22="G2"),AO21&amp;IF(AO21="","",CHAR(10))&amp;$A22,AO21)</f>
        <v/>
      </c>
      <c r="AP22" s="0" t="str">
        <f aca="false">IF(AND($B22="D06",$C22="G3"),AP21&amp;IF(AP21="","",CHAR(10))&amp;$A22,AP21)</f>
        <v/>
      </c>
      <c r="AQ22" s="0" t="str">
        <f aca="false">IF(AND($B22="D06",$C22="G4"),AQ21&amp;IF(AQ21="","",CHAR(10))&amp;$A22,AQ21)</f>
        <v/>
      </c>
      <c r="AR22" s="0" t="str">
        <f aca="false">IF(AND($B22="D06",$C22="G5"),AR21&amp;IF(AR21="","",CHAR(10))&amp;$A22,AR21)</f>
        <v/>
      </c>
      <c r="AS22" s="0" t="str">
        <f aca="false">IF(AND($B22="D06",$C22="G6"),AS21&amp;IF(AS21="","",CHAR(10))&amp;$A22,AS21)</f>
        <v/>
      </c>
      <c r="AT22" s="0" t="str">
        <f aca="false">IF(AND($B22="D07",$C22="G0"),AT21&amp;IF(AT21="","",CHAR(10))&amp;$A22,AT21)</f>
        <v/>
      </c>
      <c r="AU22" s="0" t="str">
        <f aca="false">IF(AND($B22="D07",$C22="G1"),AU21&amp;IF(AU21="","",CHAR(10))&amp;$A22,AU21)</f>
        <v/>
      </c>
      <c r="AV22" s="0" t="str">
        <f aca="false">IF(AND($B22="D07",$C22="G2"),AV21&amp;IF(AV21="","",CHAR(10))&amp;$A22,AV21)</f>
        <v/>
      </c>
      <c r="AW22" s="0" t="str">
        <f aca="false">IF(AND($B22="D07",$C22="G3"),AW21&amp;IF(AW21="","",CHAR(10))&amp;$A22,AW21)</f>
        <v/>
      </c>
      <c r="AX22" s="0" t="str">
        <f aca="false">IF(AND($B22="D07",$C22="G4"),AX21&amp;IF(AX21="","",CHAR(10))&amp;$A22,AX21)</f>
        <v/>
      </c>
      <c r="AY22" s="0" t="str">
        <f aca="false">IF(AND($B22="D07",$C22="G5"),AY21&amp;IF(AY21="","",CHAR(10))&amp;$A22,AY21)</f>
        <v/>
      </c>
      <c r="AZ22" s="0" t="str">
        <f aca="false">IF(AND($B22="D07",$C22="G6"),AZ21&amp;IF(AZ21="","",CHAR(10))&amp;$A22,AZ21)</f>
        <v/>
      </c>
      <c r="BA22" s="0" t="str">
        <f aca="false">IF(AND($B22="D08",$C22="G0"),BA21&amp;IF(BA21="","",CHAR(10))&amp;$A22,BA21)</f>
        <v/>
      </c>
      <c r="BB22" s="0" t="str">
        <f aca="false">IF(AND($B22="D08",$C22="G1"),BB21&amp;IF(BB21="","",CHAR(10))&amp;$A22,BB21)</f>
        <v/>
      </c>
      <c r="BC22" s="0" t="str">
        <f aca="false">IF(AND($B22="D08",$C22="G2"),BC21&amp;IF(BC21="","",CHAR(10))&amp;$A22,BC21)</f>
        <v/>
      </c>
      <c r="BD22" s="0" t="str">
        <f aca="false">IF(AND($B22="D08",$C22="G3"),BD21&amp;IF(BD21="","",CHAR(10))&amp;$A22,BD21)</f>
        <v/>
      </c>
      <c r="BE22" s="0" t="str">
        <f aca="false">IF(AND($B22="D08",$C22="G4"),BE21&amp;IF(BE21="","",CHAR(10))&amp;$A22,BE21)</f>
        <v/>
      </c>
      <c r="BF22" s="0" t="str">
        <f aca="false">IF(AND($B22="D08",$C22="G5"),BF21&amp;IF(BF21="","",CHAR(10))&amp;$A22,BF21)</f>
        <v/>
      </c>
      <c r="BG22" s="0" t="str">
        <f aca="false">IF(AND($B22="D08",$C22="G6"),BG21&amp;IF(BG21="","",CHAR(10))&amp;$A22,BG21)</f>
        <v/>
      </c>
      <c r="BH22" s="0" t="str">
        <f aca="false">IF(AND($B22="D09",$C22="G0"),BH21&amp;IF(BH21="","",CHAR(10))&amp;$A22,BH21)</f>
        <v/>
      </c>
      <c r="BI22" s="0" t="str">
        <f aca="false">IF(AND($B22="D09",$C22="G1"),BI21&amp;IF(BI21="","",CHAR(10))&amp;$A22,BI21)</f>
        <v/>
      </c>
      <c r="BJ22" s="0" t="str">
        <f aca="false">IF(AND($B22="D09",$C22="G2"),BJ21&amp;IF(BJ21="","",CHAR(10))&amp;$A22,BJ21)</f>
        <v/>
      </c>
      <c r="BK22" s="0" t="str">
        <f aca="false">IF(AND($B22="D09",$C22="G3"),BK21&amp;IF(BK21="","",CHAR(10))&amp;$A22,BK21)</f>
        <v/>
      </c>
      <c r="BL22" s="0" t="str">
        <f aca="false">IF(AND($B22="D09",$C22="G4"),BL21&amp;IF(BL21="","",CHAR(10))&amp;$A22,BL21)</f>
        <v/>
      </c>
      <c r="BM22" s="0" t="str">
        <f aca="false">IF(AND($B22="D09",$C22="G5"),BM21&amp;IF(BM21="","",CHAR(10))&amp;$A22,BM21)</f>
        <v/>
      </c>
      <c r="BN22" s="0" t="str">
        <f aca="false">IF(AND($B22="D09",$C22="G6"),BN21&amp;IF(BN21="","",CHAR(10))&amp;$A22,BN21)</f>
        <v/>
      </c>
      <c r="BO22" s="0" t="str">
        <f aca="false">IF(AND($B22="D10",$C22="G0"),BO21&amp;IF(BO21="","",CHAR(10))&amp;$A22,BO21)</f>
        <v/>
      </c>
      <c r="BP22" s="0" t="str">
        <f aca="false">IF(AND($B22="D10",$C22="G1"),BP21&amp;IF(BP21="","",CHAR(10))&amp;$A22,BP21)</f>
        <v/>
      </c>
      <c r="BQ22" s="0" t="str">
        <f aca="false">IF(AND($B22="D10",$C22="G2"),BQ21&amp;IF(BQ21="","",CHAR(10))&amp;$A22,BQ21)</f>
        <v/>
      </c>
      <c r="BR22" s="0" t="str">
        <f aca="false">IF(AND($B22="D10",$C22="G3"),BR21&amp;IF(BR21="","",CHAR(10))&amp;$A22,BR21)</f>
        <v/>
      </c>
      <c r="BS22" s="0" t="str">
        <f aca="false">IF(AND($B22="D10",$C22="G4"),BS21&amp;IF(BS21="","",CHAR(10))&amp;$A22,BS21)</f>
        <v/>
      </c>
      <c r="BT22" s="0" t="str">
        <f aca="false">IF(AND($B22="D10",$C22="G5"),BT21&amp;IF(BT21="","",CHAR(10))&amp;$A22,BT21)</f>
        <v/>
      </c>
      <c r="BU22" s="0" t="str">
        <f aca="false">IF(AND($B22="D10",$C22="G6"),BU21&amp;IF(BU21="","",CHAR(10))&amp;$A22,BU21)</f>
        <v/>
      </c>
      <c r="BX22" s="0" t="str">
        <f aca="false">IF(AND(03_能力總表_Master!$A22&lt;&gt;"",LEFT(03_能力總表_Master!$H22,2)="缺口"),MAX($BX$4:BX21)+1,"")</f>
        <v/>
      </c>
      <c r="BY22" s="0" t="str">
        <f aca="false">IF(AND(03_能力總表_Master!$A22&lt;&gt;"",03_能力總表_Master!$J22=12_夥伴視角_PartnerView!$C$4),MAX($BY$4:BY21)+1,"")</f>
        <v/>
      </c>
      <c r="BZ22" s="0" t="str">
        <f aca="false">IF(AND(05_法規門檻_Gates!$A22&lt;&gt;"",05_法規門檻_Gates!$E22="強制",05_法規門檻_Gates!$F22="待確認"),MAX($BZ$4:BZ21)+1,"")</f>
        <v/>
      </c>
      <c r="CA22" s="0" t="n">
        <f aca="false">IF(AND(08_風險清冊_Risk!$A22&lt;&gt;"",OR(08_風險清冊_Risk!$G22="極高",08_風險清冊_Risk!$G22="高")),MAX($CA$4:CA21)+1,"")</f>
        <v>18</v>
      </c>
      <c r="CB22" s="0" t="str">
        <f aca="false">IF(AND(14_商機清單_Pipeline!$A22&lt;&gt;"",OR(N(14_商機清單_Pipeline!$I22)&gt;0,N(14_商機清單_Pipeline!$F22)=0)),MAX($CB$4:CB21)+1,"")</f>
        <v/>
      </c>
      <c r="CC22" s="0" t="str">
        <f aca="false">IF(AND(03_能力總表_Master!$A22&lt;&gt;"",IFERROR(INDEX(16_能力商機矩陣_CapOppMap!$D22:$CO22,MATCH(LEFT(17_商機作戰卡_OppView!$C$4,6),16_能力商機矩陣_CapOppMap!$D$4:$CO$4,0)),"")="✓"),MAX($CC$4:CC21)+1,"")</f>
        <v/>
      </c>
    </row>
    <row r="23" customFormat="false" ht="95.5" hidden="false" customHeight="false" outlineLevel="0" collapsed="false">
      <c r="A23" s="0" t="str">
        <f aca="false">IF(03_能力總表_Master!$A23="","",IF(LEFT(03_能力總表_Master!$H23,2)="群晶","● ",IF(ISNUMBER(SEARCH("已確認",03_能力總表_Master!$H23)),"◆ ",IF(ISNUMBER(SEARCH("缺口",03_能力總表_Master!$H23)),"○ ","◐ ")))&amp;RIGHT(03_能力總表_Master!$A23,3)&amp;" "&amp;03_能力總表_Master!$E23)</f>
        <v>◐ 019 綠色與氣候韌性醫院</v>
      </c>
      <c r="B23" s="0" t="str">
        <f aca="false">IF(03_能力總表_Master!$A23="","",LEFT(03_能力總表_Master!$B23,3))</f>
        <v>D03</v>
      </c>
      <c r="C23" s="0" t="str">
        <f aca="false">IF(03_能力總表_Master!$A23="","",03_能力總表_Master!$C23)</f>
        <v>G2</v>
      </c>
      <c r="D23" s="363" t="str">
        <f aca="false">IF(AND($B23="D01",$C23="G0"),D22&amp;IF(D22="","",CHAR(10))&amp;$A23,D22)</f>
        <v>◐ 001 政府授權與計畫章程
◐ 002 利害關係人與權力地圖
◐ 005 聯盟治理與利益衝突</v>
      </c>
      <c r="E23" s="363" t="str">
        <f aca="false">IF(AND($B23="D01",$C23="G1"),E22&amp;IF(E22="","",CHAR(10))&amp;$A23,E22)</f>
        <v>◐ 003 交易模式選擇
◐ 004 法規與執照路徑</v>
      </c>
      <c r="F23" s="0" t="str">
        <f aca="false">IF(AND($B23="D01",$C23="G2"),F22&amp;IF(F22="","",CHAR(10))&amp;$A23,F22)</f>
        <v>◐ 006 績效契約與變更控制</v>
      </c>
      <c r="G23" s="0" t="str">
        <f aca="false">IF(AND($B23="D01",$C23="G3"),G22&amp;IF(G22="","",CHAR(10))&amp;$A23,G22)</f>
        <v/>
      </c>
      <c r="H23" s="0" t="str">
        <f aca="false">IF(AND($B23="D01",$C23="G4"),H22&amp;IF(H22="","",CHAR(10))&amp;$A23,H22)</f>
        <v/>
      </c>
      <c r="I23" s="0" t="str">
        <f aca="false">IF(AND($B23="D01",$C23="G5"),I22&amp;IF(I22="","",CHAR(10))&amp;$A23,I22)</f>
        <v/>
      </c>
      <c r="J23" s="0" t="str">
        <f aca="false">IF(AND($B23="D01",$C23="G6"),J22&amp;IF(J22="","",CHAR(10))&amp;$A23,J22)</f>
        <v/>
      </c>
      <c r="K23" s="0" t="str">
        <f aca="false">IF(AND($B23="D02",$C23="G0"),K22&amp;IF(K22="","",CHAR(10))&amp;$A23,K22)</f>
        <v/>
      </c>
      <c r="L23" s="363" t="str">
        <f aca="false">IF(AND($B23="D02",$C23="G1"),L22&amp;IF(L22="","",CHAR(10))&amp;$A23,L22)</f>
        <v>◐ 007 人口需求與病例量預測
◐ 008 醫院定位與服務組合
◐ 009 重點專科優先化
◐ 010 病人流程與容量設計
◐ 011 轉診與區域照護網絡
◐ 012 臨床治理與責任架構</v>
      </c>
      <c r="M23" s="0" t="str">
        <f aca="false">IF(AND($B23="D02",$C23="G2"),M22&amp;IF(M22="","",CHAR(10))&amp;$A23,M22)</f>
        <v/>
      </c>
      <c r="N23" s="0" t="str">
        <f aca="false">IF(AND($B23="D02",$C23="G3"),N22&amp;IF(N22="","",CHAR(10))&amp;$A23,N22)</f>
        <v/>
      </c>
      <c r="O23" s="0" t="str">
        <f aca="false">IF(AND($B23="D02",$C23="G4"),O22&amp;IF(O22="","",CHAR(10))&amp;$A23,O22)</f>
        <v/>
      </c>
      <c r="P23" s="0" t="str">
        <f aca="false">IF(AND($B23="D02",$C23="G5"),P22&amp;IF(P22="","",CHAR(10))&amp;$A23,P22)</f>
        <v/>
      </c>
      <c r="Q23" s="0" t="str">
        <f aca="false">IF(AND($B23="D02",$C23="G6"),Q22&amp;IF(Q22="","",CHAR(10))&amp;$A23,Q22)</f>
        <v/>
      </c>
      <c r="R23" s="0" t="str">
        <f aca="false">IF(AND($B23="D03",$C23="G0"),R22&amp;IF(R22="","",CHAR(10))&amp;$A23,R22)</f>
        <v/>
      </c>
      <c r="S23" s="0" t="str">
        <f aca="false">IF(AND($B23="D03",$C23="G1"),S22&amp;IF(S22="","",CHAR(10))&amp;$A23,S22)</f>
        <v>◐ 013 場址與醫院總體規劃</v>
      </c>
      <c r="T23" s="363" t="str">
        <f aca="false">IF(AND($B23="D03",$C23="G2"),T22&amp;IF(T22="","",CHAR(10))&amp;$A23,T22)</f>
        <v>◐ 014 醫療建築功能計畫
◐ 015 感染控制與潔污動線
◐ 019 綠色與氣候韌性醫院</v>
      </c>
      <c r="U23" s="363" t="str">
        <f aca="false">IF(AND($B23="D03",$C23="G3"),U22&amp;IF(U22="","",CHAR(10))&amp;$A23,U22)</f>
        <v>● 016 電力、備援與微電網
◐ 017 醫療氣體與關鍵公用系統
◐ 018 醫療廢棄物與水資源</v>
      </c>
      <c r="V23" s="0" t="str">
        <f aca="false">IF(AND($B23="D03",$C23="G4"),V22&amp;IF(V22="","",CHAR(10))&amp;$A23,V22)</f>
        <v/>
      </c>
      <c r="W23" s="0" t="str">
        <f aca="false">IF(AND($B23="D03",$C23="G5"),W22&amp;IF(W22="","",CHAR(10))&amp;$A23,W22)</f>
        <v/>
      </c>
      <c r="X23" s="0" t="str">
        <f aca="false">IF(AND($B23="D03",$C23="G6"),X22&amp;IF(X22="","",CHAR(10))&amp;$A23,X22)</f>
        <v/>
      </c>
      <c r="Y23" s="0" t="str">
        <f aca="false">IF(AND($B23="D04",$C23="G0"),Y22&amp;IF(Y22="","",CHAR(10))&amp;$A23,Y22)</f>
        <v/>
      </c>
      <c r="Z23" s="0" t="str">
        <f aca="false">IF(AND($B23="D04",$C23="G1"),Z22&amp;IF(Z22="","",CHAR(10))&amp;$A23,Z22)</f>
        <v/>
      </c>
      <c r="AA23" s="0" t="str">
        <f aca="false">IF(AND($B23="D04",$C23="G2"),AA22&amp;IF(AA22="","",CHAR(10))&amp;$A23,AA22)</f>
        <v/>
      </c>
      <c r="AB23" s="0" t="str">
        <f aca="false">IF(AND($B23="D04",$C23="G3"),AB22&amp;IF(AB22="","",CHAR(10))&amp;$A23,AB22)</f>
        <v/>
      </c>
      <c r="AC23" s="0" t="str">
        <f aca="false">IF(AND($B23="D04",$C23="G4"),AC22&amp;IF(AC22="","",CHAR(10))&amp;$A23,AC22)</f>
        <v/>
      </c>
      <c r="AD23" s="0" t="str">
        <f aca="false">IF(AND($B23="D04",$C23="G5"),AD22&amp;IF(AD22="","",CHAR(10))&amp;$A23,AD22)</f>
        <v/>
      </c>
      <c r="AE23" s="0" t="str">
        <f aca="false">IF(AND($B23="D04",$C23="G6"),AE22&amp;IF(AE22="","",CHAR(10))&amp;$A23,AE22)</f>
        <v/>
      </c>
      <c r="AF23" s="0" t="str">
        <f aca="false">IF(AND($B23="D05",$C23="G0"),AF22&amp;IF(AF22="","",CHAR(10))&amp;$A23,AF22)</f>
        <v/>
      </c>
      <c r="AG23" s="0" t="str">
        <f aca="false">IF(AND($B23="D05",$C23="G1"),AG22&amp;IF(AG22="","",CHAR(10))&amp;$A23,AG22)</f>
        <v/>
      </c>
      <c r="AH23" s="0" t="str">
        <f aca="false">IF(AND($B23="D05",$C23="G2"),AH22&amp;IF(AH22="","",CHAR(10))&amp;$A23,AH22)</f>
        <v/>
      </c>
      <c r="AI23" s="0" t="str">
        <f aca="false">IF(AND($B23="D05",$C23="G3"),AI22&amp;IF(AI22="","",CHAR(10))&amp;$A23,AI22)</f>
        <v/>
      </c>
      <c r="AJ23" s="0" t="str">
        <f aca="false">IF(AND($B23="D05",$C23="G4"),AJ22&amp;IF(AJ22="","",CHAR(10))&amp;$A23,AJ22)</f>
        <v/>
      </c>
      <c r="AK23" s="0" t="str">
        <f aca="false">IF(AND($B23="D05",$C23="G5"),AK22&amp;IF(AK22="","",CHAR(10))&amp;$A23,AK22)</f>
        <v/>
      </c>
      <c r="AL23" s="0" t="str">
        <f aca="false">IF(AND($B23="D05",$C23="G6"),AL22&amp;IF(AL22="","",CHAR(10))&amp;$A23,AL22)</f>
        <v/>
      </c>
      <c r="AM23" s="0" t="str">
        <f aca="false">IF(AND($B23="D06",$C23="G0"),AM22&amp;IF(AM22="","",CHAR(10))&amp;$A23,AM22)</f>
        <v/>
      </c>
      <c r="AN23" s="0" t="str">
        <f aca="false">IF(AND($B23="D06",$C23="G1"),AN22&amp;IF(AN22="","",CHAR(10))&amp;$A23,AN22)</f>
        <v/>
      </c>
      <c r="AO23" s="0" t="str">
        <f aca="false">IF(AND($B23="D06",$C23="G2"),AO22&amp;IF(AO22="","",CHAR(10))&amp;$A23,AO22)</f>
        <v/>
      </c>
      <c r="AP23" s="0" t="str">
        <f aca="false">IF(AND($B23="D06",$C23="G3"),AP22&amp;IF(AP22="","",CHAR(10))&amp;$A23,AP22)</f>
        <v/>
      </c>
      <c r="AQ23" s="0" t="str">
        <f aca="false">IF(AND($B23="D06",$C23="G4"),AQ22&amp;IF(AQ22="","",CHAR(10))&amp;$A23,AQ22)</f>
        <v/>
      </c>
      <c r="AR23" s="0" t="str">
        <f aca="false">IF(AND($B23="D06",$C23="G5"),AR22&amp;IF(AR22="","",CHAR(10))&amp;$A23,AR22)</f>
        <v/>
      </c>
      <c r="AS23" s="0" t="str">
        <f aca="false">IF(AND($B23="D06",$C23="G6"),AS22&amp;IF(AS22="","",CHAR(10))&amp;$A23,AS22)</f>
        <v/>
      </c>
      <c r="AT23" s="0" t="str">
        <f aca="false">IF(AND($B23="D07",$C23="G0"),AT22&amp;IF(AT22="","",CHAR(10))&amp;$A23,AT22)</f>
        <v/>
      </c>
      <c r="AU23" s="0" t="str">
        <f aca="false">IF(AND($B23="D07",$C23="G1"),AU22&amp;IF(AU22="","",CHAR(10))&amp;$A23,AU22)</f>
        <v/>
      </c>
      <c r="AV23" s="0" t="str">
        <f aca="false">IF(AND($B23="D07",$C23="G2"),AV22&amp;IF(AV22="","",CHAR(10))&amp;$A23,AV22)</f>
        <v/>
      </c>
      <c r="AW23" s="0" t="str">
        <f aca="false">IF(AND($B23="D07",$C23="G3"),AW22&amp;IF(AW22="","",CHAR(10))&amp;$A23,AW22)</f>
        <v/>
      </c>
      <c r="AX23" s="0" t="str">
        <f aca="false">IF(AND($B23="D07",$C23="G4"),AX22&amp;IF(AX22="","",CHAR(10))&amp;$A23,AX22)</f>
        <v/>
      </c>
      <c r="AY23" s="0" t="str">
        <f aca="false">IF(AND($B23="D07",$C23="G5"),AY22&amp;IF(AY22="","",CHAR(10))&amp;$A23,AY22)</f>
        <v/>
      </c>
      <c r="AZ23" s="0" t="str">
        <f aca="false">IF(AND($B23="D07",$C23="G6"),AZ22&amp;IF(AZ22="","",CHAR(10))&amp;$A23,AZ22)</f>
        <v/>
      </c>
      <c r="BA23" s="0" t="str">
        <f aca="false">IF(AND($B23="D08",$C23="G0"),BA22&amp;IF(BA22="","",CHAR(10))&amp;$A23,BA22)</f>
        <v/>
      </c>
      <c r="BB23" s="0" t="str">
        <f aca="false">IF(AND($B23="D08",$C23="G1"),BB22&amp;IF(BB22="","",CHAR(10))&amp;$A23,BB22)</f>
        <v/>
      </c>
      <c r="BC23" s="0" t="str">
        <f aca="false">IF(AND($B23="D08",$C23="G2"),BC22&amp;IF(BC22="","",CHAR(10))&amp;$A23,BC22)</f>
        <v/>
      </c>
      <c r="BD23" s="0" t="str">
        <f aca="false">IF(AND($B23="D08",$C23="G3"),BD22&amp;IF(BD22="","",CHAR(10))&amp;$A23,BD22)</f>
        <v/>
      </c>
      <c r="BE23" s="0" t="str">
        <f aca="false">IF(AND($B23="D08",$C23="G4"),BE22&amp;IF(BE22="","",CHAR(10))&amp;$A23,BE22)</f>
        <v/>
      </c>
      <c r="BF23" s="0" t="str">
        <f aca="false">IF(AND($B23="D08",$C23="G5"),BF22&amp;IF(BF22="","",CHAR(10))&amp;$A23,BF22)</f>
        <v/>
      </c>
      <c r="BG23" s="0" t="str">
        <f aca="false">IF(AND($B23="D08",$C23="G6"),BG22&amp;IF(BG22="","",CHAR(10))&amp;$A23,BG22)</f>
        <v/>
      </c>
      <c r="BH23" s="0" t="str">
        <f aca="false">IF(AND($B23="D09",$C23="G0"),BH22&amp;IF(BH22="","",CHAR(10))&amp;$A23,BH22)</f>
        <v/>
      </c>
      <c r="BI23" s="0" t="str">
        <f aca="false">IF(AND($B23="D09",$C23="G1"),BI22&amp;IF(BI22="","",CHAR(10))&amp;$A23,BI22)</f>
        <v/>
      </c>
      <c r="BJ23" s="0" t="str">
        <f aca="false">IF(AND($B23="D09",$C23="G2"),BJ22&amp;IF(BJ22="","",CHAR(10))&amp;$A23,BJ22)</f>
        <v/>
      </c>
      <c r="BK23" s="0" t="str">
        <f aca="false">IF(AND($B23="D09",$C23="G3"),BK22&amp;IF(BK22="","",CHAR(10))&amp;$A23,BK22)</f>
        <v/>
      </c>
      <c r="BL23" s="0" t="str">
        <f aca="false">IF(AND($B23="D09",$C23="G4"),BL22&amp;IF(BL22="","",CHAR(10))&amp;$A23,BL22)</f>
        <v/>
      </c>
      <c r="BM23" s="0" t="str">
        <f aca="false">IF(AND($B23="D09",$C23="G5"),BM22&amp;IF(BM22="","",CHAR(10))&amp;$A23,BM22)</f>
        <v/>
      </c>
      <c r="BN23" s="0" t="str">
        <f aca="false">IF(AND($B23="D09",$C23="G6"),BN22&amp;IF(BN22="","",CHAR(10))&amp;$A23,BN22)</f>
        <v/>
      </c>
      <c r="BO23" s="0" t="str">
        <f aca="false">IF(AND($B23="D10",$C23="G0"),BO22&amp;IF(BO22="","",CHAR(10))&amp;$A23,BO22)</f>
        <v/>
      </c>
      <c r="BP23" s="0" t="str">
        <f aca="false">IF(AND($B23="D10",$C23="G1"),BP22&amp;IF(BP22="","",CHAR(10))&amp;$A23,BP22)</f>
        <v/>
      </c>
      <c r="BQ23" s="0" t="str">
        <f aca="false">IF(AND($B23="D10",$C23="G2"),BQ22&amp;IF(BQ22="","",CHAR(10))&amp;$A23,BQ22)</f>
        <v/>
      </c>
      <c r="BR23" s="0" t="str">
        <f aca="false">IF(AND($B23="D10",$C23="G3"),BR22&amp;IF(BR22="","",CHAR(10))&amp;$A23,BR22)</f>
        <v/>
      </c>
      <c r="BS23" s="0" t="str">
        <f aca="false">IF(AND($B23="D10",$C23="G4"),BS22&amp;IF(BS22="","",CHAR(10))&amp;$A23,BS22)</f>
        <v/>
      </c>
      <c r="BT23" s="0" t="str">
        <f aca="false">IF(AND($B23="D10",$C23="G5"),BT22&amp;IF(BT22="","",CHAR(10))&amp;$A23,BT22)</f>
        <v/>
      </c>
      <c r="BU23" s="0" t="str">
        <f aca="false">IF(AND($B23="D10",$C23="G6"),BU22&amp;IF(BU22="","",CHAR(10))&amp;$A23,BU22)</f>
        <v/>
      </c>
      <c r="BX23" s="0" t="str">
        <f aca="false">IF(AND(03_能力總表_Master!$A23&lt;&gt;"",LEFT(03_能力總表_Master!$H23,2)="缺口"),MAX($BX$4:BX22)+1,"")</f>
        <v/>
      </c>
      <c r="BY23" s="0" t="str">
        <f aca="false">IF(AND(03_能力總表_Master!$A23&lt;&gt;"",03_能力總表_Master!$J23=12_夥伴視角_PartnerView!$C$4),MAX($BY$4:BY22)+1,"")</f>
        <v/>
      </c>
      <c r="BZ23" s="0" t="str">
        <f aca="false">IF(AND(05_法規門檻_Gates!$A23&lt;&gt;"",05_法規門檻_Gates!$E23="強制",05_法規門檻_Gates!$F23="待確認"),MAX($BZ$4:BZ22)+1,"")</f>
        <v/>
      </c>
      <c r="CA23" s="0" t="str">
        <f aca="false">IF(AND(08_風險清冊_Risk!$A23&lt;&gt;"",OR(08_風險清冊_Risk!$G23="極高",08_風險清冊_Risk!$G23="高")),MAX($CA$4:CA22)+1,"")</f>
        <v/>
      </c>
      <c r="CB23" s="0" t="str">
        <f aca="false">IF(AND(14_商機清單_Pipeline!$A23&lt;&gt;"",OR(N(14_商機清單_Pipeline!$I23)&gt;0,N(14_商機清單_Pipeline!$F23)=0)),MAX($CB$4:CB22)+1,"")</f>
        <v/>
      </c>
      <c r="CC23" s="0" t="str">
        <f aca="false">IF(AND(03_能力總表_Master!$A23&lt;&gt;"",IFERROR(INDEX(16_能力商機矩陣_CapOppMap!$D23:$CO23,MATCH(LEFT(17_商機作戰卡_OppView!$C$4,6),16_能力商機矩陣_CapOppMap!$D$4:$CO$4,0)),"")="✓"),MAX($CC$4:CC22)+1,"")</f>
        <v/>
      </c>
    </row>
    <row r="24" customFormat="false" ht="95.5" hidden="false" customHeight="false" outlineLevel="0" collapsed="false">
      <c r="A24" s="0" t="str">
        <f aca="false">IF(03_能力總表_Master!$A24="","",IF(LEFT(03_能力總表_Master!$H24,2)="群晶","● ",IF(ISNUMBER(SEARCH("已確認",03_能力總表_Master!$H24)),"◆ ",IF(ISNUMBER(SEARCH("缺口",03_能力總表_Master!$H24)),"○ ","◐ ")))&amp;RIGHT(03_能力總表_Master!$A24,3)&amp;" "&amp;03_能力總表_Master!$E24)</f>
        <v>● 020 IDC與邊緣運算底座</v>
      </c>
      <c r="B24" s="0" t="str">
        <f aca="false">IF(03_能力總表_Master!$A24="","",LEFT(03_能力總表_Master!$B24,3))</f>
        <v>D04</v>
      </c>
      <c r="C24" s="0" t="str">
        <f aca="false">IF(03_能力總表_Master!$A24="","",03_能力總表_Master!$C24)</f>
        <v>G3</v>
      </c>
      <c r="D24" s="363" t="str">
        <f aca="false">IF(AND($B24="D01",$C24="G0"),D23&amp;IF(D23="","",CHAR(10))&amp;$A24,D23)</f>
        <v>◐ 001 政府授權與計畫章程
◐ 002 利害關係人與權力地圖
◐ 005 聯盟治理與利益衝突</v>
      </c>
      <c r="E24" s="363" t="str">
        <f aca="false">IF(AND($B24="D01",$C24="G1"),E23&amp;IF(E23="","",CHAR(10))&amp;$A24,E23)</f>
        <v>◐ 003 交易模式選擇
◐ 004 法規與執照路徑</v>
      </c>
      <c r="F24" s="0" t="str">
        <f aca="false">IF(AND($B24="D01",$C24="G2"),F23&amp;IF(F23="","",CHAR(10))&amp;$A24,F23)</f>
        <v>◐ 006 績效契約與變更控制</v>
      </c>
      <c r="G24" s="0" t="str">
        <f aca="false">IF(AND($B24="D01",$C24="G3"),G23&amp;IF(G23="","",CHAR(10))&amp;$A24,G23)</f>
        <v/>
      </c>
      <c r="H24" s="0" t="str">
        <f aca="false">IF(AND($B24="D01",$C24="G4"),H23&amp;IF(H23="","",CHAR(10))&amp;$A24,H23)</f>
        <v/>
      </c>
      <c r="I24" s="0" t="str">
        <f aca="false">IF(AND($B24="D01",$C24="G5"),I23&amp;IF(I23="","",CHAR(10))&amp;$A24,I23)</f>
        <v/>
      </c>
      <c r="J24" s="0" t="str">
        <f aca="false">IF(AND($B24="D01",$C24="G6"),J23&amp;IF(J23="","",CHAR(10))&amp;$A24,J23)</f>
        <v/>
      </c>
      <c r="K24" s="0" t="str">
        <f aca="false">IF(AND($B24="D02",$C24="G0"),K23&amp;IF(K23="","",CHAR(10))&amp;$A24,K23)</f>
        <v/>
      </c>
      <c r="L24" s="363" t="str">
        <f aca="false">IF(AND($B24="D02",$C24="G1"),L23&amp;IF(L23="","",CHAR(10))&amp;$A24,L23)</f>
        <v>◐ 007 人口需求與病例量預測
◐ 008 醫院定位與服務組合
◐ 009 重點專科優先化
◐ 010 病人流程與容量設計
◐ 011 轉診與區域照護網絡
◐ 012 臨床治理與責任架構</v>
      </c>
      <c r="M24" s="0" t="str">
        <f aca="false">IF(AND($B24="D02",$C24="G2"),M23&amp;IF(M23="","",CHAR(10))&amp;$A24,M23)</f>
        <v/>
      </c>
      <c r="N24" s="0" t="str">
        <f aca="false">IF(AND($B24="D02",$C24="G3"),N23&amp;IF(N23="","",CHAR(10))&amp;$A24,N23)</f>
        <v/>
      </c>
      <c r="O24" s="0" t="str">
        <f aca="false">IF(AND($B24="D02",$C24="G4"),O23&amp;IF(O23="","",CHAR(10))&amp;$A24,O23)</f>
        <v/>
      </c>
      <c r="P24" s="0" t="str">
        <f aca="false">IF(AND($B24="D02",$C24="G5"),P23&amp;IF(P23="","",CHAR(10))&amp;$A24,P23)</f>
        <v/>
      </c>
      <c r="Q24" s="0" t="str">
        <f aca="false">IF(AND($B24="D02",$C24="G6"),Q23&amp;IF(Q23="","",CHAR(10))&amp;$A24,Q23)</f>
        <v/>
      </c>
      <c r="R24" s="0" t="str">
        <f aca="false">IF(AND($B24="D03",$C24="G0"),R23&amp;IF(R23="","",CHAR(10))&amp;$A24,R23)</f>
        <v/>
      </c>
      <c r="S24" s="0" t="str">
        <f aca="false">IF(AND($B24="D03",$C24="G1"),S23&amp;IF(S23="","",CHAR(10))&amp;$A24,S23)</f>
        <v>◐ 013 場址與醫院總體規劃</v>
      </c>
      <c r="T24" s="363" t="str">
        <f aca="false">IF(AND($B24="D03",$C24="G2"),T23&amp;IF(T23="","",CHAR(10))&amp;$A24,T23)</f>
        <v>◐ 014 醫療建築功能計畫
◐ 015 感染控制與潔污動線
◐ 019 綠色與氣候韌性醫院</v>
      </c>
      <c r="U24" s="363" t="str">
        <f aca="false">IF(AND($B24="D03",$C24="G3"),U23&amp;IF(U23="","",CHAR(10))&amp;$A24,U23)</f>
        <v>● 016 電力、備援與微電網
◐ 017 醫療氣體與關鍵公用系統
◐ 018 醫療廢棄物與水資源</v>
      </c>
      <c r="V24" s="0" t="str">
        <f aca="false">IF(AND($B24="D03",$C24="G4"),V23&amp;IF(V23="","",CHAR(10))&amp;$A24,V23)</f>
        <v/>
      </c>
      <c r="W24" s="0" t="str">
        <f aca="false">IF(AND($B24="D03",$C24="G5"),W23&amp;IF(W23="","",CHAR(10))&amp;$A24,W23)</f>
        <v/>
      </c>
      <c r="X24" s="0" t="str">
        <f aca="false">IF(AND($B24="D03",$C24="G6"),X23&amp;IF(X23="","",CHAR(10))&amp;$A24,X23)</f>
        <v/>
      </c>
      <c r="Y24" s="0" t="str">
        <f aca="false">IF(AND($B24="D04",$C24="G0"),Y23&amp;IF(Y23="","",CHAR(10))&amp;$A24,Y23)</f>
        <v/>
      </c>
      <c r="Z24" s="0" t="str">
        <f aca="false">IF(AND($B24="D04",$C24="G1"),Z23&amp;IF(Z23="","",CHAR(10))&amp;$A24,Z23)</f>
        <v/>
      </c>
      <c r="AA24" s="0" t="str">
        <f aca="false">IF(AND($B24="D04",$C24="G2"),AA23&amp;IF(AA23="","",CHAR(10))&amp;$A24,AA23)</f>
        <v/>
      </c>
      <c r="AB24" s="0" t="str">
        <f aca="false">IF(AND($B24="D04",$C24="G3"),AB23&amp;IF(AB23="","",CHAR(10))&amp;$A24,AB23)</f>
        <v>● 020 IDC與邊緣運算底座</v>
      </c>
      <c r="AC24" s="0" t="str">
        <f aca="false">IF(AND($B24="D04",$C24="G4"),AC23&amp;IF(AC23="","",CHAR(10))&amp;$A24,AC23)</f>
        <v/>
      </c>
      <c r="AD24" s="0" t="str">
        <f aca="false">IF(AND($B24="D04",$C24="G5"),AD23&amp;IF(AD23="","",CHAR(10))&amp;$A24,AD23)</f>
        <v/>
      </c>
      <c r="AE24" s="0" t="str">
        <f aca="false">IF(AND($B24="D04",$C24="G6"),AE23&amp;IF(AE23="","",CHAR(10))&amp;$A24,AE23)</f>
        <v/>
      </c>
      <c r="AF24" s="0" t="str">
        <f aca="false">IF(AND($B24="D05",$C24="G0"),AF23&amp;IF(AF23="","",CHAR(10))&amp;$A24,AF23)</f>
        <v/>
      </c>
      <c r="AG24" s="0" t="str">
        <f aca="false">IF(AND($B24="D05",$C24="G1"),AG23&amp;IF(AG23="","",CHAR(10))&amp;$A24,AG23)</f>
        <v/>
      </c>
      <c r="AH24" s="0" t="str">
        <f aca="false">IF(AND($B24="D05",$C24="G2"),AH23&amp;IF(AH23="","",CHAR(10))&amp;$A24,AH23)</f>
        <v/>
      </c>
      <c r="AI24" s="0" t="str">
        <f aca="false">IF(AND($B24="D05",$C24="G3"),AI23&amp;IF(AI23="","",CHAR(10))&amp;$A24,AI23)</f>
        <v/>
      </c>
      <c r="AJ24" s="0" t="str">
        <f aca="false">IF(AND($B24="D05",$C24="G4"),AJ23&amp;IF(AJ23="","",CHAR(10))&amp;$A24,AJ23)</f>
        <v/>
      </c>
      <c r="AK24" s="0" t="str">
        <f aca="false">IF(AND($B24="D05",$C24="G5"),AK23&amp;IF(AK23="","",CHAR(10))&amp;$A24,AK23)</f>
        <v/>
      </c>
      <c r="AL24" s="0" t="str">
        <f aca="false">IF(AND($B24="D05",$C24="G6"),AL23&amp;IF(AL23="","",CHAR(10))&amp;$A24,AL23)</f>
        <v/>
      </c>
      <c r="AM24" s="0" t="str">
        <f aca="false">IF(AND($B24="D06",$C24="G0"),AM23&amp;IF(AM23="","",CHAR(10))&amp;$A24,AM23)</f>
        <v/>
      </c>
      <c r="AN24" s="0" t="str">
        <f aca="false">IF(AND($B24="D06",$C24="G1"),AN23&amp;IF(AN23="","",CHAR(10))&amp;$A24,AN23)</f>
        <v/>
      </c>
      <c r="AO24" s="0" t="str">
        <f aca="false">IF(AND($B24="D06",$C24="G2"),AO23&amp;IF(AO23="","",CHAR(10))&amp;$A24,AO23)</f>
        <v/>
      </c>
      <c r="AP24" s="0" t="str">
        <f aca="false">IF(AND($B24="D06",$C24="G3"),AP23&amp;IF(AP23="","",CHAR(10))&amp;$A24,AP23)</f>
        <v/>
      </c>
      <c r="AQ24" s="0" t="str">
        <f aca="false">IF(AND($B24="D06",$C24="G4"),AQ23&amp;IF(AQ23="","",CHAR(10))&amp;$A24,AQ23)</f>
        <v/>
      </c>
      <c r="AR24" s="0" t="str">
        <f aca="false">IF(AND($B24="D06",$C24="G5"),AR23&amp;IF(AR23="","",CHAR(10))&amp;$A24,AR23)</f>
        <v/>
      </c>
      <c r="AS24" s="0" t="str">
        <f aca="false">IF(AND($B24="D06",$C24="G6"),AS23&amp;IF(AS23="","",CHAR(10))&amp;$A24,AS23)</f>
        <v/>
      </c>
      <c r="AT24" s="0" t="str">
        <f aca="false">IF(AND($B24="D07",$C24="G0"),AT23&amp;IF(AT23="","",CHAR(10))&amp;$A24,AT23)</f>
        <v/>
      </c>
      <c r="AU24" s="0" t="str">
        <f aca="false">IF(AND($B24="D07",$C24="G1"),AU23&amp;IF(AU23="","",CHAR(10))&amp;$A24,AU23)</f>
        <v/>
      </c>
      <c r="AV24" s="0" t="str">
        <f aca="false">IF(AND($B24="D07",$C24="G2"),AV23&amp;IF(AV23="","",CHAR(10))&amp;$A24,AV23)</f>
        <v/>
      </c>
      <c r="AW24" s="0" t="str">
        <f aca="false">IF(AND($B24="D07",$C24="G3"),AW23&amp;IF(AW23="","",CHAR(10))&amp;$A24,AW23)</f>
        <v/>
      </c>
      <c r="AX24" s="0" t="str">
        <f aca="false">IF(AND($B24="D07",$C24="G4"),AX23&amp;IF(AX23="","",CHAR(10))&amp;$A24,AX23)</f>
        <v/>
      </c>
      <c r="AY24" s="0" t="str">
        <f aca="false">IF(AND($B24="D07",$C24="G5"),AY23&amp;IF(AY23="","",CHAR(10))&amp;$A24,AY23)</f>
        <v/>
      </c>
      <c r="AZ24" s="0" t="str">
        <f aca="false">IF(AND($B24="D07",$C24="G6"),AZ23&amp;IF(AZ23="","",CHAR(10))&amp;$A24,AZ23)</f>
        <v/>
      </c>
      <c r="BA24" s="0" t="str">
        <f aca="false">IF(AND($B24="D08",$C24="G0"),BA23&amp;IF(BA23="","",CHAR(10))&amp;$A24,BA23)</f>
        <v/>
      </c>
      <c r="BB24" s="0" t="str">
        <f aca="false">IF(AND($B24="D08",$C24="G1"),BB23&amp;IF(BB23="","",CHAR(10))&amp;$A24,BB23)</f>
        <v/>
      </c>
      <c r="BC24" s="0" t="str">
        <f aca="false">IF(AND($B24="D08",$C24="G2"),BC23&amp;IF(BC23="","",CHAR(10))&amp;$A24,BC23)</f>
        <v/>
      </c>
      <c r="BD24" s="0" t="str">
        <f aca="false">IF(AND($B24="D08",$C24="G3"),BD23&amp;IF(BD23="","",CHAR(10))&amp;$A24,BD23)</f>
        <v/>
      </c>
      <c r="BE24" s="0" t="str">
        <f aca="false">IF(AND($B24="D08",$C24="G4"),BE23&amp;IF(BE23="","",CHAR(10))&amp;$A24,BE23)</f>
        <v/>
      </c>
      <c r="BF24" s="0" t="str">
        <f aca="false">IF(AND($B24="D08",$C24="G5"),BF23&amp;IF(BF23="","",CHAR(10))&amp;$A24,BF23)</f>
        <v/>
      </c>
      <c r="BG24" s="0" t="str">
        <f aca="false">IF(AND($B24="D08",$C24="G6"),BG23&amp;IF(BG23="","",CHAR(10))&amp;$A24,BG23)</f>
        <v/>
      </c>
      <c r="BH24" s="0" t="str">
        <f aca="false">IF(AND($B24="D09",$C24="G0"),BH23&amp;IF(BH23="","",CHAR(10))&amp;$A24,BH23)</f>
        <v/>
      </c>
      <c r="BI24" s="0" t="str">
        <f aca="false">IF(AND($B24="D09",$C24="G1"),BI23&amp;IF(BI23="","",CHAR(10))&amp;$A24,BI23)</f>
        <v/>
      </c>
      <c r="BJ24" s="0" t="str">
        <f aca="false">IF(AND($B24="D09",$C24="G2"),BJ23&amp;IF(BJ23="","",CHAR(10))&amp;$A24,BJ23)</f>
        <v/>
      </c>
      <c r="BK24" s="0" t="str">
        <f aca="false">IF(AND($B24="D09",$C24="G3"),BK23&amp;IF(BK23="","",CHAR(10))&amp;$A24,BK23)</f>
        <v/>
      </c>
      <c r="BL24" s="0" t="str">
        <f aca="false">IF(AND($B24="D09",$C24="G4"),BL23&amp;IF(BL23="","",CHAR(10))&amp;$A24,BL23)</f>
        <v/>
      </c>
      <c r="BM24" s="0" t="str">
        <f aca="false">IF(AND($B24="D09",$C24="G5"),BM23&amp;IF(BM23="","",CHAR(10))&amp;$A24,BM23)</f>
        <v/>
      </c>
      <c r="BN24" s="0" t="str">
        <f aca="false">IF(AND($B24="D09",$C24="G6"),BN23&amp;IF(BN23="","",CHAR(10))&amp;$A24,BN23)</f>
        <v/>
      </c>
      <c r="BO24" s="0" t="str">
        <f aca="false">IF(AND($B24="D10",$C24="G0"),BO23&amp;IF(BO23="","",CHAR(10))&amp;$A24,BO23)</f>
        <v/>
      </c>
      <c r="BP24" s="0" t="str">
        <f aca="false">IF(AND($B24="D10",$C24="G1"),BP23&amp;IF(BP23="","",CHAR(10))&amp;$A24,BP23)</f>
        <v/>
      </c>
      <c r="BQ24" s="0" t="str">
        <f aca="false">IF(AND($B24="D10",$C24="G2"),BQ23&amp;IF(BQ23="","",CHAR(10))&amp;$A24,BQ23)</f>
        <v/>
      </c>
      <c r="BR24" s="0" t="str">
        <f aca="false">IF(AND($B24="D10",$C24="G3"),BR23&amp;IF(BR23="","",CHAR(10))&amp;$A24,BR23)</f>
        <v/>
      </c>
      <c r="BS24" s="0" t="str">
        <f aca="false">IF(AND($B24="D10",$C24="G4"),BS23&amp;IF(BS23="","",CHAR(10))&amp;$A24,BS23)</f>
        <v/>
      </c>
      <c r="BT24" s="0" t="str">
        <f aca="false">IF(AND($B24="D10",$C24="G5"),BT23&amp;IF(BT23="","",CHAR(10))&amp;$A24,BT23)</f>
        <v/>
      </c>
      <c r="BU24" s="0" t="str">
        <f aca="false">IF(AND($B24="D10",$C24="G6"),BU23&amp;IF(BU23="","",CHAR(10))&amp;$A24,BU23)</f>
        <v/>
      </c>
      <c r="BX24" s="0" t="str">
        <f aca="false">IF(AND(03_能力總表_Master!$A24&lt;&gt;"",LEFT(03_能力總表_Master!$H24,2)="缺口"),MAX($BX$4:BX23)+1,"")</f>
        <v/>
      </c>
      <c r="BY24" s="0" t="n">
        <f aca="false">IF(AND(03_能力總表_Master!$A24&lt;&gt;"",03_能力總表_Master!$J24=12_夥伴視角_PartnerView!$C$4),MAX($BY$4:BY23)+1,"")</f>
        <v>2</v>
      </c>
      <c r="BZ24" s="0" t="str">
        <f aca="false">IF(AND(05_法規門檻_Gates!$A24&lt;&gt;"",05_法規門檻_Gates!$E24="強制",05_法規門檻_Gates!$F24="待確認"),MAX($BZ$4:BZ23)+1,"")</f>
        <v/>
      </c>
      <c r="CA24" s="0" t="n">
        <f aca="false">IF(AND(08_風險清冊_Risk!$A24&lt;&gt;"",OR(08_風險清冊_Risk!$G24="極高",08_風險清冊_Risk!$G24="高")),MAX($CA$4:CA23)+1,"")</f>
        <v>19</v>
      </c>
      <c r="CB24" s="0" t="str">
        <f aca="false">IF(AND(14_商機清單_Pipeline!$A24&lt;&gt;"",OR(N(14_商機清單_Pipeline!$I24)&gt;0,N(14_商機清單_Pipeline!$F24)=0)),MAX($CB$4:CB23)+1,"")</f>
        <v/>
      </c>
      <c r="CC24" s="0" t="n">
        <f aca="false">IF(AND(03_能力總表_Master!$A24&lt;&gt;"",IFERROR(INDEX(16_能力商機矩陣_CapOppMap!$D24:$CO24,MATCH(LEFT(17_商機作戰卡_OppView!$C$4,6),16_能力商機矩陣_CapOppMap!$D$4:$CO$4,0)),"")="✓"),MAX($CC$4:CC23)+1,"")</f>
        <v>1</v>
      </c>
    </row>
    <row r="25" customFormat="false" ht="95.5" hidden="false" customHeight="false" outlineLevel="0" collapsed="false">
      <c r="A25" s="0" t="str">
        <f aca="false">IF(03_能力總表_Master!$A25="","",IF(LEFT(03_能力總表_Master!$H25,2)="群晶","● ",IF(ISNUMBER(SEARCH("已確認",03_能力總表_Master!$H25)),"◆ ",IF(ISNUMBER(SEARCH("缺口",03_能力總表_Master!$H25)),"○ ","◐ ")))&amp;RIGHT(03_能力總表_Master!$A25,3)&amp;" "&amp;03_能力總表_Master!$E25)</f>
        <v>● 021 有線無線網路與分區</v>
      </c>
      <c r="B25" s="0" t="str">
        <f aca="false">IF(03_能力總表_Master!$A25="","",LEFT(03_能力總表_Master!$B25,3))</f>
        <v>D04</v>
      </c>
      <c r="C25" s="0" t="str">
        <f aca="false">IF(03_能力總表_Master!$A25="","",03_能力總表_Master!$C25)</f>
        <v>G4</v>
      </c>
      <c r="D25" s="363" t="str">
        <f aca="false">IF(AND($B25="D01",$C25="G0"),D24&amp;IF(D24="","",CHAR(10))&amp;$A25,D24)</f>
        <v>◐ 001 政府授權與計畫章程
◐ 002 利害關係人與權力地圖
◐ 005 聯盟治理與利益衝突</v>
      </c>
      <c r="E25" s="363" t="str">
        <f aca="false">IF(AND($B25="D01",$C25="G1"),E24&amp;IF(E24="","",CHAR(10))&amp;$A25,E24)</f>
        <v>◐ 003 交易模式選擇
◐ 004 法規與執照路徑</v>
      </c>
      <c r="F25" s="0" t="str">
        <f aca="false">IF(AND($B25="D01",$C25="G2"),F24&amp;IF(F24="","",CHAR(10))&amp;$A25,F24)</f>
        <v>◐ 006 績效契約與變更控制</v>
      </c>
      <c r="G25" s="0" t="str">
        <f aca="false">IF(AND($B25="D01",$C25="G3"),G24&amp;IF(G24="","",CHAR(10))&amp;$A25,G24)</f>
        <v/>
      </c>
      <c r="H25" s="0" t="str">
        <f aca="false">IF(AND($B25="D01",$C25="G4"),H24&amp;IF(H24="","",CHAR(10))&amp;$A25,H24)</f>
        <v/>
      </c>
      <c r="I25" s="0" t="str">
        <f aca="false">IF(AND($B25="D01",$C25="G5"),I24&amp;IF(I24="","",CHAR(10))&amp;$A25,I24)</f>
        <v/>
      </c>
      <c r="J25" s="0" t="str">
        <f aca="false">IF(AND($B25="D01",$C25="G6"),J24&amp;IF(J24="","",CHAR(10))&amp;$A25,J24)</f>
        <v/>
      </c>
      <c r="K25" s="0" t="str">
        <f aca="false">IF(AND($B25="D02",$C25="G0"),K24&amp;IF(K24="","",CHAR(10))&amp;$A25,K24)</f>
        <v/>
      </c>
      <c r="L25" s="363" t="str">
        <f aca="false">IF(AND($B25="D02",$C25="G1"),L24&amp;IF(L24="","",CHAR(10))&amp;$A25,L24)</f>
        <v>◐ 007 人口需求與病例量預測
◐ 008 醫院定位與服務組合
◐ 009 重點專科優先化
◐ 010 病人流程與容量設計
◐ 011 轉診與區域照護網絡
◐ 012 臨床治理與責任架構</v>
      </c>
      <c r="M25" s="0" t="str">
        <f aca="false">IF(AND($B25="D02",$C25="G2"),M24&amp;IF(M24="","",CHAR(10))&amp;$A25,M24)</f>
        <v/>
      </c>
      <c r="N25" s="0" t="str">
        <f aca="false">IF(AND($B25="D02",$C25="G3"),N24&amp;IF(N24="","",CHAR(10))&amp;$A25,N24)</f>
        <v/>
      </c>
      <c r="O25" s="0" t="str">
        <f aca="false">IF(AND($B25="D02",$C25="G4"),O24&amp;IF(O24="","",CHAR(10))&amp;$A25,O24)</f>
        <v/>
      </c>
      <c r="P25" s="0" t="str">
        <f aca="false">IF(AND($B25="D02",$C25="G5"),P24&amp;IF(P24="","",CHAR(10))&amp;$A25,P24)</f>
        <v/>
      </c>
      <c r="Q25" s="0" t="str">
        <f aca="false">IF(AND($B25="D02",$C25="G6"),Q24&amp;IF(Q24="","",CHAR(10))&amp;$A25,Q24)</f>
        <v/>
      </c>
      <c r="R25" s="0" t="str">
        <f aca="false">IF(AND($B25="D03",$C25="G0"),R24&amp;IF(R24="","",CHAR(10))&amp;$A25,R24)</f>
        <v/>
      </c>
      <c r="S25" s="0" t="str">
        <f aca="false">IF(AND($B25="D03",$C25="G1"),S24&amp;IF(S24="","",CHAR(10))&amp;$A25,S24)</f>
        <v>◐ 013 場址與醫院總體規劃</v>
      </c>
      <c r="T25" s="363" t="str">
        <f aca="false">IF(AND($B25="D03",$C25="G2"),T24&amp;IF(T24="","",CHAR(10))&amp;$A25,T24)</f>
        <v>◐ 014 醫療建築功能計畫
◐ 015 感染控制與潔污動線
◐ 019 綠色與氣候韌性醫院</v>
      </c>
      <c r="U25" s="363" t="str">
        <f aca="false">IF(AND($B25="D03",$C25="G3"),U24&amp;IF(U24="","",CHAR(10))&amp;$A25,U24)</f>
        <v>● 016 電力、備援與微電網
◐ 017 醫療氣體與關鍵公用系統
◐ 018 醫療廢棄物與水資源</v>
      </c>
      <c r="V25" s="0" t="str">
        <f aca="false">IF(AND($B25="D03",$C25="G4"),V24&amp;IF(V24="","",CHAR(10))&amp;$A25,V24)</f>
        <v/>
      </c>
      <c r="W25" s="0" t="str">
        <f aca="false">IF(AND($B25="D03",$C25="G5"),W24&amp;IF(W24="","",CHAR(10))&amp;$A25,W24)</f>
        <v/>
      </c>
      <c r="X25" s="0" t="str">
        <f aca="false">IF(AND($B25="D03",$C25="G6"),X24&amp;IF(X24="","",CHAR(10))&amp;$A25,X24)</f>
        <v/>
      </c>
      <c r="Y25" s="0" t="str">
        <f aca="false">IF(AND($B25="D04",$C25="G0"),Y24&amp;IF(Y24="","",CHAR(10))&amp;$A25,Y24)</f>
        <v/>
      </c>
      <c r="Z25" s="0" t="str">
        <f aca="false">IF(AND($B25="D04",$C25="G1"),Z24&amp;IF(Z24="","",CHAR(10))&amp;$A25,Z24)</f>
        <v/>
      </c>
      <c r="AA25" s="0" t="str">
        <f aca="false">IF(AND($B25="D04",$C25="G2"),AA24&amp;IF(AA24="","",CHAR(10))&amp;$A25,AA24)</f>
        <v/>
      </c>
      <c r="AB25" s="0" t="str">
        <f aca="false">IF(AND($B25="D04",$C25="G3"),AB24&amp;IF(AB24="","",CHAR(10))&amp;$A25,AB24)</f>
        <v>● 020 IDC與邊緣運算底座</v>
      </c>
      <c r="AC25" s="0" t="str">
        <f aca="false">IF(AND($B25="D04",$C25="G4"),AC24&amp;IF(AC24="","",CHAR(10))&amp;$A25,AC24)</f>
        <v>● 021 有線無線網路與分區</v>
      </c>
      <c r="AD25" s="0" t="str">
        <f aca="false">IF(AND($B25="D04",$C25="G5"),AD24&amp;IF(AD24="","",CHAR(10))&amp;$A25,AD24)</f>
        <v/>
      </c>
      <c r="AE25" s="0" t="str">
        <f aca="false">IF(AND($B25="D04",$C25="G6"),AE24&amp;IF(AE24="","",CHAR(10))&amp;$A25,AE24)</f>
        <v/>
      </c>
      <c r="AF25" s="0" t="str">
        <f aca="false">IF(AND($B25="D05",$C25="G0"),AF24&amp;IF(AF24="","",CHAR(10))&amp;$A25,AF24)</f>
        <v/>
      </c>
      <c r="AG25" s="0" t="str">
        <f aca="false">IF(AND($B25="D05",$C25="G1"),AG24&amp;IF(AG24="","",CHAR(10))&amp;$A25,AG24)</f>
        <v/>
      </c>
      <c r="AH25" s="0" t="str">
        <f aca="false">IF(AND($B25="D05",$C25="G2"),AH24&amp;IF(AH24="","",CHAR(10))&amp;$A25,AH24)</f>
        <v/>
      </c>
      <c r="AI25" s="0" t="str">
        <f aca="false">IF(AND($B25="D05",$C25="G3"),AI24&amp;IF(AI24="","",CHAR(10))&amp;$A25,AI24)</f>
        <v/>
      </c>
      <c r="AJ25" s="0" t="str">
        <f aca="false">IF(AND($B25="D05",$C25="G4"),AJ24&amp;IF(AJ24="","",CHAR(10))&amp;$A25,AJ24)</f>
        <v/>
      </c>
      <c r="AK25" s="0" t="str">
        <f aca="false">IF(AND($B25="D05",$C25="G5"),AK24&amp;IF(AK24="","",CHAR(10))&amp;$A25,AK24)</f>
        <v/>
      </c>
      <c r="AL25" s="0" t="str">
        <f aca="false">IF(AND($B25="D05",$C25="G6"),AL24&amp;IF(AL24="","",CHAR(10))&amp;$A25,AL24)</f>
        <v/>
      </c>
      <c r="AM25" s="0" t="str">
        <f aca="false">IF(AND($B25="D06",$C25="G0"),AM24&amp;IF(AM24="","",CHAR(10))&amp;$A25,AM24)</f>
        <v/>
      </c>
      <c r="AN25" s="0" t="str">
        <f aca="false">IF(AND($B25="D06",$C25="G1"),AN24&amp;IF(AN24="","",CHAR(10))&amp;$A25,AN24)</f>
        <v/>
      </c>
      <c r="AO25" s="0" t="str">
        <f aca="false">IF(AND($B25="D06",$C25="G2"),AO24&amp;IF(AO24="","",CHAR(10))&amp;$A25,AO24)</f>
        <v/>
      </c>
      <c r="AP25" s="0" t="str">
        <f aca="false">IF(AND($B25="D06",$C25="G3"),AP24&amp;IF(AP24="","",CHAR(10))&amp;$A25,AP24)</f>
        <v/>
      </c>
      <c r="AQ25" s="0" t="str">
        <f aca="false">IF(AND($B25="D06",$C25="G4"),AQ24&amp;IF(AQ24="","",CHAR(10))&amp;$A25,AQ24)</f>
        <v/>
      </c>
      <c r="AR25" s="0" t="str">
        <f aca="false">IF(AND($B25="D06",$C25="G5"),AR24&amp;IF(AR24="","",CHAR(10))&amp;$A25,AR24)</f>
        <v/>
      </c>
      <c r="AS25" s="0" t="str">
        <f aca="false">IF(AND($B25="D06",$C25="G6"),AS24&amp;IF(AS24="","",CHAR(10))&amp;$A25,AS24)</f>
        <v/>
      </c>
      <c r="AT25" s="0" t="str">
        <f aca="false">IF(AND($B25="D07",$C25="G0"),AT24&amp;IF(AT24="","",CHAR(10))&amp;$A25,AT24)</f>
        <v/>
      </c>
      <c r="AU25" s="0" t="str">
        <f aca="false">IF(AND($B25="D07",$C25="G1"),AU24&amp;IF(AU24="","",CHAR(10))&amp;$A25,AU24)</f>
        <v/>
      </c>
      <c r="AV25" s="0" t="str">
        <f aca="false">IF(AND($B25="D07",$C25="G2"),AV24&amp;IF(AV24="","",CHAR(10))&amp;$A25,AV24)</f>
        <v/>
      </c>
      <c r="AW25" s="0" t="str">
        <f aca="false">IF(AND($B25="D07",$C25="G3"),AW24&amp;IF(AW24="","",CHAR(10))&amp;$A25,AW24)</f>
        <v/>
      </c>
      <c r="AX25" s="0" t="str">
        <f aca="false">IF(AND($B25="D07",$C25="G4"),AX24&amp;IF(AX24="","",CHAR(10))&amp;$A25,AX24)</f>
        <v/>
      </c>
      <c r="AY25" s="0" t="str">
        <f aca="false">IF(AND($B25="D07",$C25="G5"),AY24&amp;IF(AY24="","",CHAR(10))&amp;$A25,AY24)</f>
        <v/>
      </c>
      <c r="AZ25" s="0" t="str">
        <f aca="false">IF(AND($B25="D07",$C25="G6"),AZ24&amp;IF(AZ24="","",CHAR(10))&amp;$A25,AZ24)</f>
        <v/>
      </c>
      <c r="BA25" s="0" t="str">
        <f aca="false">IF(AND($B25="D08",$C25="G0"),BA24&amp;IF(BA24="","",CHAR(10))&amp;$A25,BA24)</f>
        <v/>
      </c>
      <c r="BB25" s="0" t="str">
        <f aca="false">IF(AND($B25="D08",$C25="G1"),BB24&amp;IF(BB24="","",CHAR(10))&amp;$A25,BB24)</f>
        <v/>
      </c>
      <c r="BC25" s="0" t="str">
        <f aca="false">IF(AND($B25="D08",$C25="G2"),BC24&amp;IF(BC24="","",CHAR(10))&amp;$A25,BC24)</f>
        <v/>
      </c>
      <c r="BD25" s="0" t="str">
        <f aca="false">IF(AND($B25="D08",$C25="G3"),BD24&amp;IF(BD24="","",CHAR(10))&amp;$A25,BD24)</f>
        <v/>
      </c>
      <c r="BE25" s="0" t="str">
        <f aca="false">IF(AND($B25="D08",$C25="G4"),BE24&amp;IF(BE24="","",CHAR(10))&amp;$A25,BE24)</f>
        <v/>
      </c>
      <c r="BF25" s="0" t="str">
        <f aca="false">IF(AND($B25="D08",$C25="G5"),BF24&amp;IF(BF24="","",CHAR(10))&amp;$A25,BF24)</f>
        <v/>
      </c>
      <c r="BG25" s="0" t="str">
        <f aca="false">IF(AND($B25="D08",$C25="G6"),BG24&amp;IF(BG24="","",CHAR(10))&amp;$A25,BG24)</f>
        <v/>
      </c>
      <c r="BH25" s="0" t="str">
        <f aca="false">IF(AND($B25="D09",$C25="G0"),BH24&amp;IF(BH24="","",CHAR(10))&amp;$A25,BH24)</f>
        <v/>
      </c>
      <c r="BI25" s="0" t="str">
        <f aca="false">IF(AND($B25="D09",$C25="G1"),BI24&amp;IF(BI24="","",CHAR(10))&amp;$A25,BI24)</f>
        <v/>
      </c>
      <c r="BJ25" s="0" t="str">
        <f aca="false">IF(AND($B25="D09",$C25="G2"),BJ24&amp;IF(BJ24="","",CHAR(10))&amp;$A25,BJ24)</f>
        <v/>
      </c>
      <c r="BK25" s="0" t="str">
        <f aca="false">IF(AND($B25="D09",$C25="G3"),BK24&amp;IF(BK24="","",CHAR(10))&amp;$A25,BK24)</f>
        <v/>
      </c>
      <c r="BL25" s="0" t="str">
        <f aca="false">IF(AND($B25="D09",$C25="G4"),BL24&amp;IF(BL24="","",CHAR(10))&amp;$A25,BL24)</f>
        <v/>
      </c>
      <c r="BM25" s="0" t="str">
        <f aca="false">IF(AND($B25="D09",$C25="G5"),BM24&amp;IF(BM24="","",CHAR(10))&amp;$A25,BM24)</f>
        <v/>
      </c>
      <c r="BN25" s="0" t="str">
        <f aca="false">IF(AND($B25="D09",$C25="G6"),BN24&amp;IF(BN24="","",CHAR(10))&amp;$A25,BN24)</f>
        <v/>
      </c>
      <c r="BO25" s="0" t="str">
        <f aca="false">IF(AND($B25="D10",$C25="G0"),BO24&amp;IF(BO24="","",CHAR(10))&amp;$A25,BO24)</f>
        <v/>
      </c>
      <c r="BP25" s="0" t="str">
        <f aca="false">IF(AND($B25="D10",$C25="G1"),BP24&amp;IF(BP24="","",CHAR(10))&amp;$A25,BP24)</f>
        <v/>
      </c>
      <c r="BQ25" s="0" t="str">
        <f aca="false">IF(AND($B25="D10",$C25="G2"),BQ24&amp;IF(BQ24="","",CHAR(10))&amp;$A25,BQ24)</f>
        <v/>
      </c>
      <c r="BR25" s="0" t="str">
        <f aca="false">IF(AND($B25="D10",$C25="G3"),BR24&amp;IF(BR24="","",CHAR(10))&amp;$A25,BR24)</f>
        <v/>
      </c>
      <c r="BS25" s="0" t="str">
        <f aca="false">IF(AND($B25="D10",$C25="G4"),BS24&amp;IF(BS24="","",CHAR(10))&amp;$A25,BS24)</f>
        <v/>
      </c>
      <c r="BT25" s="0" t="str">
        <f aca="false">IF(AND($B25="D10",$C25="G5"),BT24&amp;IF(BT24="","",CHAR(10))&amp;$A25,BT24)</f>
        <v/>
      </c>
      <c r="BU25" s="0" t="str">
        <f aca="false">IF(AND($B25="D10",$C25="G6"),BU24&amp;IF(BU24="","",CHAR(10))&amp;$A25,BU24)</f>
        <v/>
      </c>
      <c r="BX25" s="0" t="str">
        <f aca="false">IF(AND(03_能力總表_Master!$A25&lt;&gt;"",LEFT(03_能力總表_Master!$H25,2)="缺口"),MAX($BX$4:BX24)+1,"")</f>
        <v/>
      </c>
      <c r="BY25" s="0" t="n">
        <f aca="false">IF(AND(03_能力總表_Master!$A25&lt;&gt;"",03_能力總表_Master!$J25=12_夥伴視角_PartnerView!$C$4),MAX($BY$4:BY24)+1,"")</f>
        <v>3</v>
      </c>
      <c r="BZ25" s="0" t="str">
        <f aca="false">IF(AND(05_法規門檻_Gates!$A25&lt;&gt;"",05_法規門檻_Gates!$E25="強制",05_法規門檻_Gates!$F25="待確認"),MAX($BZ$4:BZ24)+1,"")</f>
        <v/>
      </c>
      <c r="CA25" s="0" t="n">
        <f aca="false">IF(AND(08_風險清冊_Risk!$A25&lt;&gt;"",OR(08_風險清冊_Risk!$G25="極高",08_風險清冊_Risk!$G25="高")),MAX($CA$4:CA24)+1,"")</f>
        <v>20</v>
      </c>
      <c r="CC25" s="0" t="n">
        <f aca="false">IF(AND(03_能力總表_Master!$A25&lt;&gt;"",IFERROR(INDEX(16_能力商機矩陣_CapOppMap!$D25:$CO25,MATCH(LEFT(17_商機作戰卡_OppView!$C$4,6),16_能力商機矩陣_CapOppMap!$D$4:$CO$4,0)),"")="✓"),MAX($CC$4:CC24)+1,"")</f>
        <v>2</v>
      </c>
    </row>
    <row r="26" customFormat="false" ht="95.5" hidden="false" customHeight="false" outlineLevel="0" collapsed="false">
      <c r="A26" s="0" t="str">
        <f aca="false">IF(03_能力總表_Master!$A26="","",IF(LEFT(03_能力總表_Master!$H26,2)="群晶","● ",IF(ISNUMBER(SEARCH("已確認",03_能力總表_Master!$H26)),"◆ ",IF(ISNUMBER(SEARCH("缺口",03_能力總表_Master!$H26)),"○ ","◐ ")))&amp;RIGHT(03_能力總表_Master!$A26,3)&amp;" "&amp;03_能力總表_Master!$E26)</f>
        <v>◐ 022 資安營運與零信任</v>
      </c>
      <c r="B26" s="0" t="str">
        <f aca="false">IF(03_能力總表_Master!$A26="","",LEFT(03_能力總表_Master!$B26,3))</f>
        <v>D04</v>
      </c>
      <c r="C26" s="0" t="str">
        <f aca="false">IF(03_能力總表_Master!$A26="","",03_能力總表_Master!$C26)</f>
        <v>G4</v>
      </c>
      <c r="D26" s="363" t="str">
        <f aca="false">IF(AND($B26="D01",$C26="G0"),D25&amp;IF(D25="","",CHAR(10))&amp;$A26,D25)</f>
        <v>◐ 001 政府授權與計畫章程
◐ 002 利害關係人與權力地圖
◐ 005 聯盟治理與利益衝突</v>
      </c>
      <c r="E26" s="363" t="str">
        <f aca="false">IF(AND($B26="D01",$C26="G1"),E25&amp;IF(E25="","",CHAR(10))&amp;$A26,E25)</f>
        <v>◐ 003 交易模式選擇
◐ 004 法規與執照路徑</v>
      </c>
      <c r="F26" s="0" t="str">
        <f aca="false">IF(AND($B26="D01",$C26="G2"),F25&amp;IF(F25="","",CHAR(10))&amp;$A26,F25)</f>
        <v>◐ 006 績效契約與變更控制</v>
      </c>
      <c r="G26" s="0" t="str">
        <f aca="false">IF(AND($B26="D01",$C26="G3"),G25&amp;IF(G25="","",CHAR(10))&amp;$A26,G25)</f>
        <v/>
      </c>
      <c r="H26" s="0" t="str">
        <f aca="false">IF(AND($B26="D01",$C26="G4"),H25&amp;IF(H25="","",CHAR(10))&amp;$A26,H25)</f>
        <v/>
      </c>
      <c r="I26" s="0" t="str">
        <f aca="false">IF(AND($B26="D01",$C26="G5"),I25&amp;IF(I25="","",CHAR(10))&amp;$A26,I25)</f>
        <v/>
      </c>
      <c r="J26" s="0" t="str">
        <f aca="false">IF(AND($B26="D01",$C26="G6"),J25&amp;IF(J25="","",CHAR(10))&amp;$A26,J25)</f>
        <v/>
      </c>
      <c r="K26" s="0" t="str">
        <f aca="false">IF(AND($B26="D02",$C26="G0"),K25&amp;IF(K25="","",CHAR(10))&amp;$A26,K25)</f>
        <v/>
      </c>
      <c r="L26" s="363" t="str">
        <f aca="false">IF(AND($B26="D02",$C26="G1"),L25&amp;IF(L25="","",CHAR(10))&amp;$A26,L25)</f>
        <v>◐ 007 人口需求與病例量預測
◐ 008 醫院定位與服務組合
◐ 009 重點專科優先化
◐ 010 病人流程與容量設計
◐ 011 轉診與區域照護網絡
◐ 012 臨床治理與責任架構</v>
      </c>
      <c r="M26" s="0" t="str">
        <f aca="false">IF(AND($B26="D02",$C26="G2"),M25&amp;IF(M25="","",CHAR(10))&amp;$A26,M25)</f>
        <v/>
      </c>
      <c r="N26" s="0" t="str">
        <f aca="false">IF(AND($B26="D02",$C26="G3"),N25&amp;IF(N25="","",CHAR(10))&amp;$A26,N25)</f>
        <v/>
      </c>
      <c r="O26" s="0" t="str">
        <f aca="false">IF(AND($B26="D02",$C26="G4"),O25&amp;IF(O25="","",CHAR(10))&amp;$A26,O25)</f>
        <v/>
      </c>
      <c r="P26" s="0" t="str">
        <f aca="false">IF(AND($B26="D02",$C26="G5"),P25&amp;IF(P25="","",CHAR(10))&amp;$A26,P25)</f>
        <v/>
      </c>
      <c r="Q26" s="0" t="str">
        <f aca="false">IF(AND($B26="D02",$C26="G6"),Q25&amp;IF(Q25="","",CHAR(10))&amp;$A26,Q25)</f>
        <v/>
      </c>
      <c r="R26" s="0" t="str">
        <f aca="false">IF(AND($B26="D03",$C26="G0"),R25&amp;IF(R25="","",CHAR(10))&amp;$A26,R25)</f>
        <v/>
      </c>
      <c r="S26" s="0" t="str">
        <f aca="false">IF(AND($B26="D03",$C26="G1"),S25&amp;IF(S25="","",CHAR(10))&amp;$A26,S25)</f>
        <v>◐ 013 場址與醫院總體規劃</v>
      </c>
      <c r="T26" s="363" t="str">
        <f aca="false">IF(AND($B26="D03",$C26="G2"),T25&amp;IF(T25="","",CHAR(10))&amp;$A26,T25)</f>
        <v>◐ 014 醫療建築功能計畫
◐ 015 感染控制與潔污動線
◐ 019 綠色與氣候韌性醫院</v>
      </c>
      <c r="U26" s="363" t="str">
        <f aca="false">IF(AND($B26="D03",$C26="G3"),U25&amp;IF(U25="","",CHAR(10))&amp;$A26,U25)</f>
        <v>● 016 電力、備援與微電網
◐ 017 醫療氣體與關鍵公用系統
◐ 018 醫療廢棄物與水資源</v>
      </c>
      <c r="V26" s="0" t="str">
        <f aca="false">IF(AND($B26="D03",$C26="G4"),V25&amp;IF(V25="","",CHAR(10))&amp;$A26,V25)</f>
        <v/>
      </c>
      <c r="W26" s="0" t="str">
        <f aca="false">IF(AND($B26="D03",$C26="G5"),W25&amp;IF(W25="","",CHAR(10))&amp;$A26,W25)</f>
        <v/>
      </c>
      <c r="X26" s="0" t="str">
        <f aca="false">IF(AND($B26="D03",$C26="G6"),X25&amp;IF(X25="","",CHAR(10))&amp;$A26,X25)</f>
        <v/>
      </c>
      <c r="Y26" s="0" t="str">
        <f aca="false">IF(AND($B26="D04",$C26="G0"),Y25&amp;IF(Y25="","",CHAR(10))&amp;$A26,Y25)</f>
        <v/>
      </c>
      <c r="Z26" s="0" t="str">
        <f aca="false">IF(AND($B26="D04",$C26="G1"),Z25&amp;IF(Z25="","",CHAR(10))&amp;$A26,Z25)</f>
        <v/>
      </c>
      <c r="AA26" s="0" t="str">
        <f aca="false">IF(AND($B26="D04",$C26="G2"),AA25&amp;IF(AA25="","",CHAR(10))&amp;$A26,AA25)</f>
        <v/>
      </c>
      <c r="AB26" s="0" t="str">
        <f aca="false">IF(AND($B26="D04",$C26="G3"),AB25&amp;IF(AB25="","",CHAR(10))&amp;$A26,AB25)</f>
        <v>● 020 IDC與邊緣運算底座</v>
      </c>
      <c r="AC26" s="363" t="str">
        <f aca="false">IF(AND($B26="D04",$C26="G4"),AC25&amp;IF(AC25="","",CHAR(10))&amp;$A26,AC25)</f>
        <v>● 021 有線無線網路與分區
◐ 022 資安營運與零信任</v>
      </c>
      <c r="AD26" s="0" t="str">
        <f aca="false">IF(AND($B26="D04",$C26="G5"),AD25&amp;IF(AD25="","",CHAR(10))&amp;$A26,AD25)</f>
        <v/>
      </c>
      <c r="AE26" s="0" t="str">
        <f aca="false">IF(AND($B26="D04",$C26="G6"),AE25&amp;IF(AE25="","",CHAR(10))&amp;$A26,AE25)</f>
        <v/>
      </c>
      <c r="AF26" s="0" t="str">
        <f aca="false">IF(AND($B26="D05",$C26="G0"),AF25&amp;IF(AF25="","",CHAR(10))&amp;$A26,AF25)</f>
        <v/>
      </c>
      <c r="AG26" s="0" t="str">
        <f aca="false">IF(AND($B26="D05",$C26="G1"),AG25&amp;IF(AG25="","",CHAR(10))&amp;$A26,AG25)</f>
        <v/>
      </c>
      <c r="AH26" s="0" t="str">
        <f aca="false">IF(AND($B26="D05",$C26="G2"),AH25&amp;IF(AH25="","",CHAR(10))&amp;$A26,AH25)</f>
        <v/>
      </c>
      <c r="AI26" s="0" t="str">
        <f aca="false">IF(AND($B26="D05",$C26="G3"),AI25&amp;IF(AI25="","",CHAR(10))&amp;$A26,AI25)</f>
        <v/>
      </c>
      <c r="AJ26" s="0" t="str">
        <f aca="false">IF(AND($B26="D05",$C26="G4"),AJ25&amp;IF(AJ25="","",CHAR(10))&amp;$A26,AJ25)</f>
        <v/>
      </c>
      <c r="AK26" s="0" t="str">
        <f aca="false">IF(AND($B26="D05",$C26="G5"),AK25&amp;IF(AK25="","",CHAR(10))&amp;$A26,AK25)</f>
        <v/>
      </c>
      <c r="AL26" s="0" t="str">
        <f aca="false">IF(AND($B26="D05",$C26="G6"),AL25&amp;IF(AL25="","",CHAR(10))&amp;$A26,AL25)</f>
        <v/>
      </c>
      <c r="AM26" s="0" t="str">
        <f aca="false">IF(AND($B26="D06",$C26="G0"),AM25&amp;IF(AM25="","",CHAR(10))&amp;$A26,AM25)</f>
        <v/>
      </c>
      <c r="AN26" s="0" t="str">
        <f aca="false">IF(AND($B26="D06",$C26="G1"),AN25&amp;IF(AN25="","",CHAR(10))&amp;$A26,AN25)</f>
        <v/>
      </c>
      <c r="AO26" s="0" t="str">
        <f aca="false">IF(AND($B26="D06",$C26="G2"),AO25&amp;IF(AO25="","",CHAR(10))&amp;$A26,AO25)</f>
        <v/>
      </c>
      <c r="AP26" s="0" t="str">
        <f aca="false">IF(AND($B26="D06",$C26="G3"),AP25&amp;IF(AP25="","",CHAR(10))&amp;$A26,AP25)</f>
        <v/>
      </c>
      <c r="AQ26" s="0" t="str">
        <f aca="false">IF(AND($B26="D06",$C26="G4"),AQ25&amp;IF(AQ25="","",CHAR(10))&amp;$A26,AQ25)</f>
        <v/>
      </c>
      <c r="AR26" s="0" t="str">
        <f aca="false">IF(AND($B26="D06",$C26="G5"),AR25&amp;IF(AR25="","",CHAR(10))&amp;$A26,AR25)</f>
        <v/>
      </c>
      <c r="AS26" s="0" t="str">
        <f aca="false">IF(AND($B26="D06",$C26="G6"),AS25&amp;IF(AS25="","",CHAR(10))&amp;$A26,AS25)</f>
        <v/>
      </c>
      <c r="AT26" s="0" t="str">
        <f aca="false">IF(AND($B26="D07",$C26="G0"),AT25&amp;IF(AT25="","",CHAR(10))&amp;$A26,AT25)</f>
        <v/>
      </c>
      <c r="AU26" s="0" t="str">
        <f aca="false">IF(AND($B26="D07",$C26="G1"),AU25&amp;IF(AU25="","",CHAR(10))&amp;$A26,AU25)</f>
        <v/>
      </c>
      <c r="AV26" s="0" t="str">
        <f aca="false">IF(AND($B26="D07",$C26="G2"),AV25&amp;IF(AV25="","",CHAR(10))&amp;$A26,AV25)</f>
        <v/>
      </c>
      <c r="AW26" s="0" t="str">
        <f aca="false">IF(AND($B26="D07",$C26="G3"),AW25&amp;IF(AW25="","",CHAR(10))&amp;$A26,AW25)</f>
        <v/>
      </c>
      <c r="AX26" s="0" t="str">
        <f aca="false">IF(AND($B26="D07",$C26="G4"),AX25&amp;IF(AX25="","",CHAR(10))&amp;$A26,AX25)</f>
        <v/>
      </c>
      <c r="AY26" s="0" t="str">
        <f aca="false">IF(AND($B26="D07",$C26="G5"),AY25&amp;IF(AY25="","",CHAR(10))&amp;$A26,AY25)</f>
        <v/>
      </c>
      <c r="AZ26" s="0" t="str">
        <f aca="false">IF(AND($B26="D07",$C26="G6"),AZ25&amp;IF(AZ25="","",CHAR(10))&amp;$A26,AZ25)</f>
        <v/>
      </c>
      <c r="BA26" s="0" t="str">
        <f aca="false">IF(AND($B26="D08",$C26="G0"),BA25&amp;IF(BA25="","",CHAR(10))&amp;$A26,BA25)</f>
        <v/>
      </c>
      <c r="BB26" s="0" t="str">
        <f aca="false">IF(AND($B26="D08",$C26="G1"),BB25&amp;IF(BB25="","",CHAR(10))&amp;$A26,BB25)</f>
        <v/>
      </c>
      <c r="BC26" s="0" t="str">
        <f aca="false">IF(AND($B26="D08",$C26="G2"),BC25&amp;IF(BC25="","",CHAR(10))&amp;$A26,BC25)</f>
        <v/>
      </c>
      <c r="BD26" s="0" t="str">
        <f aca="false">IF(AND($B26="D08",$C26="G3"),BD25&amp;IF(BD25="","",CHAR(10))&amp;$A26,BD25)</f>
        <v/>
      </c>
      <c r="BE26" s="0" t="str">
        <f aca="false">IF(AND($B26="D08",$C26="G4"),BE25&amp;IF(BE25="","",CHAR(10))&amp;$A26,BE25)</f>
        <v/>
      </c>
      <c r="BF26" s="0" t="str">
        <f aca="false">IF(AND($B26="D08",$C26="G5"),BF25&amp;IF(BF25="","",CHAR(10))&amp;$A26,BF25)</f>
        <v/>
      </c>
      <c r="BG26" s="0" t="str">
        <f aca="false">IF(AND($B26="D08",$C26="G6"),BG25&amp;IF(BG25="","",CHAR(10))&amp;$A26,BG25)</f>
        <v/>
      </c>
      <c r="BH26" s="0" t="str">
        <f aca="false">IF(AND($B26="D09",$C26="G0"),BH25&amp;IF(BH25="","",CHAR(10))&amp;$A26,BH25)</f>
        <v/>
      </c>
      <c r="BI26" s="0" t="str">
        <f aca="false">IF(AND($B26="D09",$C26="G1"),BI25&amp;IF(BI25="","",CHAR(10))&amp;$A26,BI25)</f>
        <v/>
      </c>
      <c r="BJ26" s="0" t="str">
        <f aca="false">IF(AND($B26="D09",$C26="G2"),BJ25&amp;IF(BJ25="","",CHAR(10))&amp;$A26,BJ25)</f>
        <v/>
      </c>
      <c r="BK26" s="0" t="str">
        <f aca="false">IF(AND($B26="D09",$C26="G3"),BK25&amp;IF(BK25="","",CHAR(10))&amp;$A26,BK25)</f>
        <v/>
      </c>
      <c r="BL26" s="0" t="str">
        <f aca="false">IF(AND($B26="D09",$C26="G4"),BL25&amp;IF(BL25="","",CHAR(10))&amp;$A26,BL25)</f>
        <v/>
      </c>
      <c r="BM26" s="0" t="str">
        <f aca="false">IF(AND($B26="D09",$C26="G5"),BM25&amp;IF(BM25="","",CHAR(10))&amp;$A26,BM25)</f>
        <v/>
      </c>
      <c r="BN26" s="0" t="str">
        <f aca="false">IF(AND($B26="D09",$C26="G6"),BN25&amp;IF(BN25="","",CHAR(10))&amp;$A26,BN25)</f>
        <v/>
      </c>
      <c r="BO26" s="0" t="str">
        <f aca="false">IF(AND($B26="D10",$C26="G0"),BO25&amp;IF(BO25="","",CHAR(10))&amp;$A26,BO25)</f>
        <v/>
      </c>
      <c r="BP26" s="0" t="str">
        <f aca="false">IF(AND($B26="D10",$C26="G1"),BP25&amp;IF(BP25="","",CHAR(10))&amp;$A26,BP25)</f>
        <v/>
      </c>
      <c r="BQ26" s="0" t="str">
        <f aca="false">IF(AND($B26="D10",$C26="G2"),BQ25&amp;IF(BQ25="","",CHAR(10))&amp;$A26,BQ25)</f>
        <v/>
      </c>
      <c r="BR26" s="0" t="str">
        <f aca="false">IF(AND($B26="D10",$C26="G3"),BR25&amp;IF(BR25="","",CHAR(10))&amp;$A26,BR25)</f>
        <v/>
      </c>
      <c r="BS26" s="0" t="str">
        <f aca="false">IF(AND($B26="D10",$C26="G4"),BS25&amp;IF(BS25="","",CHAR(10))&amp;$A26,BS25)</f>
        <v/>
      </c>
      <c r="BT26" s="0" t="str">
        <f aca="false">IF(AND($B26="D10",$C26="G5"),BT25&amp;IF(BT25="","",CHAR(10))&amp;$A26,BT25)</f>
        <v/>
      </c>
      <c r="BU26" s="0" t="str">
        <f aca="false">IF(AND($B26="D10",$C26="G6"),BU25&amp;IF(BU25="","",CHAR(10))&amp;$A26,BU25)</f>
        <v/>
      </c>
      <c r="BX26" s="0" t="str">
        <f aca="false">IF(AND(03_能力總表_Master!$A26&lt;&gt;"",LEFT(03_能力總表_Master!$H26,2)="缺口"),MAX($BX$4:BX25)+1,"")</f>
        <v/>
      </c>
      <c r="BY26" s="0" t="str">
        <f aca="false">IF(AND(03_能力總表_Master!$A26&lt;&gt;"",03_能力總表_Master!$J26=12_夥伴視角_PartnerView!$C$4),MAX($BY$4:BY25)+1,"")</f>
        <v/>
      </c>
      <c r="BZ26" s="0" t="str">
        <f aca="false">IF(AND(05_法規門檻_Gates!$A26&lt;&gt;"",05_法規門檻_Gates!$E26="強制",05_法規門檻_Gates!$F26="待確認"),MAX($BZ$4:BZ25)+1,"")</f>
        <v/>
      </c>
      <c r="CA26" s="0" t="str">
        <f aca="false">IF(AND(08_風險清冊_Risk!$A26&lt;&gt;"",OR(08_風險清冊_Risk!$G26="極高",08_風險清冊_Risk!$G26="高")),MAX($CA$4:CA25)+1,"")</f>
        <v/>
      </c>
      <c r="CC26" s="0" t="str">
        <f aca="false">IF(AND(03_能力總表_Master!$A26&lt;&gt;"",IFERROR(INDEX(16_能力商機矩陣_CapOppMap!$D26:$CO26,MATCH(LEFT(17_商機作戰卡_OppView!$C$4,6),16_能力商機矩陣_CapOppMap!$D$4:$CO$4,0)),"")="✓"),MAX($CC$4:CC25)+1,"")</f>
        <v/>
      </c>
    </row>
    <row r="27" customFormat="false" ht="95.5" hidden="false" customHeight="false" outlineLevel="0" collapsed="false">
      <c r="A27" s="0" t="str">
        <f aca="false">IF(03_能力總表_Master!$A27="","",IF(LEFT(03_能力總表_Master!$H27,2)="群晶","● ",IF(ISNUMBER(SEARCH("已確認",03_能力總表_Master!$H27)),"◆ ",IF(ISNUMBER(SEARCH("缺口",03_能力總表_Master!$H27)),"○ ","◐ ")))&amp;RIGHT(03_能力總表_Master!$A27,3)&amp;" "&amp;03_能力總表_Master!$E27)</f>
        <v>● 023 BMS與能源管理</v>
      </c>
      <c r="B27" s="0" t="str">
        <f aca="false">IF(03_能力總表_Master!$A27="","",LEFT(03_能力總表_Master!$B27,3))</f>
        <v>D04</v>
      </c>
      <c r="C27" s="0" t="str">
        <f aca="false">IF(03_能力總表_Master!$A27="","",03_能力總表_Master!$C27)</f>
        <v>G4</v>
      </c>
      <c r="D27" s="363" t="str">
        <f aca="false">IF(AND($B27="D01",$C27="G0"),D26&amp;IF(D26="","",CHAR(10))&amp;$A27,D26)</f>
        <v>◐ 001 政府授權與計畫章程
◐ 002 利害關係人與權力地圖
◐ 005 聯盟治理與利益衝突</v>
      </c>
      <c r="E27" s="363" t="str">
        <f aca="false">IF(AND($B27="D01",$C27="G1"),E26&amp;IF(E26="","",CHAR(10))&amp;$A27,E26)</f>
        <v>◐ 003 交易模式選擇
◐ 004 法規與執照路徑</v>
      </c>
      <c r="F27" s="0" t="str">
        <f aca="false">IF(AND($B27="D01",$C27="G2"),F26&amp;IF(F26="","",CHAR(10))&amp;$A27,F26)</f>
        <v>◐ 006 績效契約與變更控制</v>
      </c>
      <c r="G27" s="0" t="str">
        <f aca="false">IF(AND($B27="D01",$C27="G3"),G26&amp;IF(G26="","",CHAR(10))&amp;$A27,G26)</f>
        <v/>
      </c>
      <c r="H27" s="0" t="str">
        <f aca="false">IF(AND($B27="D01",$C27="G4"),H26&amp;IF(H26="","",CHAR(10))&amp;$A27,H26)</f>
        <v/>
      </c>
      <c r="I27" s="0" t="str">
        <f aca="false">IF(AND($B27="D01",$C27="G5"),I26&amp;IF(I26="","",CHAR(10))&amp;$A27,I26)</f>
        <v/>
      </c>
      <c r="J27" s="0" t="str">
        <f aca="false">IF(AND($B27="D01",$C27="G6"),J26&amp;IF(J26="","",CHAR(10))&amp;$A27,J26)</f>
        <v/>
      </c>
      <c r="K27" s="0" t="str">
        <f aca="false">IF(AND($B27="D02",$C27="G0"),K26&amp;IF(K26="","",CHAR(10))&amp;$A27,K26)</f>
        <v/>
      </c>
      <c r="L27" s="363" t="str">
        <f aca="false">IF(AND($B27="D02",$C27="G1"),L26&amp;IF(L26="","",CHAR(10))&amp;$A27,L26)</f>
        <v>◐ 007 人口需求與病例量預測
◐ 008 醫院定位與服務組合
◐ 009 重點專科優先化
◐ 010 病人流程與容量設計
◐ 011 轉診與區域照護網絡
◐ 012 臨床治理與責任架構</v>
      </c>
      <c r="M27" s="0" t="str">
        <f aca="false">IF(AND($B27="D02",$C27="G2"),M26&amp;IF(M26="","",CHAR(10))&amp;$A27,M26)</f>
        <v/>
      </c>
      <c r="N27" s="0" t="str">
        <f aca="false">IF(AND($B27="D02",$C27="G3"),N26&amp;IF(N26="","",CHAR(10))&amp;$A27,N26)</f>
        <v/>
      </c>
      <c r="O27" s="0" t="str">
        <f aca="false">IF(AND($B27="D02",$C27="G4"),O26&amp;IF(O26="","",CHAR(10))&amp;$A27,O26)</f>
        <v/>
      </c>
      <c r="P27" s="0" t="str">
        <f aca="false">IF(AND($B27="D02",$C27="G5"),P26&amp;IF(P26="","",CHAR(10))&amp;$A27,P26)</f>
        <v/>
      </c>
      <c r="Q27" s="0" t="str">
        <f aca="false">IF(AND($B27="D02",$C27="G6"),Q26&amp;IF(Q26="","",CHAR(10))&amp;$A27,Q26)</f>
        <v/>
      </c>
      <c r="R27" s="0" t="str">
        <f aca="false">IF(AND($B27="D03",$C27="G0"),R26&amp;IF(R26="","",CHAR(10))&amp;$A27,R26)</f>
        <v/>
      </c>
      <c r="S27" s="0" t="str">
        <f aca="false">IF(AND($B27="D03",$C27="G1"),S26&amp;IF(S26="","",CHAR(10))&amp;$A27,S26)</f>
        <v>◐ 013 場址與醫院總體規劃</v>
      </c>
      <c r="T27" s="363" t="str">
        <f aca="false">IF(AND($B27="D03",$C27="G2"),T26&amp;IF(T26="","",CHAR(10))&amp;$A27,T26)</f>
        <v>◐ 014 醫療建築功能計畫
◐ 015 感染控制與潔污動線
◐ 019 綠色與氣候韌性醫院</v>
      </c>
      <c r="U27" s="363" t="str">
        <f aca="false">IF(AND($B27="D03",$C27="G3"),U26&amp;IF(U26="","",CHAR(10))&amp;$A27,U26)</f>
        <v>● 016 電力、備援與微電網
◐ 017 醫療氣體與關鍵公用系統
◐ 018 醫療廢棄物與水資源</v>
      </c>
      <c r="V27" s="0" t="str">
        <f aca="false">IF(AND($B27="D03",$C27="G4"),V26&amp;IF(V26="","",CHAR(10))&amp;$A27,V26)</f>
        <v/>
      </c>
      <c r="W27" s="0" t="str">
        <f aca="false">IF(AND($B27="D03",$C27="G5"),W26&amp;IF(W26="","",CHAR(10))&amp;$A27,W26)</f>
        <v/>
      </c>
      <c r="X27" s="0" t="str">
        <f aca="false">IF(AND($B27="D03",$C27="G6"),X26&amp;IF(X26="","",CHAR(10))&amp;$A27,X26)</f>
        <v/>
      </c>
      <c r="Y27" s="0" t="str">
        <f aca="false">IF(AND($B27="D04",$C27="G0"),Y26&amp;IF(Y26="","",CHAR(10))&amp;$A27,Y26)</f>
        <v/>
      </c>
      <c r="Z27" s="0" t="str">
        <f aca="false">IF(AND($B27="D04",$C27="G1"),Z26&amp;IF(Z26="","",CHAR(10))&amp;$A27,Z26)</f>
        <v/>
      </c>
      <c r="AA27" s="0" t="str">
        <f aca="false">IF(AND($B27="D04",$C27="G2"),AA26&amp;IF(AA26="","",CHAR(10))&amp;$A27,AA26)</f>
        <v/>
      </c>
      <c r="AB27" s="0" t="str">
        <f aca="false">IF(AND($B27="D04",$C27="G3"),AB26&amp;IF(AB26="","",CHAR(10))&amp;$A27,AB26)</f>
        <v>● 020 IDC與邊緣運算底座</v>
      </c>
      <c r="AC27" s="363" t="str">
        <f aca="false">IF(AND($B27="D04",$C27="G4"),AC26&amp;IF(AC26="","",CHAR(10))&amp;$A27,AC26)</f>
        <v>● 021 有線無線網路與分區
◐ 022 資安營運與零信任
● 023 BMS與能源管理</v>
      </c>
      <c r="AD27" s="0" t="str">
        <f aca="false">IF(AND($B27="D04",$C27="G5"),AD26&amp;IF(AD26="","",CHAR(10))&amp;$A27,AD26)</f>
        <v/>
      </c>
      <c r="AE27" s="0" t="str">
        <f aca="false">IF(AND($B27="D04",$C27="G6"),AE26&amp;IF(AE26="","",CHAR(10))&amp;$A27,AE26)</f>
        <v/>
      </c>
      <c r="AF27" s="0" t="str">
        <f aca="false">IF(AND($B27="D05",$C27="G0"),AF26&amp;IF(AF26="","",CHAR(10))&amp;$A27,AF26)</f>
        <v/>
      </c>
      <c r="AG27" s="0" t="str">
        <f aca="false">IF(AND($B27="D05",$C27="G1"),AG26&amp;IF(AG26="","",CHAR(10))&amp;$A27,AG26)</f>
        <v/>
      </c>
      <c r="AH27" s="0" t="str">
        <f aca="false">IF(AND($B27="D05",$C27="G2"),AH26&amp;IF(AH26="","",CHAR(10))&amp;$A27,AH26)</f>
        <v/>
      </c>
      <c r="AI27" s="0" t="str">
        <f aca="false">IF(AND($B27="D05",$C27="G3"),AI26&amp;IF(AI26="","",CHAR(10))&amp;$A27,AI26)</f>
        <v/>
      </c>
      <c r="AJ27" s="0" t="str">
        <f aca="false">IF(AND($B27="D05",$C27="G4"),AJ26&amp;IF(AJ26="","",CHAR(10))&amp;$A27,AJ26)</f>
        <v/>
      </c>
      <c r="AK27" s="0" t="str">
        <f aca="false">IF(AND($B27="D05",$C27="G5"),AK26&amp;IF(AK26="","",CHAR(10))&amp;$A27,AK26)</f>
        <v/>
      </c>
      <c r="AL27" s="0" t="str">
        <f aca="false">IF(AND($B27="D05",$C27="G6"),AL26&amp;IF(AL26="","",CHAR(10))&amp;$A27,AL26)</f>
        <v/>
      </c>
      <c r="AM27" s="0" t="str">
        <f aca="false">IF(AND($B27="D06",$C27="G0"),AM26&amp;IF(AM26="","",CHAR(10))&amp;$A27,AM26)</f>
        <v/>
      </c>
      <c r="AN27" s="0" t="str">
        <f aca="false">IF(AND($B27="D06",$C27="G1"),AN26&amp;IF(AN26="","",CHAR(10))&amp;$A27,AN26)</f>
        <v/>
      </c>
      <c r="AO27" s="0" t="str">
        <f aca="false">IF(AND($B27="D06",$C27="G2"),AO26&amp;IF(AO26="","",CHAR(10))&amp;$A27,AO26)</f>
        <v/>
      </c>
      <c r="AP27" s="0" t="str">
        <f aca="false">IF(AND($B27="D06",$C27="G3"),AP26&amp;IF(AP26="","",CHAR(10))&amp;$A27,AP26)</f>
        <v/>
      </c>
      <c r="AQ27" s="0" t="str">
        <f aca="false">IF(AND($B27="D06",$C27="G4"),AQ26&amp;IF(AQ26="","",CHAR(10))&amp;$A27,AQ26)</f>
        <v/>
      </c>
      <c r="AR27" s="0" t="str">
        <f aca="false">IF(AND($B27="D06",$C27="G5"),AR26&amp;IF(AR26="","",CHAR(10))&amp;$A27,AR26)</f>
        <v/>
      </c>
      <c r="AS27" s="0" t="str">
        <f aca="false">IF(AND($B27="D06",$C27="G6"),AS26&amp;IF(AS26="","",CHAR(10))&amp;$A27,AS26)</f>
        <v/>
      </c>
      <c r="AT27" s="0" t="str">
        <f aca="false">IF(AND($B27="D07",$C27="G0"),AT26&amp;IF(AT26="","",CHAR(10))&amp;$A27,AT26)</f>
        <v/>
      </c>
      <c r="AU27" s="0" t="str">
        <f aca="false">IF(AND($B27="D07",$C27="G1"),AU26&amp;IF(AU26="","",CHAR(10))&amp;$A27,AU26)</f>
        <v/>
      </c>
      <c r="AV27" s="0" t="str">
        <f aca="false">IF(AND($B27="D07",$C27="G2"),AV26&amp;IF(AV26="","",CHAR(10))&amp;$A27,AV26)</f>
        <v/>
      </c>
      <c r="AW27" s="0" t="str">
        <f aca="false">IF(AND($B27="D07",$C27="G3"),AW26&amp;IF(AW26="","",CHAR(10))&amp;$A27,AW26)</f>
        <v/>
      </c>
      <c r="AX27" s="0" t="str">
        <f aca="false">IF(AND($B27="D07",$C27="G4"),AX26&amp;IF(AX26="","",CHAR(10))&amp;$A27,AX26)</f>
        <v/>
      </c>
      <c r="AY27" s="0" t="str">
        <f aca="false">IF(AND($B27="D07",$C27="G5"),AY26&amp;IF(AY26="","",CHAR(10))&amp;$A27,AY26)</f>
        <v/>
      </c>
      <c r="AZ27" s="0" t="str">
        <f aca="false">IF(AND($B27="D07",$C27="G6"),AZ26&amp;IF(AZ26="","",CHAR(10))&amp;$A27,AZ26)</f>
        <v/>
      </c>
      <c r="BA27" s="0" t="str">
        <f aca="false">IF(AND($B27="D08",$C27="G0"),BA26&amp;IF(BA26="","",CHAR(10))&amp;$A27,BA26)</f>
        <v/>
      </c>
      <c r="BB27" s="0" t="str">
        <f aca="false">IF(AND($B27="D08",$C27="G1"),BB26&amp;IF(BB26="","",CHAR(10))&amp;$A27,BB26)</f>
        <v/>
      </c>
      <c r="BC27" s="0" t="str">
        <f aca="false">IF(AND($B27="D08",$C27="G2"),BC26&amp;IF(BC26="","",CHAR(10))&amp;$A27,BC26)</f>
        <v/>
      </c>
      <c r="BD27" s="0" t="str">
        <f aca="false">IF(AND($B27="D08",$C27="G3"),BD26&amp;IF(BD26="","",CHAR(10))&amp;$A27,BD26)</f>
        <v/>
      </c>
      <c r="BE27" s="0" t="str">
        <f aca="false">IF(AND($B27="D08",$C27="G4"),BE26&amp;IF(BE26="","",CHAR(10))&amp;$A27,BE26)</f>
        <v/>
      </c>
      <c r="BF27" s="0" t="str">
        <f aca="false">IF(AND($B27="D08",$C27="G5"),BF26&amp;IF(BF26="","",CHAR(10))&amp;$A27,BF26)</f>
        <v/>
      </c>
      <c r="BG27" s="0" t="str">
        <f aca="false">IF(AND($B27="D08",$C27="G6"),BG26&amp;IF(BG26="","",CHAR(10))&amp;$A27,BG26)</f>
        <v/>
      </c>
      <c r="BH27" s="0" t="str">
        <f aca="false">IF(AND($B27="D09",$C27="G0"),BH26&amp;IF(BH26="","",CHAR(10))&amp;$A27,BH26)</f>
        <v/>
      </c>
      <c r="BI27" s="0" t="str">
        <f aca="false">IF(AND($B27="D09",$C27="G1"),BI26&amp;IF(BI26="","",CHAR(10))&amp;$A27,BI26)</f>
        <v/>
      </c>
      <c r="BJ27" s="0" t="str">
        <f aca="false">IF(AND($B27="D09",$C27="G2"),BJ26&amp;IF(BJ26="","",CHAR(10))&amp;$A27,BJ26)</f>
        <v/>
      </c>
      <c r="BK27" s="0" t="str">
        <f aca="false">IF(AND($B27="D09",$C27="G3"),BK26&amp;IF(BK26="","",CHAR(10))&amp;$A27,BK26)</f>
        <v/>
      </c>
      <c r="BL27" s="0" t="str">
        <f aca="false">IF(AND($B27="D09",$C27="G4"),BL26&amp;IF(BL26="","",CHAR(10))&amp;$A27,BL26)</f>
        <v/>
      </c>
      <c r="BM27" s="0" t="str">
        <f aca="false">IF(AND($B27="D09",$C27="G5"),BM26&amp;IF(BM26="","",CHAR(10))&amp;$A27,BM26)</f>
        <v/>
      </c>
      <c r="BN27" s="0" t="str">
        <f aca="false">IF(AND($B27="D09",$C27="G6"),BN26&amp;IF(BN26="","",CHAR(10))&amp;$A27,BN26)</f>
        <v/>
      </c>
      <c r="BO27" s="0" t="str">
        <f aca="false">IF(AND($B27="D10",$C27="G0"),BO26&amp;IF(BO26="","",CHAR(10))&amp;$A27,BO26)</f>
        <v/>
      </c>
      <c r="BP27" s="0" t="str">
        <f aca="false">IF(AND($B27="D10",$C27="G1"),BP26&amp;IF(BP26="","",CHAR(10))&amp;$A27,BP26)</f>
        <v/>
      </c>
      <c r="BQ27" s="0" t="str">
        <f aca="false">IF(AND($B27="D10",$C27="G2"),BQ26&amp;IF(BQ26="","",CHAR(10))&amp;$A27,BQ26)</f>
        <v/>
      </c>
      <c r="BR27" s="0" t="str">
        <f aca="false">IF(AND($B27="D10",$C27="G3"),BR26&amp;IF(BR26="","",CHAR(10))&amp;$A27,BR26)</f>
        <v/>
      </c>
      <c r="BS27" s="0" t="str">
        <f aca="false">IF(AND($B27="D10",$C27="G4"),BS26&amp;IF(BS26="","",CHAR(10))&amp;$A27,BS26)</f>
        <v/>
      </c>
      <c r="BT27" s="0" t="str">
        <f aca="false">IF(AND($B27="D10",$C27="G5"),BT26&amp;IF(BT26="","",CHAR(10))&amp;$A27,BT26)</f>
        <v/>
      </c>
      <c r="BU27" s="0" t="str">
        <f aca="false">IF(AND($B27="D10",$C27="G6"),BU26&amp;IF(BU26="","",CHAR(10))&amp;$A27,BU26)</f>
        <v/>
      </c>
      <c r="BX27" s="0" t="str">
        <f aca="false">IF(AND(03_能力總表_Master!$A27&lt;&gt;"",LEFT(03_能力總表_Master!$H27,2)="缺口"),MAX($BX$4:BX26)+1,"")</f>
        <v/>
      </c>
      <c r="BY27" s="0" t="n">
        <f aca="false">IF(AND(03_能力總表_Master!$A27&lt;&gt;"",03_能力總表_Master!$J27=12_夥伴視角_PartnerView!$C$4),MAX($BY$4:BY26)+1,"")</f>
        <v>4</v>
      </c>
      <c r="BZ27" s="0" t="str">
        <f aca="false">IF(AND(05_法規門檻_Gates!$A27&lt;&gt;"",05_法規門檻_Gates!$E27="強制",05_法規門檻_Gates!$F27="待確認"),MAX($BZ$4:BZ26)+1,"")</f>
        <v/>
      </c>
      <c r="CA27" s="0" t="str">
        <f aca="false">IF(AND(08_風險清冊_Risk!$A27&lt;&gt;"",OR(08_風險清冊_Risk!$G27="極高",08_風險清冊_Risk!$G27="高")),MAX($CA$4:CA26)+1,"")</f>
        <v/>
      </c>
      <c r="CC27" s="0" t="str">
        <f aca="false">IF(AND(03_能力總表_Master!$A27&lt;&gt;"",IFERROR(INDEX(16_能力商機矩陣_CapOppMap!$D27:$CO27,MATCH(LEFT(17_商機作戰卡_OppView!$C$4,6),16_能力商機矩陣_CapOppMap!$D$4:$CO$4,0)),"")="✓"),MAX($CC$4:CC26)+1,"")</f>
        <v/>
      </c>
    </row>
    <row r="28" customFormat="false" ht="95.5" hidden="false" customHeight="false" outlineLevel="0" collapsed="false">
      <c r="A28" s="0" t="str">
        <f aca="false">IF(03_能力總表_Master!$A28="","",IF(LEFT(03_能力總表_Master!$H28,2)="群晶","● ",IF(ISNUMBER(SEARCH("已確認",03_能力總表_Master!$H28)),"◆ ",IF(ISNUMBER(SEARCH("缺口",03_能力總表_Master!$H28)),"○ ","◐ ")))&amp;RIGHT(03_能力總表_Master!$A28,3)&amp;" "&amp;03_能力總表_Master!$E28)</f>
        <v>● 024 RTLS與資產／人員定位</v>
      </c>
      <c r="B28" s="0" t="str">
        <f aca="false">IF(03_能力總表_Master!$A28="","",LEFT(03_能力總表_Master!$B28,3))</f>
        <v>D04</v>
      </c>
      <c r="C28" s="0" t="str">
        <f aca="false">IF(03_能力總表_Master!$A28="","",03_能力總表_Master!$C28)</f>
        <v>G4</v>
      </c>
      <c r="D28" s="363" t="str">
        <f aca="false">IF(AND($B28="D01",$C28="G0"),D27&amp;IF(D27="","",CHAR(10))&amp;$A28,D27)</f>
        <v>◐ 001 政府授權與計畫章程
◐ 002 利害關係人與權力地圖
◐ 005 聯盟治理與利益衝突</v>
      </c>
      <c r="E28" s="363" t="str">
        <f aca="false">IF(AND($B28="D01",$C28="G1"),E27&amp;IF(E27="","",CHAR(10))&amp;$A28,E27)</f>
        <v>◐ 003 交易模式選擇
◐ 004 法規與執照路徑</v>
      </c>
      <c r="F28" s="0" t="str">
        <f aca="false">IF(AND($B28="D01",$C28="G2"),F27&amp;IF(F27="","",CHAR(10))&amp;$A28,F27)</f>
        <v>◐ 006 績效契約與變更控制</v>
      </c>
      <c r="G28" s="0" t="str">
        <f aca="false">IF(AND($B28="D01",$C28="G3"),G27&amp;IF(G27="","",CHAR(10))&amp;$A28,G27)</f>
        <v/>
      </c>
      <c r="H28" s="0" t="str">
        <f aca="false">IF(AND($B28="D01",$C28="G4"),H27&amp;IF(H27="","",CHAR(10))&amp;$A28,H27)</f>
        <v/>
      </c>
      <c r="I28" s="0" t="str">
        <f aca="false">IF(AND($B28="D01",$C28="G5"),I27&amp;IF(I27="","",CHAR(10))&amp;$A28,I27)</f>
        <v/>
      </c>
      <c r="J28" s="0" t="str">
        <f aca="false">IF(AND($B28="D01",$C28="G6"),J27&amp;IF(J27="","",CHAR(10))&amp;$A28,J27)</f>
        <v/>
      </c>
      <c r="K28" s="0" t="str">
        <f aca="false">IF(AND($B28="D02",$C28="G0"),K27&amp;IF(K27="","",CHAR(10))&amp;$A28,K27)</f>
        <v/>
      </c>
      <c r="L28" s="363" t="str">
        <f aca="false">IF(AND($B28="D02",$C28="G1"),L27&amp;IF(L27="","",CHAR(10))&amp;$A28,L27)</f>
        <v>◐ 007 人口需求與病例量預測
◐ 008 醫院定位與服務組合
◐ 009 重點專科優先化
◐ 010 病人流程與容量設計
◐ 011 轉診與區域照護網絡
◐ 012 臨床治理與責任架構</v>
      </c>
      <c r="M28" s="0" t="str">
        <f aca="false">IF(AND($B28="D02",$C28="G2"),M27&amp;IF(M27="","",CHAR(10))&amp;$A28,M27)</f>
        <v/>
      </c>
      <c r="N28" s="0" t="str">
        <f aca="false">IF(AND($B28="D02",$C28="G3"),N27&amp;IF(N27="","",CHAR(10))&amp;$A28,N27)</f>
        <v/>
      </c>
      <c r="O28" s="0" t="str">
        <f aca="false">IF(AND($B28="D02",$C28="G4"),O27&amp;IF(O27="","",CHAR(10))&amp;$A28,O27)</f>
        <v/>
      </c>
      <c r="P28" s="0" t="str">
        <f aca="false">IF(AND($B28="D02",$C28="G5"),P27&amp;IF(P27="","",CHAR(10))&amp;$A28,P27)</f>
        <v/>
      </c>
      <c r="Q28" s="0" t="str">
        <f aca="false">IF(AND($B28="D02",$C28="G6"),Q27&amp;IF(Q27="","",CHAR(10))&amp;$A28,Q27)</f>
        <v/>
      </c>
      <c r="R28" s="0" t="str">
        <f aca="false">IF(AND($B28="D03",$C28="G0"),R27&amp;IF(R27="","",CHAR(10))&amp;$A28,R27)</f>
        <v/>
      </c>
      <c r="S28" s="0" t="str">
        <f aca="false">IF(AND($B28="D03",$C28="G1"),S27&amp;IF(S27="","",CHAR(10))&amp;$A28,S27)</f>
        <v>◐ 013 場址與醫院總體規劃</v>
      </c>
      <c r="T28" s="363" t="str">
        <f aca="false">IF(AND($B28="D03",$C28="G2"),T27&amp;IF(T27="","",CHAR(10))&amp;$A28,T27)</f>
        <v>◐ 014 醫療建築功能計畫
◐ 015 感染控制與潔污動線
◐ 019 綠色與氣候韌性醫院</v>
      </c>
      <c r="U28" s="363" t="str">
        <f aca="false">IF(AND($B28="D03",$C28="G3"),U27&amp;IF(U27="","",CHAR(10))&amp;$A28,U27)</f>
        <v>● 016 電力、備援與微電網
◐ 017 醫療氣體與關鍵公用系統
◐ 018 醫療廢棄物與水資源</v>
      </c>
      <c r="V28" s="0" t="str">
        <f aca="false">IF(AND($B28="D03",$C28="G4"),V27&amp;IF(V27="","",CHAR(10))&amp;$A28,V27)</f>
        <v/>
      </c>
      <c r="W28" s="0" t="str">
        <f aca="false">IF(AND($B28="D03",$C28="G5"),W27&amp;IF(W27="","",CHAR(10))&amp;$A28,W27)</f>
        <v/>
      </c>
      <c r="X28" s="0" t="str">
        <f aca="false">IF(AND($B28="D03",$C28="G6"),X27&amp;IF(X27="","",CHAR(10))&amp;$A28,X27)</f>
        <v/>
      </c>
      <c r="Y28" s="0" t="str">
        <f aca="false">IF(AND($B28="D04",$C28="G0"),Y27&amp;IF(Y27="","",CHAR(10))&amp;$A28,Y27)</f>
        <v/>
      </c>
      <c r="Z28" s="0" t="str">
        <f aca="false">IF(AND($B28="D04",$C28="G1"),Z27&amp;IF(Z27="","",CHAR(10))&amp;$A28,Z27)</f>
        <v/>
      </c>
      <c r="AA28" s="0" t="str">
        <f aca="false">IF(AND($B28="D04",$C28="G2"),AA27&amp;IF(AA27="","",CHAR(10))&amp;$A28,AA27)</f>
        <v/>
      </c>
      <c r="AB28" s="0" t="str">
        <f aca="false">IF(AND($B28="D04",$C28="G3"),AB27&amp;IF(AB27="","",CHAR(10))&amp;$A28,AB27)</f>
        <v>● 020 IDC與邊緣運算底座</v>
      </c>
      <c r="AC28" s="363" t="str">
        <f aca="false">IF(AND($B28="D04",$C28="G4"),AC27&amp;IF(AC27="","",CHAR(10))&amp;$A28,AC27)</f>
        <v>● 021 有線無線網路與分區
◐ 022 資安營運與零信任
● 023 BMS與能源管理
● 024 RTLS與資產／人員定位</v>
      </c>
      <c r="AD28" s="0" t="str">
        <f aca="false">IF(AND($B28="D04",$C28="G5"),AD27&amp;IF(AD27="","",CHAR(10))&amp;$A28,AD27)</f>
        <v/>
      </c>
      <c r="AE28" s="0" t="str">
        <f aca="false">IF(AND($B28="D04",$C28="G6"),AE27&amp;IF(AE27="","",CHAR(10))&amp;$A28,AE27)</f>
        <v/>
      </c>
      <c r="AF28" s="0" t="str">
        <f aca="false">IF(AND($B28="D05",$C28="G0"),AF27&amp;IF(AF27="","",CHAR(10))&amp;$A28,AF27)</f>
        <v/>
      </c>
      <c r="AG28" s="0" t="str">
        <f aca="false">IF(AND($B28="D05",$C28="G1"),AG27&amp;IF(AG27="","",CHAR(10))&amp;$A28,AG27)</f>
        <v/>
      </c>
      <c r="AH28" s="0" t="str">
        <f aca="false">IF(AND($B28="D05",$C28="G2"),AH27&amp;IF(AH27="","",CHAR(10))&amp;$A28,AH27)</f>
        <v/>
      </c>
      <c r="AI28" s="0" t="str">
        <f aca="false">IF(AND($B28="D05",$C28="G3"),AI27&amp;IF(AI27="","",CHAR(10))&amp;$A28,AI27)</f>
        <v/>
      </c>
      <c r="AJ28" s="0" t="str">
        <f aca="false">IF(AND($B28="D05",$C28="G4"),AJ27&amp;IF(AJ27="","",CHAR(10))&amp;$A28,AJ27)</f>
        <v/>
      </c>
      <c r="AK28" s="0" t="str">
        <f aca="false">IF(AND($B28="D05",$C28="G5"),AK27&amp;IF(AK27="","",CHAR(10))&amp;$A28,AK27)</f>
        <v/>
      </c>
      <c r="AL28" s="0" t="str">
        <f aca="false">IF(AND($B28="D05",$C28="G6"),AL27&amp;IF(AL27="","",CHAR(10))&amp;$A28,AL27)</f>
        <v/>
      </c>
      <c r="AM28" s="0" t="str">
        <f aca="false">IF(AND($B28="D06",$C28="G0"),AM27&amp;IF(AM27="","",CHAR(10))&amp;$A28,AM27)</f>
        <v/>
      </c>
      <c r="AN28" s="0" t="str">
        <f aca="false">IF(AND($B28="D06",$C28="G1"),AN27&amp;IF(AN27="","",CHAR(10))&amp;$A28,AN27)</f>
        <v/>
      </c>
      <c r="AO28" s="0" t="str">
        <f aca="false">IF(AND($B28="D06",$C28="G2"),AO27&amp;IF(AO27="","",CHAR(10))&amp;$A28,AO27)</f>
        <v/>
      </c>
      <c r="AP28" s="0" t="str">
        <f aca="false">IF(AND($B28="D06",$C28="G3"),AP27&amp;IF(AP27="","",CHAR(10))&amp;$A28,AP27)</f>
        <v/>
      </c>
      <c r="AQ28" s="0" t="str">
        <f aca="false">IF(AND($B28="D06",$C28="G4"),AQ27&amp;IF(AQ27="","",CHAR(10))&amp;$A28,AQ27)</f>
        <v/>
      </c>
      <c r="AR28" s="0" t="str">
        <f aca="false">IF(AND($B28="D06",$C28="G5"),AR27&amp;IF(AR27="","",CHAR(10))&amp;$A28,AR27)</f>
        <v/>
      </c>
      <c r="AS28" s="0" t="str">
        <f aca="false">IF(AND($B28="D06",$C28="G6"),AS27&amp;IF(AS27="","",CHAR(10))&amp;$A28,AS27)</f>
        <v/>
      </c>
      <c r="AT28" s="0" t="str">
        <f aca="false">IF(AND($B28="D07",$C28="G0"),AT27&amp;IF(AT27="","",CHAR(10))&amp;$A28,AT27)</f>
        <v/>
      </c>
      <c r="AU28" s="0" t="str">
        <f aca="false">IF(AND($B28="D07",$C28="G1"),AU27&amp;IF(AU27="","",CHAR(10))&amp;$A28,AU27)</f>
        <v/>
      </c>
      <c r="AV28" s="0" t="str">
        <f aca="false">IF(AND($B28="D07",$C28="G2"),AV27&amp;IF(AV27="","",CHAR(10))&amp;$A28,AV27)</f>
        <v/>
      </c>
      <c r="AW28" s="0" t="str">
        <f aca="false">IF(AND($B28="D07",$C28="G3"),AW27&amp;IF(AW27="","",CHAR(10))&amp;$A28,AW27)</f>
        <v/>
      </c>
      <c r="AX28" s="0" t="str">
        <f aca="false">IF(AND($B28="D07",$C28="G4"),AX27&amp;IF(AX27="","",CHAR(10))&amp;$A28,AX27)</f>
        <v/>
      </c>
      <c r="AY28" s="0" t="str">
        <f aca="false">IF(AND($B28="D07",$C28="G5"),AY27&amp;IF(AY27="","",CHAR(10))&amp;$A28,AY27)</f>
        <v/>
      </c>
      <c r="AZ28" s="0" t="str">
        <f aca="false">IF(AND($B28="D07",$C28="G6"),AZ27&amp;IF(AZ27="","",CHAR(10))&amp;$A28,AZ27)</f>
        <v/>
      </c>
      <c r="BA28" s="0" t="str">
        <f aca="false">IF(AND($B28="D08",$C28="G0"),BA27&amp;IF(BA27="","",CHAR(10))&amp;$A28,BA27)</f>
        <v/>
      </c>
      <c r="BB28" s="0" t="str">
        <f aca="false">IF(AND($B28="D08",$C28="G1"),BB27&amp;IF(BB27="","",CHAR(10))&amp;$A28,BB27)</f>
        <v/>
      </c>
      <c r="BC28" s="0" t="str">
        <f aca="false">IF(AND($B28="D08",$C28="G2"),BC27&amp;IF(BC27="","",CHAR(10))&amp;$A28,BC27)</f>
        <v/>
      </c>
      <c r="BD28" s="0" t="str">
        <f aca="false">IF(AND($B28="D08",$C28="G3"),BD27&amp;IF(BD27="","",CHAR(10))&amp;$A28,BD27)</f>
        <v/>
      </c>
      <c r="BE28" s="0" t="str">
        <f aca="false">IF(AND($B28="D08",$C28="G4"),BE27&amp;IF(BE27="","",CHAR(10))&amp;$A28,BE27)</f>
        <v/>
      </c>
      <c r="BF28" s="0" t="str">
        <f aca="false">IF(AND($B28="D08",$C28="G5"),BF27&amp;IF(BF27="","",CHAR(10))&amp;$A28,BF27)</f>
        <v/>
      </c>
      <c r="BG28" s="0" t="str">
        <f aca="false">IF(AND($B28="D08",$C28="G6"),BG27&amp;IF(BG27="","",CHAR(10))&amp;$A28,BG27)</f>
        <v/>
      </c>
      <c r="BH28" s="0" t="str">
        <f aca="false">IF(AND($B28="D09",$C28="G0"),BH27&amp;IF(BH27="","",CHAR(10))&amp;$A28,BH27)</f>
        <v/>
      </c>
      <c r="BI28" s="0" t="str">
        <f aca="false">IF(AND($B28="D09",$C28="G1"),BI27&amp;IF(BI27="","",CHAR(10))&amp;$A28,BI27)</f>
        <v/>
      </c>
      <c r="BJ28" s="0" t="str">
        <f aca="false">IF(AND($B28="D09",$C28="G2"),BJ27&amp;IF(BJ27="","",CHAR(10))&amp;$A28,BJ27)</f>
        <v/>
      </c>
      <c r="BK28" s="0" t="str">
        <f aca="false">IF(AND($B28="D09",$C28="G3"),BK27&amp;IF(BK27="","",CHAR(10))&amp;$A28,BK27)</f>
        <v/>
      </c>
      <c r="BL28" s="0" t="str">
        <f aca="false">IF(AND($B28="D09",$C28="G4"),BL27&amp;IF(BL27="","",CHAR(10))&amp;$A28,BL27)</f>
        <v/>
      </c>
      <c r="BM28" s="0" t="str">
        <f aca="false">IF(AND($B28="D09",$C28="G5"),BM27&amp;IF(BM27="","",CHAR(10))&amp;$A28,BM27)</f>
        <v/>
      </c>
      <c r="BN28" s="0" t="str">
        <f aca="false">IF(AND($B28="D09",$C28="G6"),BN27&amp;IF(BN27="","",CHAR(10))&amp;$A28,BN27)</f>
        <v/>
      </c>
      <c r="BO28" s="0" t="str">
        <f aca="false">IF(AND($B28="D10",$C28="G0"),BO27&amp;IF(BO27="","",CHAR(10))&amp;$A28,BO27)</f>
        <v/>
      </c>
      <c r="BP28" s="0" t="str">
        <f aca="false">IF(AND($B28="D10",$C28="G1"),BP27&amp;IF(BP27="","",CHAR(10))&amp;$A28,BP27)</f>
        <v/>
      </c>
      <c r="BQ28" s="0" t="str">
        <f aca="false">IF(AND($B28="D10",$C28="G2"),BQ27&amp;IF(BQ27="","",CHAR(10))&amp;$A28,BQ27)</f>
        <v/>
      </c>
      <c r="BR28" s="0" t="str">
        <f aca="false">IF(AND($B28="D10",$C28="G3"),BR27&amp;IF(BR27="","",CHAR(10))&amp;$A28,BR27)</f>
        <v/>
      </c>
      <c r="BS28" s="0" t="str">
        <f aca="false">IF(AND($B28="D10",$C28="G4"),BS27&amp;IF(BS27="","",CHAR(10))&amp;$A28,BS27)</f>
        <v/>
      </c>
      <c r="BT28" s="0" t="str">
        <f aca="false">IF(AND($B28="D10",$C28="G5"),BT27&amp;IF(BT27="","",CHAR(10))&amp;$A28,BT27)</f>
        <v/>
      </c>
      <c r="BU28" s="0" t="str">
        <f aca="false">IF(AND($B28="D10",$C28="G6"),BU27&amp;IF(BU27="","",CHAR(10))&amp;$A28,BU27)</f>
        <v/>
      </c>
      <c r="BX28" s="0" t="str">
        <f aca="false">IF(AND(03_能力總表_Master!$A28&lt;&gt;"",LEFT(03_能力總表_Master!$H28,2)="缺口"),MAX($BX$4:BX27)+1,"")</f>
        <v/>
      </c>
      <c r="BY28" s="0" t="n">
        <f aca="false">IF(AND(03_能力總表_Master!$A28&lt;&gt;"",03_能力總表_Master!$J28=12_夥伴視角_PartnerView!$C$4),MAX($BY$4:BY27)+1,"")</f>
        <v>5</v>
      </c>
      <c r="BZ28" s="0" t="str">
        <f aca="false">IF(AND(05_法規門檻_Gates!$A28&lt;&gt;"",05_法規門檻_Gates!$E28="強制",05_法規門檻_Gates!$F28="待確認"),MAX($BZ$4:BZ27)+1,"")</f>
        <v/>
      </c>
      <c r="CA28" s="0" t="str">
        <f aca="false">IF(AND(08_風險清冊_Risk!$A28&lt;&gt;"",OR(08_風險清冊_Risk!$G28="極高",08_風險清冊_Risk!$G28="高")),MAX($CA$4:CA27)+1,"")</f>
        <v/>
      </c>
      <c r="CC28" s="0" t="str">
        <f aca="false">IF(AND(03_能力總表_Master!$A28&lt;&gt;"",IFERROR(INDEX(16_能力商機矩陣_CapOppMap!$D28:$CO28,MATCH(LEFT(17_商機作戰卡_OppView!$C$4,6),16_能力商機矩陣_CapOppMap!$D$4:$CO$4,0)),"")="✓"),MAX($CC$4:CC27)+1,"")</f>
        <v/>
      </c>
    </row>
    <row r="29" customFormat="false" ht="95.5" hidden="false" customHeight="false" outlineLevel="0" collapsed="false">
      <c r="A29" s="0" t="str">
        <f aca="false">IF(03_能力總表_Master!$A29="","",IF(LEFT(03_能力總表_Master!$H29,2)="群晶","● ",IF(ISNUMBER(SEARCH("已確認",03_能力總表_Master!$H29)),"◆ ",IF(ISNUMBER(SEARCH("缺口",03_能力總表_Master!$H29)),"○ ","◐ ")))&amp;RIGHT(03_能力總表_Master!$A29,3)&amp;" "&amp;03_能力總表_Master!$E29)</f>
        <v>● 025 智慧病房、護理呼叫與感測</v>
      </c>
      <c r="B29" s="0" t="str">
        <f aca="false">IF(03_能力總表_Master!$A29="","",LEFT(03_能力總表_Master!$B29,3))</f>
        <v>D04</v>
      </c>
      <c r="C29" s="0" t="str">
        <f aca="false">IF(03_能力總表_Master!$A29="","",03_能力總表_Master!$C29)</f>
        <v>G4</v>
      </c>
      <c r="D29" s="363" t="str">
        <f aca="false">IF(AND($B29="D01",$C29="G0"),D28&amp;IF(D28="","",CHAR(10))&amp;$A29,D28)</f>
        <v>◐ 001 政府授權與計畫章程
◐ 002 利害關係人與權力地圖
◐ 005 聯盟治理與利益衝突</v>
      </c>
      <c r="E29" s="363" t="str">
        <f aca="false">IF(AND($B29="D01",$C29="G1"),E28&amp;IF(E28="","",CHAR(10))&amp;$A29,E28)</f>
        <v>◐ 003 交易模式選擇
◐ 004 法規與執照路徑</v>
      </c>
      <c r="F29" s="0" t="str">
        <f aca="false">IF(AND($B29="D01",$C29="G2"),F28&amp;IF(F28="","",CHAR(10))&amp;$A29,F28)</f>
        <v>◐ 006 績效契約與變更控制</v>
      </c>
      <c r="G29" s="0" t="str">
        <f aca="false">IF(AND($B29="D01",$C29="G3"),G28&amp;IF(G28="","",CHAR(10))&amp;$A29,G28)</f>
        <v/>
      </c>
      <c r="H29" s="0" t="str">
        <f aca="false">IF(AND($B29="D01",$C29="G4"),H28&amp;IF(H28="","",CHAR(10))&amp;$A29,H28)</f>
        <v/>
      </c>
      <c r="I29" s="0" t="str">
        <f aca="false">IF(AND($B29="D01",$C29="G5"),I28&amp;IF(I28="","",CHAR(10))&amp;$A29,I28)</f>
        <v/>
      </c>
      <c r="J29" s="0" t="str">
        <f aca="false">IF(AND($B29="D01",$C29="G6"),J28&amp;IF(J28="","",CHAR(10))&amp;$A29,J28)</f>
        <v/>
      </c>
      <c r="K29" s="0" t="str">
        <f aca="false">IF(AND($B29="D02",$C29="G0"),K28&amp;IF(K28="","",CHAR(10))&amp;$A29,K28)</f>
        <v/>
      </c>
      <c r="L29" s="363" t="str">
        <f aca="false">IF(AND($B29="D02",$C29="G1"),L28&amp;IF(L28="","",CHAR(10))&amp;$A29,L28)</f>
        <v>◐ 007 人口需求與病例量預測
◐ 008 醫院定位與服務組合
◐ 009 重點專科優先化
◐ 010 病人流程與容量設計
◐ 011 轉診與區域照護網絡
◐ 012 臨床治理與責任架構</v>
      </c>
      <c r="M29" s="0" t="str">
        <f aca="false">IF(AND($B29="D02",$C29="G2"),M28&amp;IF(M28="","",CHAR(10))&amp;$A29,M28)</f>
        <v/>
      </c>
      <c r="N29" s="0" t="str">
        <f aca="false">IF(AND($B29="D02",$C29="G3"),N28&amp;IF(N28="","",CHAR(10))&amp;$A29,N28)</f>
        <v/>
      </c>
      <c r="O29" s="0" t="str">
        <f aca="false">IF(AND($B29="D02",$C29="G4"),O28&amp;IF(O28="","",CHAR(10))&amp;$A29,O28)</f>
        <v/>
      </c>
      <c r="P29" s="0" t="str">
        <f aca="false">IF(AND($B29="D02",$C29="G5"),P28&amp;IF(P28="","",CHAR(10))&amp;$A29,P28)</f>
        <v/>
      </c>
      <c r="Q29" s="0" t="str">
        <f aca="false">IF(AND($B29="D02",$C29="G6"),Q28&amp;IF(Q28="","",CHAR(10))&amp;$A29,Q28)</f>
        <v/>
      </c>
      <c r="R29" s="0" t="str">
        <f aca="false">IF(AND($B29="D03",$C29="G0"),R28&amp;IF(R28="","",CHAR(10))&amp;$A29,R28)</f>
        <v/>
      </c>
      <c r="S29" s="0" t="str">
        <f aca="false">IF(AND($B29="D03",$C29="G1"),S28&amp;IF(S28="","",CHAR(10))&amp;$A29,S28)</f>
        <v>◐ 013 場址與醫院總體規劃</v>
      </c>
      <c r="T29" s="363" t="str">
        <f aca="false">IF(AND($B29="D03",$C29="G2"),T28&amp;IF(T28="","",CHAR(10))&amp;$A29,T28)</f>
        <v>◐ 014 醫療建築功能計畫
◐ 015 感染控制與潔污動線
◐ 019 綠色與氣候韌性醫院</v>
      </c>
      <c r="U29" s="363" t="str">
        <f aca="false">IF(AND($B29="D03",$C29="G3"),U28&amp;IF(U28="","",CHAR(10))&amp;$A29,U28)</f>
        <v>● 016 電力、備援與微電網
◐ 017 醫療氣體與關鍵公用系統
◐ 018 醫療廢棄物與水資源</v>
      </c>
      <c r="V29" s="0" t="str">
        <f aca="false">IF(AND($B29="D03",$C29="G4"),V28&amp;IF(V28="","",CHAR(10))&amp;$A29,V28)</f>
        <v/>
      </c>
      <c r="W29" s="0" t="str">
        <f aca="false">IF(AND($B29="D03",$C29="G5"),W28&amp;IF(W28="","",CHAR(10))&amp;$A29,W28)</f>
        <v/>
      </c>
      <c r="X29" s="0" t="str">
        <f aca="false">IF(AND($B29="D03",$C29="G6"),X28&amp;IF(X28="","",CHAR(10))&amp;$A29,X28)</f>
        <v/>
      </c>
      <c r="Y29" s="0" t="str">
        <f aca="false">IF(AND($B29="D04",$C29="G0"),Y28&amp;IF(Y28="","",CHAR(10))&amp;$A29,Y28)</f>
        <v/>
      </c>
      <c r="Z29" s="0" t="str">
        <f aca="false">IF(AND($B29="D04",$C29="G1"),Z28&amp;IF(Z28="","",CHAR(10))&amp;$A29,Z28)</f>
        <v/>
      </c>
      <c r="AA29" s="0" t="str">
        <f aca="false">IF(AND($B29="D04",$C29="G2"),AA28&amp;IF(AA28="","",CHAR(10))&amp;$A29,AA28)</f>
        <v/>
      </c>
      <c r="AB29" s="0" t="str">
        <f aca="false">IF(AND($B29="D04",$C29="G3"),AB28&amp;IF(AB28="","",CHAR(10))&amp;$A29,AB28)</f>
        <v>● 020 IDC與邊緣運算底座</v>
      </c>
      <c r="AC29" s="363" t="str">
        <f aca="false">IF(AND($B29="D04",$C29="G4"),AC28&amp;IF(AC28="","",CHAR(10))&amp;$A29,AC28)</f>
        <v>● 021 有線無線網路與分區
◐ 022 資安營運與零信任
● 023 BMS與能源管理
● 024 RTLS與資產／人員定位
● 025 智慧病房、護理呼叫與感測</v>
      </c>
      <c r="AD29" s="0" t="str">
        <f aca="false">IF(AND($B29="D04",$C29="G5"),AD28&amp;IF(AD28="","",CHAR(10))&amp;$A29,AD28)</f>
        <v/>
      </c>
      <c r="AE29" s="0" t="str">
        <f aca="false">IF(AND($B29="D04",$C29="G6"),AE28&amp;IF(AE28="","",CHAR(10))&amp;$A29,AE28)</f>
        <v/>
      </c>
      <c r="AF29" s="0" t="str">
        <f aca="false">IF(AND($B29="D05",$C29="G0"),AF28&amp;IF(AF28="","",CHAR(10))&amp;$A29,AF28)</f>
        <v/>
      </c>
      <c r="AG29" s="0" t="str">
        <f aca="false">IF(AND($B29="D05",$C29="G1"),AG28&amp;IF(AG28="","",CHAR(10))&amp;$A29,AG28)</f>
        <v/>
      </c>
      <c r="AH29" s="0" t="str">
        <f aca="false">IF(AND($B29="D05",$C29="G2"),AH28&amp;IF(AH28="","",CHAR(10))&amp;$A29,AH28)</f>
        <v/>
      </c>
      <c r="AI29" s="0" t="str">
        <f aca="false">IF(AND($B29="D05",$C29="G3"),AI28&amp;IF(AI28="","",CHAR(10))&amp;$A29,AI28)</f>
        <v/>
      </c>
      <c r="AJ29" s="0" t="str">
        <f aca="false">IF(AND($B29="D05",$C29="G4"),AJ28&amp;IF(AJ28="","",CHAR(10))&amp;$A29,AJ28)</f>
        <v/>
      </c>
      <c r="AK29" s="0" t="str">
        <f aca="false">IF(AND($B29="D05",$C29="G5"),AK28&amp;IF(AK28="","",CHAR(10))&amp;$A29,AK28)</f>
        <v/>
      </c>
      <c r="AL29" s="0" t="str">
        <f aca="false">IF(AND($B29="D05",$C29="G6"),AL28&amp;IF(AL28="","",CHAR(10))&amp;$A29,AL28)</f>
        <v/>
      </c>
      <c r="AM29" s="0" t="str">
        <f aca="false">IF(AND($B29="D06",$C29="G0"),AM28&amp;IF(AM28="","",CHAR(10))&amp;$A29,AM28)</f>
        <v/>
      </c>
      <c r="AN29" s="0" t="str">
        <f aca="false">IF(AND($B29="D06",$C29="G1"),AN28&amp;IF(AN28="","",CHAR(10))&amp;$A29,AN28)</f>
        <v/>
      </c>
      <c r="AO29" s="0" t="str">
        <f aca="false">IF(AND($B29="D06",$C29="G2"),AO28&amp;IF(AO28="","",CHAR(10))&amp;$A29,AO28)</f>
        <v/>
      </c>
      <c r="AP29" s="0" t="str">
        <f aca="false">IF(AND($B29="D06",$C29="G3"),AP28&amp;IF(AP28="","",CHAR(10))&amp;$A29,AP28)</f>
        <v/>
      </c>
      <c r="AQ29" s="0" t="str">
        <f aca="false">IF(AND($B29="D06",$C29="G4"),AQ28&amp;IF(AQ28="","",CHAR(10))&amp;$A29,AQ28)</f>
        <v/>
      </c>
      <c r="AR29" s="0" t="str">
        <f aca="false">IF(AND($B29="D06",$C29="G5"),AR28&amp;IF(AR28="","",CHAR(10))&amp;$A29,AR28)</f>
        <v/>
      </c>
      <c r="AS29" s="0" t="str">
        <f aca="false">IF(AND($B29="D06",$C29="G6"),AS28&amp;IF(AS28="","",CHAR(10))&amp;$A29,AS28)</f>
        <v/>
      </c>
      <c r="AT29" s="0" t="str">
        <f aca="false">IF(AND($B29="D07",$C29="G0"),AT28&amp;IF(AT28="","",CHAR(10))&amp;$A29,AT28)</f>
        <v/>
      </c>
      <c r="AU29" s="0" t="str">
        <f aca="false">IF(AND($B29="D07",$C29="G1"),AU28&amp;IF(AU28="","",CHAR(10))&amp;$A29,AU28)</f>
        <v/>
      </c>
      <c r="AV29" s="0" t="str">
        <f aca="false">IF(AND($B29="D07",$C29="G2"),AV28&amp;IF(AV28="","",CHAR(10))&amp;$A29,AV28)</f>
        <v/>
      </c>
      <c r="AW29" s="0" t="str">
        <f aca="false">IF(AND($B29="D07",$C29="G3"),AW28&amp;IF(AW28="","",CHAR(10))&amp;$A29,AW28)</f>
        <v/>
      </c>
      <c r="AX29" s="0" t="str">
        <f aca="false">IF(AND($B29="D07",$C29="G4"),AX28&amp;IF(AX28="","",CHAR(10))&amp;$A29,AX28)</f>
        <v/>
      </c>
      <c r="AY29" s="0" t="str">
        <f aca="false">IF(AND($B29="D07",$C29="G5"),AY28&amp;IF(AY28="","",CHAR(10))&amp;$A29,AY28)</f>
        <v/>
      </c>
      <c r="AZ29" s="0" t="str">
        <f aca="false">IF(AND($B29="D07",$C29="G6"),AZ28&amp;IF(AZ28="","",CHAR(10))&amp;$A29,AZ28)</f>
        <v/>
      </c>
      <c r="BA29" s="0" t="str">
        <f aca="false">IF(AND($B29="D08",$C29="G0"),BA28&amp;IF(BA28="","",CHAR(10))&amp;$A29,BA28)</f>
        <v/>
      </c>
      <c r="BB29" s="0" t="str">
        <f aca="false">IF(AND($B29="D08",$C29="G1"),BB28&amp;IF(BB28="","",CHAR(10))&amp;$A29,BB28)</f>
        <v/>
      </c>
      <c r="BC29" s="0" t="str">
        <f aca="false">IF(AND($B29="D08",$C29="G2"),BC28&amp;IF(BC28="","",CHAR(10))&amp;$A29,BC28)</f>
        <v/>
      </c>
      <c r="BD29" s="0" t="str">
        <f aca="false">IF(AND($B29="D08",$C29="G3"),BD28&amp;IF(BD28="","",CHAR(10))&amp;$A29,BD28)</f>
        <v/>
      </c>
      <c r="BE29" s="0" t="str">
        <f aca="false">IF(AND($B29="D08",$C29="G4"),BE28&amp;IF(BE28="","",CHAR(10))&amp;$A29,BE28)</f>
        <v/>
      </c>
      <c r="BF29" s="0" t="str">
        <f aca="false">IF(AND($B29="D08",$C29="G5"),BF28&amp;IF(BF28="","",CHAR(10))&amp;$A29,BF28)</f>
        <v/>
      </c>
      <c r="BG29" s="0" t="str">
        <f aca="false">IF(AND($B29="D08",$C29="G6"),BG28&amp;IF(BG28="","",CHAR(10))&amp;$A29,BG28)</f>
        <v/>
      </c>
      <c r="BH29" s="0" t="str">
        <f aca="false">IF(AND($B29="D09",$C29="G0"),BH28&amp;IF(BH28="","",CHAR(10))&amp;$A29,BH28)</f>
        <v/>
      </c>
      <c r="BI29" s="0" t="str">
        <f aca="false">IF(AND($B29="D09",$C29="G1"),BI28&amp;IF(BI28="","",CHAR(10))&amp;$A29,BI28)</f>
        <v/>
      </c>
      <c r="BJ29" s="0" t="str">
        <f aca="false">IF(AND($B29="D09",$C29="G2"),BJ28&amp;IF(BJ28="","",CHAR(10))&amp;$A29,BJ28)</f>
        <v/>
      </c>
      <c r="BK29" s="0" t="str">
        <f aca="false">IF(AND($B29="D09",$C29="G3"),BK28&amp;IF(BK28="","",CHAR(10))&amp;$A29,BK28)</f>
        <v/>
      </c>
      <c r="BL29" s="0" t="str">
        <f aca="false">IF(AND($B29="D09",$C29="G4"),BL28&amp;IF(BL28="","",CHAR(10))&amp;$A29,BL28)</f>
        <v/>
      </c>
      <c r="BM29" s="0" t="str">
        <f aca="false">IF(AND($B29="D09",$C29="G5"),BM28&amp;IF(BM28="","",CHAR(10))&amp;$A29,BM28)</f>
        <v/>
      </c>
      <c r="BN29" s="0" t="str">
        <f aca="false">IF(AND($B29="D09",$C29="G6"),BN28&amp;IF(BN28="","",CHAR(10))&amp;$A29,BN28)</f>
        <v/>
      </c>
      <c r="BO29" s="0" t="str">
        <f aca="false">IF(AND($B29="D10",$C29="G0"),BO28&amp;IF(BO28="","",CHAR(10))&amp;$A29,BO28)</f>
        <v/>
      </c>
      <c r="BP29" s="0" t="str">
        <f aca="false">IF(AND($B29="D10",$C29="G1"),BP28&amp;IF(BP28="","",CHAR(10))&amp;$A29,BP28)</f>
        <v/>
      </c>
      <c r="BQ29" s="0" t="str">
        <f aca="false">IF(AND($B29="D10",$C29="G2"),BQ28&amp;IF(BQ28="","",CHAR(10))&amp;$A29,BQ28)</f>
        <v/>
      </c>
      <c r="BR29" s="0" t="str">
        <f aca="false">IF(AND($B29="D10",$C29="G3"),BR28&amp;IF(BR28="","",CHAR(10))&amp;$A29,BR28)</f>
        <v/>
      </c>
      <c r="BS29" s="0" t="str">
        <f aca="false">IF(AND($B29="D10",$C29="G4"),BS28&amp;IF(BS28="","",CHAR(10))&amp;$A29,BS28)</f>
        <v/>
      </c>
      <c r="BT29" s="0" t="str">
        <f aca="false">IF(AND($B29="D10",$C29="G5"),BT28&amp;IF(BT28="","",CHAR(10))&amp;$A29,BT28)</f>
        <v/>
      </c>
      <c r="BU29" s="0" t="str">
        <f aca="false">IF(AND($B29="D10",$C29="G6"),BU28&amp;IF(BU28="","",CHAR(10))&amp;$A29,BU28)</f>
        <v/>
      </c>
      <c r="BX29" s="0" t="str">
        <f aca="false">IF(AND(03_能力總表_Master!$A29&lt;&gt;"",LEFT(03_能力總表_Master!$H29,2)="缺口"),MAX($BX$4:BX28)+1,"")</f>
        <v/>
      </c>
      <c r="BY29" s="0" t="n">
        <f aca="false">IF(AND(03_能力總表_Master!$A29&lt;&gt;"",03_能力總表_Master!$J29=12_夥伴視角_PartnerView!$C$4),MAX($BY$4:BY28)+1,"")</f>
        <v>6</v>
      </c>
      <c r="BZ29" s="0" t="str">
        <f aca="false">IF(AND(05_法規門檻_Gates!$A29&lt;&gt;"",05_法規門檻_Gates!$E29="強制",05_法規門檻_Gates!$F29="待確認"),MAX($BZ$4:BZ28)+1,"")</f>
        <v/>
      </c>
      <c r="CA29" s="0" t="str">
        <f aca="false">IF(AND(08_風險清冊_Risk!$A29&lt;&gt;"",OR(08_風險清冊_Risk!$G29="極高",08_風險清冊_Risk!$G29="高")),MAX($CA$4:CA28)+1,"")</f>
        <v/>
      </c>
      <c r="CC29" s="0" t="str">
        <f aca="false">IF(AND(03_能力總表_Master!$A29&lt;&gt;"",IFERROR(INDEX(16_能力商機矩陣_CapOppMap!$D29:$CO29,MATCH(LEFT(17_商機作戰卡_OppView!$C$4,6),16_能力商機矩陣_CapOppMap!$D$4:$CO$4,0)),"")="✓"),MAX($CC$4:CC28)+1,"")</f>
        <v/>
      </c>
    </row>
    <row r="30" customFormat="false" ht="95.5" hidden="false" customHeight="false" outlineLevel="0" collapsed="false">
      <c r="A30" s="0" t="str">
        <f aca="false">IF(03_能力總表_Master!$A30="","",IF(LEFT(03_能力總表_Master!$H30,2)="群晶","● ",IF(ISNUMBER(SEARCH("已確認",03_能力總表_Master!$H30)),"◆ ",IF(ISNUMBER(SEARCH("缺口",03_能力總表_Master!$H30)),"○ ","◐ ")))&amp;RIGHT(03_能力總表_Master!$A30,3)&amp;" "&amp;03_能力總表_Master!$E30)</f>
        <v>● 026 災難復原與營運持續</v>
      </c>
      <c r="B30" s="0" t="str">
        <f aca="false">IF(03_能力總表_Master!$A30="","",LEFT(03_能力總表_Master!$B30,3))</f>
        <v>D04</v>
      </c>
      <c r="C30" s="0" t="str">
        <f aca="false">IF(03_能力總表_Master!$A30="","",03_能力總表_Master!$C30)</f>
        <v>G4</v>
      </c>
      <c r="D30" s="363" t="str">
        <f aca="false">IF(AND($B30="D01",$C30="G0"),D29&amp;IF(D29="","",CHAR(10))&amp;$A30,D29)</f>
        <v>◐ 001 政府授權與計畫章程
◐ 002 利害關係人與權力地圖
◐ 005 聯盟治理與利益衝突</v>
      </c>
      <c r="E30" s="363" t="str">
        <f aca="false">IF(AND($B30="D01",$C30="G1"),E29&amp;IF(E29="","",CHAR(10))&amp;$A30,E29)</f>
        <v>◐ 003 交易模式選擇
◐ 004 法規與執照路徑</v>
      </c>
      <c r="F30" s="0" t="str">
        <f aca="false">IF(AND($B30="D01",$C30="G2"),F29&amp;IF(F29="","",CHAR(10))&amp;$A30,F29)</f>
        <v>◐ 006 績效契約與變更控制</v>
      </c>
      <c r="G30" s="0" t="str">
        <f aca="false">IF(AND($B30="D01",$C30="G3"),G29&amp;IF(G29="","",CHAR(10))&amp;$A30,G29)</f>
        <v/>
      </c>
      <c r="H30" s="0" t="str">
        <f aca="false">IF(AND($B30="D01",$C30="G4"),H29&amp;IF(H29="","",CHAR(10))&amp;$A30,H29)</f>
        <v/>
      </c>
      <c r="I30" s="0" t="str">
        <f aca="false">IF(AND($B30="D01",$C30="G5"),I29&amp;IF(I29="","",CHAR(10))&amp;$A30,I29)</f>
        <v/>
      </c>
      <c r="J30" s="0" t="str">
        <f aca="false">IF(AND($B30="D01",$C30="G6"),J29&amp;IF(J29="","",CHAR(10))&amp;$A30,J29)</f>
        <v/>
      </c>
      <c r="K30" s="0" t="str">
        <f aca="false">IF(AND($B30="D02",$C30="G0"),K29&amp;IF(K29="","",CHAR(10))&amp;$A30,K29)</f>
        <v/>
      </c>
      <c r="L30" s="363" t="str">
        <f aca="false">IF(AND($B30="D02",$C30="G1"),L29&amp;IF(L29="","",CHAR(10))&amp;$A30,L29)</f>
        <v>◐ 007 人口需求與病例量預測
◐ 008 醫院定位與服務組合
◐ 009 重點專科優先化
◐ 010 病人流程與容量設計
◐ 011 轉診與區域照護網絡
◐ 012 臨床治理與責任架構</v>
      </c>
      <c r="M30" s="0" t="str">
        <f aca="false">IF(AND($B30="D02",$C30="G2"),M29&amp;IF(M29="","",CHAR(10))&amp;$A30,M29)</f>
        <v/>
      </c>
      <c r="N30" s="0" t="str">
        <f aca="false">IF(AND($B30="D02",$C30="G3"),N29&amp;IF(N29="","",CHAR(10))&amp;$A30,N29)</f>
        <v/>
      </c>
      <c r="O30" s="0" t="str">
        <f aca="false">IF(AND($B30="D02",$C30="G4"),O29&amp;IF(O29="","",CHAR(10))&amp;$A30,O29)</f>
        <v/>
      </c>
      <c r="P30" s="0" t="str">
        <f aca="false">IF(AND($B30="D02",$C30="G5"),P29&amp;IF(P29="","",CHAR(10))&amp;$A30,P29)</f>
        <v/>
      </c>
      <c r="Q30" s="0" t="str">
        <f aca="false">IF(AND($B30="D02",$C30="G6"),Q29&amp;IF(Q29="","",CHAR(10))&amp;$A30,Q29)</f>
        <v/>
      </c>
      <c r="R30" s="0" t="str">
        <f aca="false">IF(AND($B30="D03",$C30="G0"),R29&amp;IF(R29="","",CHAR(10))&amp;$A30,R29)</f>
        <v/>
      </c>
      <c r="S30" s="0" t="str">
        <f aca="false">IF(AND($B30="D03",$C30="G1"),S29&amp;IF(S29="","",CHAR(10))&amp;$A30,S29)</f>
        <v>◐ 013 場址與醫院總體規劃</v>
      </c>
      <c r="T30" s="363" t="str">
        <f aca="false">IF(AND($B30="D03",$C30="G2"),T29&amp;IF(T29="","",CHAR(10))&amp;$A30,T29)</f>
        <v>◐ 014 醫療建築功能計畫
◐ 015 感染控制與潔污動線
◐ 019 綠色與氣候韌性醫院</v>
      </c>
      <c r="U30" s="363" t="str">
        <f aca="false">IF(AND($B30="D03",$C30="G3"),U29&amp;IF(U29="","",CHAR(10))&amp;$A30,U29)</f>
        <v>● 016 電力、備援與微電網
◐ 017 醫療氣體與關鍵公用系統
◐ 018 醫療廢棄物與水資源</v>
      </c>
      <c r="V30" s="0" t="str">
        <f aca="false">IF(AND($B30="D03",$C30="G4"),V29&amp;IF(V29="","",CHAR(10))&amp;$A30,V29)</f>
        <v/>
      </c>
      <c r="W30" s="0" t="str">
        <f aca="false">IF(AND($B30="D03",$C30="G5"),W29&amp;IF(W29="","",CHAR(10))&amp;$A30,W29)</f>
        <v/>
      </c>
      <c r="X30" s="0" t="str">
        <f aca="false">IF(AND($B30="D03",$C30="G6"),X29&amp;IF(X29="","",CHAR(10))&amp;$A30,X29)</f>
        <v/>
      </c>
      <c r="Y30" s="0" t="str">
        <f aca="false">IF(AND($B30="D04",$C30="G0"),Y29&amp;IF(Y29="","",CHAR(10))&amp;$A30,Y29)</f>
        <v/>
      </c>
      <c r="Z30" s="0" t="str">
        <f aca="false">IF(AND($B30="D04",$C30="G1"),Z29&amp;IF(Z29="","",CHAR(10))&amp;$A30,Z29)</f>
        <v/>
      </c>
      <c r="AA30" s="0" t="str">
        <f aca="false">IF(AND($B30="D04",$C30="G2"),AA29&amp;IF(AA29="","",CHAR(10))&amp;$A30,AA29)</f>
        <v/>
      </c>
      <c r="AB30" s="0" t="str">
        <f aca="false">IF(AND($B30="D04",$C30="G3"),AB29&amp;IF(AB29="","",CHAR(10))&amp;$A30,AB29)</f>
        <v>● 020 IDC與邊緣運算底座</v>
      </c>
      <c r="AC30" s="363" t="str">
        <f aca="false">IF(AND($B30="D04",$C30="G4"),AC29&amp;IF(AC29="","",CHAR(10))&amp;$A30,AC29)</f>
        <v>● 021 有線無線網路與分區
◐ 022 資安營運與零信任
● 023 BMS與能源管理
● 024 RTLS與資產／人員定位
● 025 智慧病房、護理呼叫與感測
● 026 災難復原與營運持續</v>
      </c>
      <c r="AD30" s="0" t="str">
        <f aca="false">IF(AND($B30="D04",$C30="G5"),AD29&amp;IF(AD29="","",CHAR(10))&amp;$A30,AD29)</f>
        <v/>
      </c>
      <c r="AE30" s="0" t="str">
        <f aca="false">IF(AND($B30="D04",$C30="G6"),AE29&amp;IF(AE29="","",CHAR(10))&amp;$A30,AE29)</f>
        <v/>
      </c>
      <c r="AF30" s="0" t="str">
        <f aca="false">IF(AND($B30="D05",$C30="G0"),AF29&amp;IF(AF29="","",CHAR(10))&amp;$A30,AF29)</f>
        <v/>
      </c>
      <c r="AG30" s="0" t="str">
        <f aca="false">IF(AND($B30="D05",$C30="G1"),AG29&amp;IF(AG29="","",CHAR(10))&amp;$A30,AG29)</f>
        <v/>
      </c>
      <c r="AH30" s="0" t="str">
        <f aca="false">IF(AND($B30="D05",$C30="G2"),AH29&amp;IF(AH29="","",CHAR(10))&amp;$A30,AH29)</f>
        <v/>
      </c>
      <c r="AI30" s="0" t="str">
        <f aca="false">IF(AND($B30="D05",$C30="G3"),AI29&amp;IF(AI29="","",CHAR(10))&amp;$A30,AI29)</f>
        <v/>
      </c>
      <c r="AJ30" s="0" t="str">
        <f aca="false">IF(AND($B30="D05",$C30="G4"),AJ29&amp;IF(AJ29="","",CHAR(10))&amp;$A30,AJ29)</f>
        <v/>
      </c>
      <c r="AK30" s="0" t="str">
        <f aca="false">IF(AND($B30="D05",$C30="G5"),AK29&amp;IF(AK29="","",CHAR(10))&amp;$A30,AK29)</f>
        <v/>
      </c>
      <c r="AL30" s="0" t="str">
        <f aca="false">IF(AND($B30="D05",$C30="G6"),AL29&amp;IF(AL29="","",CHAR(10))&amp;$A30,AL29)</f>
        <v/>
      </c>
      <c r="AM30" s="0" t="str">
        <f aca="false">IF(AND($B30="D06",$C30="G0"),AM29&amp;IF(AM29="","",CHAR(10))&amp;$A30,AM29)</f>
        <v/>
      </c>
      <c r="AN30" s="0" t="str">
        <f aca="false">IF(AND($B30="D06",$C30="G1"),AN29&amp;IF(AN29="","",CHAR(10))&amp;$A30,AN29)</f>
        <v/>
      </c>
      <c r="AO30" s="0" t="str">
        <f aca="false">IF(AND($B30="D06",$C30="G2"),AO29&amp;IF(AO29="","",CHAR(10))&amp;$A30,AO29)</f>
        <v/>
      </c>
      <c r="AP30" s="0" t="str">
        <f aca="false">IF(AND($B30="D06",$C30="G3"),AP29&amp;IF(AP29="","",CHAR(10))&amp;$A30,AP29)</f>
        <v/>
      </c>
      <c r="AQ30" s="0" t="str">
        <f aca="false">IF(AND($B30="D06",$C30="G4"),AQ29&amp;IF(AQ29="","",CHAR(10))&amp;$A30,AQ29)</f>
        <v/>
      </c>
      <c r="AR30" s="0" t="str">
        <f aca="false">IF(AND($B30="D06",$C30="G5"),AR29&amp;IF(AR29="","",CHAR(10))&amp;$A30,AR29)</f>
        <v/>
      </c>
      <c r="AS30" s="0" t="str">
        <f aca="false">IF(AND($B30="D06",$C30="G6"),AS29&amp;IF(AS29="","",CHAR(10))&amp;$A30,AS29)</f>
        <v/>
      </c>
      <c r="AT30" s="0" t="str">
        <f aca="false">IF(AND($B30="D07",$C30="G0"),AT29&amp;IF(AT29="","",CHAR(10))&amp;$A30,AT29)</f>
        <v/>
      </c>
      <c r="AU30" s="0" t="str">
        <f aca="false">IF(AND($B30="D07",$C30="G1"),AU29&amp;IF(AU29="","",CHAR(10))&amp;$A30,AU29)</f>
        <v/>
      </c>
      <c r="AV30" s="0" t="str">
        <f aca="false">IF(AND($B30="D07",$C30="G2"),AV29&amp;IF(AV29="","",CHAR(10))&amp;$A30,AV29)</f>
        <v/>
      </c>
      <c r="AW30" s="0" t="str">
        <f aca="false">IF(AND($B30="D07",$C30="G3"),AW29&amp;IF(AW29="","",CHAR(10))&amp;$A30,AW29)</f>
        <v/>
      </c>
      <c r="AX30" s="0" t="str">
        <f aca="false">IF(AND($B30="D07",$C30="G4"),AX29&amp;IF(AX29="","",CHAR(10))&amp;$A30,AX29)</f>
        <v/>
      </c>
      <c r="AY30" s="0" t="str">
        <f aca="false">IF(AND($B30="D07",$C30="G5"),AY29&amp;IF(AY29="","",CHAR(10))&amp;$A30,AY29)</f>
        <v/>
      </c>
      <c r="AZ30" s="0" t="str">
        <f aca="false">IF(AND($B30="D07",$C30="G6"),AZ29&amp;IF(AZ29="","",CHAR(10))&amp;$A30,AZ29)</f>
        <v/>
      </c>
      <c r="BA30" s="0" t="str">
        <f aca="false">IF(AND($B30="D08",$C30="G0"),BA29&amp;IF(BA29="","",CHAR(10))&amp;$A30,BA29)</f>
        <v/>
      </c>
      <c r="BB30" s="0" t="str">
        <f aca="false">IF(AND($B30="D08",$C30="G1"),BB29&amp;IF(BB29="","",CHAR(10))&amp;$A30,BB29)</f>
        <v/>
      </c>
      <c r="BC30" s="0" t="str">
        <f aca="false">IF(AND($B30="D08",$C30="G2"),BC29&amp;IF(BC29="","",CHAR(10))&amp;$A30,BC29)</f>
        <v/>
      </c>
      <c r="BD30" s="0" t="str">
        <f aca="false">IF(AND($B30="D08",$C30="G3"),BD29&amp;IF(BD29="","",CHAR(10))&amp;$A30,BD29)</f>
        <v/>
      </c>
      <c r="BE30" s="0" t="str">
        <f aca="false">IF(AND($B30="D08",$C30="G4"),BE29&amp;IF(BE29="","",CHAR(10))&amp;$A30,BE29)</f>
        <v/>
      </c>
      <c r="BF30" s="0" t="str">
        <f aca="false">IF(AND($B30="D08",$C30="G5"),BF29&amp;IF(BF29="","",CHAR(10))&amp;$A30,BF29)</f>
        <v/>
      </c>
      <c r="BG30" s="0" t="str">
        <f aca="false">IF(AND($B30="D08",$C30="G6"),BG29&amp;IF(BG29="","",CHAR(10))&amp;$A30,BG29)</f>
        <v/>
      </c>
      <c r="BH30" s="0" t="str">
        <f aca="false">IF(AND($B30="D09",$C30="G0"),BH29&amp;IF(BH29="","",CHAR(10))&amp;$A30,BH29)</f>
        <v/>
      </c>
      <c r="BI30" s="0" t="str">
        <f aca="false">IF(AND($B30="D09",$C30="G1"),BI29&amp;IF(BI29="","",CHAR(10))&amp;$A30,BI29)</f>
        <v/>
      </c>
      <c r="BJ30" s="0" t="str">
        <f aca="false">IF(AND($B30="D09",$C30="G2"),BJ29&amp;IF(BJ29="","",CHAR(10))&amp;$A30,BJ29)</f>
        <v/>
      </c>
      <c r="BK30" s="0" t="str">
        <f aca="false">IF(AND($B30="D09",$C30="G3"),BK29&amp;IF(BK29="","",CHAR(10))&amp;$A30,BK29)</f>
        <v/>
      </c>
      <c r="BL30" s="0" t="str">
        <f aca="false">IF(AND($B30="D09",$C30="G4"),BL29&amp;IF(BL29="","",CHAR(10))&amp;$A30,BL29)</f>
        <v/>
      </c>
      <c r="BM30" s="0" t="str">
        <f aca="false">IF(AND($B30="D09",$C30="G5"),BM29&amp;IF(BM29="","",CHAR(10))&amp;$A30,BM29)</f>
        <v/>
      </c>
      <c r="BN30" s="0" t="str">
        <f aca="false">IF(AND($B30="D09",$C30="G6"),BN29&amp;IF(BN29="","",CHAR(10))&amp;$A30,BN29)</f>
        <v/>
      </c>
      <c r="BO30" s="0" t="str">
        <f aca="false">IF(AND($B30="D10",$C30="G0"),BO29&amp;IF(BO29="","",CHAR(10))&amp;$A30,BO29)</f>
        <v/>
      </c>
      <c r="BP30" s="0" t="str">
        <f aca="false">IF(AND($B30="D10",$C30="G1"),BP29&amp;IF(BP29="","",CHAR(10))&amp;$A30,BP29)</f>
        <v/>
      </c>
      <c r="BQ30" s="0" t="str">
        <f aca="false">IF(AND($B30="D10",$C30="G2"),BQ29&amp;IF(BQ29="","",CHAR(10))&amp;$A30,BQ29)</f>
        <v/>
      </c>
      <c r="BR30" s="0" t="str">
        <f aca="false">IF(AND($B30="D10",$C30="G3"),BR29&amp;IF(BR29="","",CHAR(10))&amp;$A30,BR29)</f>
        <v/>
      </c>
      <c r="BS30" s="0" t="str">
        <f aca="false">IF(AND($B30="D10",$C30="G4"),BS29&amp;IF(BS29="","",CHAR(10))&amp;$A30,BS29)</f>
        <v/>
      </c>
      <c r="BT30" s="0" t="str">
        <f aca="false">IF(AND($B30="D10",$C30="G5"),BT29&amp;IF(BT29="","",CHAR(10))&amp;$A30,BT29)</f>
        <v/>
      </c>
      <c r="BU30" s="0" t="str">
        <f aca="false">IF(AND($B30="D10",$C30="G6"),BU29&amp;IF(BU29="","",CHAR(10))&amp;$A30,BU29)</f>
        <v/>
      </c>
      <c r="BX30" s="0" t="str">
        <f aca="false">IF(AND(03_能力總表_Master!$A30&lt;&gt;"",LEFT(03_能力總表_Master!$H30,2)="缺口"),MAX($BX$4:BX29)+1,"")</f>
        <v/>
      </c>
      <c r="BY30" s="0" t="n">
        <f aca="false">IF(AND(03_能力總表_Master!$A30&lt;&gt;"",03_能力總表_Master!$J30=12_夥伴視角_PartnerView!$C$4),MAX($BY$4:BY29)+1,"")</f>
        <v>7</v>
      </c>
      <c r="BZ30" s="0" t="str">
        <f aca="false">IF(AND(05_法規門檻_Gates!$A30&lt;&gt;"",05_法規門檻_Gates!$E30="強制",05_法規門檻_Gates!$F30="待確認"),MAX($BZ$4:BZ29)+1,"")</f>
        <v/>
      </c>
      <c r="CA30" s="0" t="str">
        <f aca="false">IF(AND(08_風險清冊_Risk!$A30&lt;&gt;"",OR(08_風險清冊_Risk!$G30="極高",08_風險清冊_Risk!$G30="高")),MAX($CA$4:CA29)+1,"")</f>
        <v/>
      </c>
      <c r="CC30" s="0" t="n">
        <f aca="false">IF(AND(03_能力總表_Master!$A30&lt;&gt;"",IFERROR(INDEX(16_能力商機矩陣_CapOppMap!$D30:$CO30,MATCH(LEFT(17_商機作戰卡_OppView!$C$4,6),16_能力商機矩陣_CapOppMap!$D$4:$CO$4,0)),"")="✓"),MAX($CC$4:CC29)+1,"")</f>
        <v>3</v>
      </c>
    </row>
    <row r="31" customFormat="false" ht="95.5" hidden="false" customHeight="false" outlineLevel="0" collapsed="false">
      <c r="A31" s="0" t="str">
        <f aca="false">IF(03_能力總表_Master!$A31="","",IF(LEFT(03_能力總表_Master!$H31,2)="群晶","● ",IF(ISNUMBER(SEARCH("已確認",03_能力總表_Master!$H31)),"◆ ",IF(ISNUMBER(SEARCH("缺口",03_能力總表_Master!$H31)),"○ ","◐ ")))&amp;RIGHT(03_能力總表_Master!$A31,3)&amp;" "&amp;03_能力總表_Master!$E31)</f>
        <v>◐ 027 醫材需求與設備計畫</v>
      </c>
      <c r="B31" s="0" t="str">
        <f aca="false">IF(03_能力總表_Master!$A31="","",LEFT(03_能力總表_Master!$B31,3))</f>
        <v>D05</v>
      </c>
      <c r="C31" s="0" t="str">
        <f aca="false">IF(03_能力總表_Master!$A31="","",03_能力總表_Master!$C31)</f>
        <v>G2</v>
      </c>
      <c r="D31" s="363" t="str">
        <f aca="false">IF(AND($B31="D01",$C31="G0"),D30&amp;IF(D30="","",CHAR(10))&amp;$A31,D30)</f>
        <v>◐ 001 政府授權與計畫章程
◐ 002 利害關係人與權力地圖
◐ 005 聯盟治理與利益衝突</v>
      </c>
      <c r="E31" s="363" t="str">
        <f aca="false">IF(AND($B31="D01",$C31="G1"),E30&amp;IF(E30="","",CHAR(10))&amp;$A31,E30)</f>
        <v>◐ 003 交易模式選擇
◐ 004 法規與執照路徑</v>
      </c>
      <c r="F31" s="0" t="str">
        <f aca="false">IF(AND($B31="D01",$C31="G2"),F30&amp;IF(F30="","",CHAR(10))&amp;$A31,F30)</f>
        <v>◐ 006 績效契約與變更控制</v>
      </c>
      <c r="G31" s="0" t="str">
        <f aca="false">IF(AND($B31="D01",$C31="G3"),G30&amp;IF(G30="","",CHAR(10))&amp;$A31,G30)</f>
        <v/>
      </c>
      <c r="H31" s="0" t="str">
        <f aca="false">IF(AND($B31="D01",$C31="G4"),H30&amp;IF(H30="","",CHAR(10))&amp;$A31,H30)</f>
        <v/>
      </c>
      <c r="I31" s="0" t="str">
        <f aca="false">IF(AND($B31="D01",$C31="G5"),I30&amp;IF(I30="","",CHAR(10))&amp;$A31,I30)</f>
        <v/>
      </c>
      <c r="J31" s="0" t="str">
        <f aca="false">IF(AND($B31="D01",$C31="G6"),J30&amp;IF(J30="","",CHAR(10))&amp;$A31,J30)</f>
        <v/>
      </c>
      <c r="K31" s="0" t="str">
        <f aca="false">IF(AND($B31="D02",$C31="G0"),K30&amp;IF(K30="","",CHAR(10))&amp;$A31,K30)</f>
        <v/>
      </c>
      <c r="L31" s="363" t="str">
        <f aca="false">IF(AND($B31="D02",$C31="G1"),L30&amp;IF(L30="","",CHAR(10))&amp;$A31,L30)</f>
        <v>◐ 007 人口需求與病例量預測
◐ 008 醫院定位與服務組合
◐ 009 重點專科優先化
◐ 010 病人流程與容量設計
◐ 011 轉診與區域照護網絡
◐ 012 臨床治理與責任架構</v>
      </c>
      <c r="M31" s="0" t="str">
        <f aca="false">IF(AND($B31="D02",$C31="G2"),M30&amp;IF(M30="","",CHAR(10))&amp;$A31,M30)</f>
        <v/>
      </c>
      <c r="N31" s="0" t="str">
        <f aca="false">IF(AND($B31="D02",$C31="G3"),N30&amp;IF(N30="","",CHAR(10))&amp;$A31,N30)</f>
        <v/>
      </c>
      <c r="O31" s="0" t="str">
        <f aca="false">IF(AND($B31="D02",$C31="G4"),O30&amp;IF(O30="","",CHAR(10))&amp;$A31,O30)</f>
        <v/>
      </c>
      <c r="P31" s="0" t="str">
        <f aca="false">IF(AND($B31="D02",$C31="G5"),P30&amp;IF(P30="","",CHAR(10))&amp;$A31,P30)</f>
        <v/>
      </c>
      <c r="Q31" s="0" t="str">
        <f aca="false">IF(AND($B31="D02",$C31="G6"),Q30&amp;IF(Q30="","",CHAR(10))&amp;$A31,Q30)</f>
        <v/>
      </c>
      <c r="R31" s="0" t="str">
        <f aca="false">IF(AND($B31="D03",$C31="G0"),R30&amp;IF(R30="","",CHAR(10))&amp;$A31,R30)</f>
        <v/>
      </c>
      <c r="S31" s="0" t="str">
        <f aca="false">IF(AND($B31="D03",$C31="G1"),S30&amp;IF(S30="","",CHAR(10))&amp;$A31,S30)</f>
        <v>◐ 013 場址與醫院總體規劃</v>
      </c>
      <c r="T31" s="363" t="str">
        <f aca="false">IF(AND($B31="D03",$C31="G2"),T30&amp;IF(T30="","",CHAR(10))&amp;$A31,T30)</f>
        <v>◐ 014 醫療建築功能計畫
◐ 015 感染控制與潔污動線
◐ 019 綠色與氣候韌性醫院</v>
      </c>
      <c r="U31" s="363" t="str">
        <f aca="false">IF(AND($B31="D03",$C31="G3"),U30&amp;IF(U30="","",CHAR(10))&amp;$A31,U30)</f>
        <v>● 016 電力、備援與微電網
◐ 017 醫療氣體與關鍵公用系統
◐ 018 醫療廢棄物與水資源</v>
      </c>
      <c r="V31" s="0" t="str">
        <f aca="false">IF(AND($B31="D03",$C31="G4"),V30&amp;IF(V30="","",CHAR(10))&amp;$A31,V30)</f>
        <v/>
      </c>
      <c r="W31" s="0" t="str">
        <f aca="false">IF(AND($B31="D03",$C31="G5"),W30&amp;IF(W30="","",CHAR(10))&amp;$A31,W30)</f>
        <v/>
      </c>
      <c r="X31" s="0" t="str">
        <f aca="false">IF(AND($B31="D03",$C31="G6"),X30&amp;IF(X30="","",CHAR(10))&amp;$A31,X30)</f>
        <v/>
      </c>
      <c r="Y31" s="0" t="str">
        <f aca="false">IF(AND($B31="D04",$C31="G0"),Y30&amp;IF(Y30="","",CHAR(10))&amp;$A31,Y30)</f>
        <v/>
      </c>
      <c r="Z31" s="0" t="str">
        <f aca="false">IF(AND($B31="D04",$C31="G1"),Z30&amp;IF(Z30="","",CHAR(10))&amp;$A31,Z30)</f>
        <v/>
      </c>
      <c r="AA31" s="0" t="str">
        <f aca="false">IF(AND($B31="D04",$C31="G2"),AA30&amp;IF(AA30="","",CHAR(10))&amp;$A31,AA30)</f>
        <v/>
      </c>
      <c r="AB31" s="0" t="str">
        <f aca="false">IF(AND($B31="D04",$C31="G3"),AB30&amp;IF(AB30="","",CHAR(10))&amp;$A31,AB30)</f>
        <v>● 020 IDC與邊緣運算底座</v>
      </c>
      <c r="AC31" s="363" t="str">
        <f aca="false">IF(AND($B31="D04",$C31="G4"),AC30&amp;IF(AC30="","",CHAR(10))&amp;$A31,AC30)</f>
        <v>● 021 有線無線網路與分區
◐ 022 資安營運與零信任
● 023 BMS與能源管理
● 024 RTLS與資產／人員定位
● 025 智慧病房、護理呼叫與感測
● 026 災難復原與營運持續</v>
      </c>
      <c r="AD31" s="0" t="str">
        <f aca="false">IF(AND($B31="D04",$C31="G5"),AD30&amp;IF(AD30="","",CHAR(10))&amp;$A31,AD30)</f>
        <v/>
      </c>
      <c r="AE31" s="0" t="str">
        <f aca="false">IF(AND($B31="D04",$C31="G6"),AE30&amp;IF(AE30="","",CHAR(10))&amp;$A31,AE30)</f>
        <v/>
      </c>
      <c r="AF31" s="0" t="str">
        <f aca="false">IF(AND($B31="D05",$C31="G0"),AF30&amp;IF(AF30="","",CHAR(10))&amp;$A31,AF30)</f>
        <v/>
      </c>
      <c r="AG31" s="0" t="str">
        <f aca="false">IF(AND($B31="D05",$C31="G1"),AG30&amp;IF(AG30="","",CHAR(10))&amp;$A31,AG30)</f>
        <v/>
      </c>
      <c r="AH31" s="0" t="str">
        <f aca="false">IF(AND($B31="D05",$C31="G2"),AH30&amp;IF(AH30="","",CHAR(10))&amp;$A31,AH30)</f>
        <v>◐ 027 醫材需求與設備計畫</v>
      </c>
      <c r="AI31" s="0" t="str">
        <f aca="false">IF(AND($B31="D05",$C31="G3"),AI30&amp;IF(AI30="","",CHAR(10))&amp;$A31,AI30)</f>
        <v/>
      </c>
      <c r="AJ31" s="0" t="str">
        <f aca="false">IF(AND($B31="D05",$C31="G4"),AJ30&amp;IF(AJ30="","",CHAR(10))&amp;$A31,AJ30)</f>
        <v/>
      </c>
      <c r="AK31" s="0" t="str">
        <f aca="false">IF(AND($B31="D05",$C31="G5"),AK30&amp;IF(AK30="","",CHAR(10))&amp;$A31,AK30)</f>
        <v/>
      </c>
      <c r="AL31" s="0" t="str">
        <f aca="false">IF(AND($B31="D05",$C31="G6"),AL30&amp;IF(AL30="","",CHAR(10))&amp;$A31,AL30)</f>
        <v/>
      </c>
      <c r="AM31" s="0" t="str">
        <f aca="false">IF(AND($B31="D06",$C31="G0"),AM30&amp;IF(AM30="","",CHAR(10))&amp;$A31,AM30)</f>
        <v/>
      </c>
      <c r="AN31" s="0" t="str">
        <f aca="false">IF(AND($B31="D06",$C31="G1"),AN30&amp;IF(AN30="","",CHAR(10))&amp;$A31,AN30)</f>
        <v/>
      </c>
      <c r="AO31" s="0" t="str">
        <f aca="false">IF(AND($B31="D06",$C31="G2"),AO30&amp;IF(AO30="","",CHAR(10))&amp;$A31,AO30)</f>
        <v/>
      </c>
      <c r="AP31" s="0" t="str">
        <f aca="false">IF(AND($B31="D06",$C31="G3"),AP30&amp;IF(AP30="","",CHAR(10))&amp;$A31,AP30)</f>
        <v/>
      </c>
      <c r="AQ31" s="0" t="str">
        <f aca="false">IF(AND($B31="D06",$C31="G4"),AQ30&amp;IF(AQ30="","",CHAR(10))&amp;$A31,AQ30)</f>
        <v/>
      </c>
      <c r="AR31" s="0" t="str">
        <f aca="false">IF(AND($B31="D06",$C31="G5"),AR30&amp;IF(AR30="","",CHAR(10))&amp;$A31,AR30)</f>
        <v/>
      </c>
      <c r="AS31" s="0" t="str">
        <f aca="false">IF(AND($B31="D06",$C31="G6"),AS30&amp;IF(AS30="","",CHAR(10))&amp;$A31,AS30)</f>
        <v/>
      </c>
      <c r="AT31" s="0" t="str">
        <f aca="false">IF(AND($B31="D07",$C31="G0"),AT30&amp;IF(AT30="","",CHAR(10))&amp;$A31,AT30)</f>
        <v/>
      </c>
      <c r="AU31" s="0" t="str">
        <f aca="false">IF(AND($B31="D07",$C31="G1"),AU30&amp;IF(AU30="","",CHAR(10))&amp;$A31,AU30)</f>
        <v/>
      </c>
      <c r="AV31" s="0" t="str">
        <f aca="false">IF(AND($B31="D07",$C31="G2"),AV30&amp;IF(AV30="","",CHAR(10))&amp;$A31,AV30)</f>
        <v/>
      </c>
      <c r="AW31" s="0" t="str">
        <f aca="false">IF(AND($B31="D07",$C31="G3"),AW30&amp;IF(AW30="","",CHAR(10))&amp;$A31,AW30)</f>
        <v/>
      </c>
      <c r="AX31" s="0" t="str">
        <f aca="false">IF(AND($B31="D07",$C31="G4"),AX30&amp;IF(AX30="","",CHAR(10))&amp;$A31,AX30)</f>
        <v/>
      </c>
      <c r="AY31" s="0" t="str">
        <f aca="false">IF(AND($B31="D07",$C31="G5"),AY30&amp;IF(AY30="","",CHAR(10))&amp;$A31,AY30)</f>
        <v/>
      </c>
      <c r="AZ31" s="0" t="str">
        <f aca="false">IF(AND($B31="D07",$C31="G6"),AZ30&amp;IF(AZ30="","",CHAR(10))&amp;$A31,AZ30)</f>
        <v/>
      </c>
      <c r="BA31" s="0" t="str">
        <f aca="false">IF(AND($B31="D08",$C31="G0"),BA30&amp;IF(BA30="","",CHAR(10))&amp;$A31,BA30)</f>
        <v/>
      </c>
      <c r="BB31" s="0" t="str">
        <f aca="false">IF(AND($B31="D08",$C31="G1"),BB30&amp;IF(BB30="","",CHAR(10))&amp;$A31,BB30)</f>
        <v/>
      </c>
      <c r="BC31" s="0" t="str">
        <f aca="false">IF(AND($B31="D08",$C31="G2"),BC30&amp;IF(BC30="","",CHAR(10))&amp;$A31,BC30)</f>
        <v/>
      </c>
      <c r="BD31" s="0" t="str">
        <f aca="false">IF(AND($B31="D08",$C31="G3"),BD30&amp;IF(BD30="","",CHAR(10))&amp;$A31,BD30)</f>
        <v/>
      </c>
      <c r="BE31" s="0" t="str">
        <f aca="false">IF(AND($B31="D08",$C31="G4"),BE30&amp;IF(BE30="","",CHAR(10))&amp;$A31,BE30)</f>
        <v/>
      </c>
      <c r="BF31" s="0" t="str">
        <f aca="false">IF(AND($B31="D08",$C31="G5"),BF30&amp;IF(BF30="","",CHAR(10))&amp;$A31,BF30)</f>
        <v/>
      </c>
      <c r="BG31" s="0" t="str">
        <f aca="false">IF(AND($B31="D08",$C31="G6"),BG30&amp;IF(BG30="","",CHAR(10))&amp;$A31,BG30)</f>
        <v/>
      </c>
      <c r="BH31" s="0" t="str">
        <f aca="false">IF(AND($B31="D09",$C31="G0"),BH30&amp;IF(BH30="","",CHAR(10))&amp;$A31,BH30)</f>
        <v/>
      </c>
      <c r="BI31" s="0" t="str">
        <f aca="false">IF(AND($B31="D09",$C31="G1"),BI30&amp;IF(BI30="","",CHAR(10))&amp;$A31,BI30)</f>
        <v/>
      </c>
      <c r="BJ31" s="0" t="str">
        <f aca="false">IF(AND($B31="D09",$C31="G2"),BJ30&amp;IF(BJ30="","",CHAR(10))&amp;$A31,BJ30)</f>
        <v/>
      </c>
      <c r="BK31" s="0" t="str">
        <f aca="false">IF(AND($B31="D09",$C31="G3"),BK30&amp;IF(BK30="","",CHAR(10))&amp;$A31,BK30)</f>
        <v/>
      </c>
      <c r="BL31" s="0" t="str">
        <f aca="false">IF(AND($B31="D09",$C31="G4"),BL30&amp;IF(BL30="","",CHAR(10))&amp;$A31,BL30)</f>
        <v/>
      </c>
      <c r="BM31" s="0" t="str">
        <f aca="false">IF(AND($B31="D09",$C31="G5"),BM30&amp;IF(BM30="","",CHAR(10))&amp;$A31,BM30)</f>
        <v/>
      </c>
      <c r="BN31" s="0" t="str">
        <f aca="false">IF(AND($B31="D09",$C31="G6"),BN30&amp;IF(BN30="","",CHAR(10))&amp;$A31,BN30)</f>
        <v/>
      </c>
      <c r="BO31" s="0" t="str">
        <f aca="false">IF(AND($B31="D10",$C31="G0"),BO30&amp;IF(BO30="","",CHAR(10))&amp;$A31,BO30)</f>
        <v/>
      </c>
      <c r="BP31" s="0" t="str">
        <f aca="false">IF(AND($B31="D10",$C31="G1"),BP30&amp;IF(BP30="","",CHAR(10))&amp;$A31,BP30)</f>
        <v/>
      </c>
      <c r="BQ31" s="0" t="str">
        <f aca="false">IF(AND($B31="D10",$C31="G2"),BQ30&amp;IF(BQ30="","",CHAR(10))&amp;$A31,BQ30)</f>
        <v/>
      </c>
      <c r="BR31" s="0" t="str">
        <f aca="false">IF(AND($B31="D10",$C31="G3"),BR30&amp;IF(BR30="","",CHAR(10))&amp;$A31,BR30)</f>
        <v/>
      </c>
      <c r="BS31" s="0" t="str">
        <f aca="false">IF(AND($B31="D10",$C31="G4"),BS30&amp;IF(BS30="","",CHAR(10))&amp;$A31,BS30)</f>
        <v/>
      </c>
      <c r="BT31" s="0" t="str">
        <f aca="false">IF(AND($B31="D10",$C31="G5"),BT30&amp;IF(BT30="","",CHAR(10))&amp;$A31,BT30)</f>
        <v/>
      </c>
      <c r="BU31" s="0" t="str">
        <f aca="false">IF(AND($B31="D10",$C31="G6"),BU30&amp;IF(BU30="","",CHAR(10))&amp;$A31,BU30)</f>
        <v/>
      </c>
      <c r="BX31" s="0" t="str">
        <f aca="false">IF(AND(03_能力總表_Master!$A31&lt;&gt;"",LEFT(03_能力總表_Master!$H31,2)="缺口"),MAX($BX$4:BX30)+1,"")</f>
        <v/>
      </c>
      <c r="BY31" s="0" t="str">
        <f aca="false">IF(AND(03_能力總表_Master!$A31&lt;&gt;"",03_能力總表_Master!$J31=12_夥伴視角_PartnerView!$C$4),MAX($BY$4:BY30)+1,"")</f>
        <v/>
      </c>
      <c r="BZ31" s="0" t="str">
        <f aca="false">IF(AND(05_法規門檻_Gates!$A31&lt;&gt;"",05_法規門檻_Gates!$E31="強制",05_法規門檻_Gates!$F31="待確認"),MAX($BZ$4:BZ30)+1,"")</f>
        <v/>
      </c>
      <c r="CA31" s="0" t="str">
        <f aca="false">IF(AND(08_風險清冊_Risk!$A31&lt;&gt;"",OR(08_風險清冊_Risk!$G31="極高",08_風險清冊_Risk!$G31="高")),MAX($CA$4:CA30)+1,"")</f>
        <v/>
      </c>
      <c r="CC31" s="0" t="str">
        <f aca="false">IF(AND(03_能力總表_Master!$A31&lt;&gt;"",IFERROR(INDEX(16_能力商機矩陣_CapOppMap!$D31:$CO31,MATCH(LEFT(17_商機作戰卡_OppView!$C$4,6),16_能力商機矩陣_CapOppMap!$D$4:$CO$4,0)),"")="✓"),MAX($CC$4:CC30)+1,"")</f>
        <v/>
      </c>
    </row>
    <row r="32" customFormat="false" ht="95.5" hidden="false" customHeight="false" outlineLevel="0" collapsed="false">
      <c r="A32" s="0" t="str">
        <f aca="false">IF(03_能力總表_Master!$A32="","",IF(LEFT(03_能力總表_Master!$H32,2)="群晶","● ",IF(ISNUMBER(SEARCH("已確認",03_能力總表_Master!$H32)),"◆ ",IF(ISNUMBER(SEARCH("缺口",03_能力總表_Master!$H32)),"○ ","◐ ")))&amp;RIGHT(03_能力總表_Master!$A32,3)&amp;" "&amp;03_能力總表_Master!$E32)</f>
        <v>○ 028 影像設備、PACS與報告流程</v>
      </c>
      <c r="B32" s="0" t="str">
        <f aca="false">IF(03_能力總表_Master!$A32="","",LEFT(03_能力總表_Master!$B32,3))</f>
        <v>D05</v>
      </c>
      <c r="C32" s="0" t="str">
        <f aca="false">IF(03_能力總表_Master!$A32="","",03_能力總表_Master!$C32)</f>
        <v>G4</v>
      </c>
      <c r="D32" s="363" t="str">
        <f aca="false">IF(AND($B32="D01",$C32="G0"),D31&amp;IF(D31="","",CHAR(10))&amp;$A32,D31)</f>
        <v>◐ 001 政府授權與計畫章程
◐ 002 利害關係人與權力地圖
◐ 005 聯盟治理與利益衝突</v>
      </c>
      <c r="E32" s="363" t="str">
        <f aca="false">IF(AND($B32="D01",$C32="G1"),E31&amp;IF(E31="","",CHAR(10))&amp;$A32,E31)</f>
        <v>◐ 003 交易模式選擇
◐ 004 法規與執照路徑</v>
      </c>
      <c r="F32" s="0" t="str">
        <f aca="false">IF(AND($B32="D01",$C32="G2"),F31&amp;IF(F31="","",CHAR(10))&amp;$A32,F31)</f>
        <v>◐ 006 績效契約與變更控制</v>
      </c>
      <c r="G32" s="0" t="str">
        <f aca="false">IF(AND($B32="D01",$C32="G3"),G31&amp;IF(G31="","",CHAR(10))&amp;$A32,G31)</f>
        <v/>
      </c>
      <c r="H32" s="0" t="str">
        <f aca="false">IF(AND($B32="D01",$C32="G4"),H31&amp;IF(H31="","",CHAR(10))&amp;$A32,H31)</f>
        <v/>
      </c>
      <c r="I32" s="0" t="str">
        <f aca="false">IF(AND($B32="D01",$C32="G5"),I31&amp;IF(I31="","",CHAR(10))&amp;$A32,I31)</f>
        <v/>
      </c>
      <c r="J32" s="0" t="str">
        <f aca="false">IF(AND($B32="D01",$C32="G6"),J31&amp;IF(J31="","",CHAR(10))&amp;$A32,J31)</f>
        <v/>
      </c>
      <c r="K32" s="0" t="str">
        <f aca="false">IF(AND($B32="D02",$C32="G0"),K31&amp;IF(K31="","",CHAR(10))&amp;$A32,K31)</f>
        <v/>
      </c>
      <c r="L32" s="363" t="str">
        <f aca="false">IF(AND($B32="D02",$C32="G1"),L31&amp;IF(L31="","",CHAR(10))&amp;$A32,L31)</f>
        <v>◐ 007 人口需求與病例量預測
◐ 008 醫院定位與服務組合
◐ 009 重點專科優先化
◐ 010 病人流程與容量設計
◐ 011 轉診與區域照護網絡
◐ 012 臨床治理與責任架構</v>
      </c>
      <c r="M32" s="0" t="str">
        <f aca="false">IF(AND($B32="D02",$C32="G2"),M31&amp;IF(M31="","",CHAR(10))&amp;$A32,M31)</f>
        <v/>
      </c>
      <c r="N32" s="0" t="str">
        <f aca="false">IF(AND($B32="D02",$C32="G3"),N31&amp;IF(N31="","",CHAR(10))&amp;$A32,N31)</f>
        <v/>
      </c>
      <c r="O32" s="0" t="str">
        <f aca="false">IF(AND($B32="D02",$C32="G4"),O31&amp;IF(O31="","",CHAR(10))&amp;$A32,O31)</f>
        <v/>
      </c>
      <c r="P32" s="0" t="str">
        <f aca="false">IF(AND($B32="D02",$C32="G5"),P31&amp;IF(P31="","",CHAR(10))&amp;$A32,P31)</f>
        <v/>
      </c>
      <c r="Q32" s="0" t="str">
        <f aca="false">IF(AND($B32="D02",$C32="G6"),Q31&amp;IF(Q31="","",CHAR(10))&amp;$A32,Q31)</f>
        <v/>
      </c>
      <c r="R32" s="0" t="str">
        <f aca="false">IF(AND($B32="D03",$C32="G0"),R31&amp;IF(R31="","",CHAR(10))&amp;$A32,R31)</f>
        <v/>
      </c>
      <c r="S32" s="0" t="str">
        <f aca="false">IF(AND($B32="D03",$C32="G1"),S31&amp;IF(S31="","",CHAR(10))&amp;$A32,S31)</f>
        <v>◐ 013 場址與醫院總體規劃</v>
      </c>
      <c r="T32" s="363" t="str">
        <f aca="false">IF(AND($B32="D03",$C32="G2"),T31&amp;IF(T31="","",CHAR(10))&amp;$A32,T31)</f>
        <v>◐ 014 醫療建築功能計畫
◐ 015 感染控制與潔污動線
◐ 019 綠色與氣候韌性醫院</v>
      </c>
      <c r="U32" s="363" t="str">
        <f aca="false">IF(AND($B32="D03",$C32="G3"),U31&amp;IF(U31="","",CHAR(10))&amp;$A32,U31)</f>
        <v>● 016 電力、備援與微電網
◐ 017 醫療氣體與關鍵公用系統
◐ 018 醫療廢棄物與水資源</v>
      </c>
      <c r="V32" s="0" t="str">
        <f aca="false">IF(AND($B32="D03",$C32="G4"),V31&amp;IF(V31="","",CHAR(10))&amp;$A32,V31)</f>
        <v/>
      </c>
      <c r="W32" s="0" t="str">
        <f aca="false">IF(AND($B32="D03",$C32="G5"),W31&amp;IF(W31="","",CHAR(10))&amp;$A32,W31)</f>
        <v/>
      </c>
      <c r="X32" s="0" t="str">
        <f aca="false">IF(AND($B32="D03",$C32="G6"),X31&amp;IF(X31="","",CHAR(10))&amp;$A32,X31)</f>
        <v/>
      </c>
      <c r="Y32" s="0" t="str">
        <f aca="false">IF(AND($B32="D04",$C32="G0"),Y31&amp;IF(Y31="","",CHAR(10))&amp;$A32,Y31)</f>
        <v/>
      </c>
      <c r="Z32" s="0" t="str">
        <f aca="false">IF(AND($B32="D04",$C32="G1"),Z31&amp;IF(Z31="","",CHAR(10))&amp;$A32,Z31)</f>
        <v/>
      </c>
      <c r="AA32" s="0" t="str">
        <f aca="false">IF(AND($B32="D04",$C32="G2"),AA31&amp;IF(AA31="","",CHAR(10))&amp;$A32,AA31)</f>
        <v/>
      </c>
      <c r="AB32" s="0" t="str">
        <f aca="false">IF(AND($B32="D04",$C32="G3"),AB31&amp;IF(AB31="","",CHAR(10))&amp;$A32,AB31)</f>
        <v>● 020 IDC與邊緣運算底座</v>
      </c>
      <c r="AC32" s="363" t="str">
        <f aca="false">IF(AND($B32="D04",$C32="G4"),AC31&amp;IF(AC31="","",CHAR(10))&amp;$A32,AC31)</f>
        <v>● 021 有線無線網路與分區
◐ 022 資安營運與零信任
● 023 BMS與能源管理
● 024 RTLS與資產／人員定位
● 025 智慧病房、護理呼叫與感測
● 026 災難復原與營運持續</v>
      </c>
      <c r="AD32" s="0" t="str">
        <f aca="false">IF(AND($B32="D04",$C32="G5"),AD31&amp;IF(AD31="","",CHAR(10))&amp;$A32,AD31)</f>
        <v/>
      </c>
      <c r="AE32" s="0" t="str">
        <f aca="false">IF(AND($B32="D04",$C32="G6"),AE31&amp;IF(AE31="","",CHAR(10))&amp;$A32,AE31)</f>
        <v/>
      </c>
      <c r="AF32" s="0" t="str">
        <f aca="false">IF(AND($B32="D05",$C32="G0"),AF31&amp;IF(AF31="","",CHAR(10))&amp;$A32,AF31)</f>
        <v/>
      </c>
      <c r="AG32" s="0" t="str">
        <f aca="false">IF(AND($B32="D05",$C32="G1"),AG31&amp;IF(AG31="","",CHAR(10))&amp;$A32,AG31)</f>
        <v/>
      </c>
      <c r="AH32" s="0" t="str">
        <f aca="false">IF(AND($B32="D05",$C32="G2"),AH31&amp;IF(AH31="","",CHAR(10))&amp;$A32,AH31)</f>
        <v>◐ 027 醫材需求與設備計畫</v>
      </c>
      <c r="AI32" s="0" t="str">
        <f aca="false">IF(AND($B32="D05",$C32="G3"),AI31&amp;IF(AI31="","",CHAR(10))&amp;$A32,AI31)</f>
        <v/>
      </c>
      <c r="AJ32" s="0" t="str">
        <f aca="false">IF(AND($B32="D05",$C32="G4"),AJ31&amp;IF(AJ31="","",CHAR(10))&amp;$A32,AJ31)</f>
        <v>○ 028 影像設備、PACS與報告流程</v>
      </c>
      <c r="AK32" s="0" t="str">
        <f aca="false">IF(AND($B32="D05",$C32="G5"),AK31&amp;IF(AK31="","",CHAR(10))&amp;$A32,AK31)</f>
        <v/>
      </c>
      <c r="AL32" s="0" t="str">
        <f aca="false">IF(AND($B32="D05",$C32="G6"),AL31&amp;IF(AL31="","",CHAR(10))&amp;$A32,AL31)</f>
        <v/>
      </c>
      <c r="AM32" s="0" t="str">
        <f aca="false">IF(AND($B32="D06",$C32="G0"),AM31&amp;IF(AM31="","",CHAR(10))&amp;$A32,AM31)</f>
        <v/>
      </c>
      <c r="AN32" s="0" t="str">
        <f aca="false">IF(AND($B32="D06",$C32="G1"),AN31&amp;IF(AN31="","",CHAR(10))&amp;$A32,AN31)</f>
        <v/>
      </c>
      <c r="AO32" s="0" t="str">
        <f aca="false">IF(AND($B32="D06",$C32="G2"),AO31&amp;IF(AO31="","",CHAR(10))&amp;$A32,AO31)</f>
        <v/>
      </c>
      <c r="AP32" s="0" t="str">
        <f aca="false">IF(AND($B32="D06",$C32="G3"),AP31&amp;IF(AP31="","",CHAR(10))&amp;$A32,AP31)</f>
        <v/>
      </c>
      <c r="AQ32" s="0" t="str">
        <f aca="false">IF(AND($B32="D06",$C32="G4"),AQ31&amp;IF(AQ31="","",CHAR(10))&amp;$A32,AQ31)</f>
        <v/>
      </c>
      <c r="AR32" s="0" t="str">
        <f aca="false">IF(AND($B32="D06",$C32="G5"),AR31&amp;IF(AR31="","",CHAR(10))&amp;$A32,AR31)</f>
        <v/>
      </c>
      <c r="AS32" s="0" t="str">
        <f aca="false">IF(AND($B32="D06",$C32="G6"),AS31&amp;IF(AS31="","",CHAR(10))&amp;$A32,AS31)</f>
        <v/>
      </c>
      <c r="AT32" s="0" t="str">
        <f aca="false">IF(AND($B32="D07",$C32="G0"),AT31&amp;IF(AT31="","",CHAR(10))&amp;$A32,AT31)</f>
        <v/>
      </c>
      <c r="AU32" s="0" t="str">
        <f aca="false">IF(AND($B32="D07",$C32="G1"),AU31&amp;IF(AU31="","",CHAR(10))&amp;$A32,AU31)</f>
        <v/>
      </c>
      <c r="AV32" s="0" t="str">
        <f aca="false">IF(AND($B32="D07",$C32="G2"),AV31&amp;IF(AV31="","",CHAR(10))&amp;$A32,AV31)</f>
        <v/>
      </c>
      <c r="AW32" s="0" t="str">
        <f aca="false">IF(AND($B32="D07",$C32="G3"),AW31&amp;IF(AW31="","",CHAR(10))&amp;$A32,AW31)</f>
        <v/>
      </c>
      <c r="AX32" s="0" t="str">
        <f aca="false">IF(AND($B32="D07",$C32="G4"),AX31&amp;IF(AX31="","",CHAR(10))&amp;$A32,AX31)</f>
        <v/>
      </c>
      <c r="AY32" s="0" t="str">
        <f aca="false">IF(AND($B32="D07",$C32="G5"),AY31&amp;IF(AY31="","",CHAR(10))&amp;$A32,AY31)</f>
        <v/>
      </c>
      <c r="AZ32" s="0" t="str">
        <f aca="false">IF(AND($B32="D07",$C32="G6"),AZ31&amp;IF(AZ31="","",CHAR(10))&amp;$A32,AZ31)</f>
        <v/>
      </c>
      <c r="BA32" s="0" t="str">
        <f aca="false">IF(AND($B32="D08",$C32="G0"),BA31&amp;IF(BA31="","",CHAR(10))&amp;$A32,BA31)</f>
        <v/>
      </c>
      <c r="BB32" s="0" t="str">
        <f aca="false">IF(AND($B32="D08",$C32="G1"),BB31&amp;IF(BB31="","",CHAR(10))&amp;$A32,BB31)</f>
        <v/>
      </c>
      <c r="BC32" s="0" t="str">
        <f aca="false">IF(AND($B32="D08",$C32="G2"),BC31&amp;IF(BC31="","",CHAR(10))&amp;$A32,BC31)</f>
        <v/>
      </c>
      <c r="BD32" s="0" t="str">
        <f aca="false">IF(AND($B32="D08",$C32="G3"),BD31&amp;IF(BD31="","",CHAR(10))&amp;$A32,BD31)</f>
        <v/>
      </c>
      <c r="BE32" s="0" t="str">
        <f aca="false">IF(AND($B32="D08",$C32="G4"),BE31&amp;IF(BE31="","",CHAR(10))&amp;$A32,BE31)</f>
        <v/>
      </c>
      <c r="BF32" s="0" t="str">
        <f aca="false">IF(AND($B32="D08",$C32="G5"),BF31&amp;IF(BF31="","",CHAR(10))&amp;$A32,BF31)</f>
        <v/>
      </c>
      <c r="BG32" s="0" t="str">
        <f aca="false">IF(AND($B32="D08",$C32="G6"),BG31&amp;IF(BG31="","",CHAR(10))&amp;$A32,BG31)</f>
        <v/>
      </c>
      <c r="BH32" s="0" t="str">
        <f aca="false">IF(AND($B32="D09",$C32="G0"),BH31&amp;IF(BH31="","",CHAR(10))&amp;$A32,BH31)</f>
        <v/>
      </c>
      <c r="BI32" s="0" t="str">
        <f aca="false">IF(AND($B32="D09",$C32="G1"),BI31&amp;IF(BI31="","",CHAR(10))&amp;$A32,BI31)</f>
        <v/>
      </c>
      <c r="BJ32" s="0" t="str">
        <f aca="false">IF(AND($B32="D09",$C32="G2"),BJ31&amp;IF(BJ31="","",CHAR(10))&amp;$A32,BJ31)</f>
        <v/>
      </c>
      <c r="BK32" s="0" t="str">
        <f aca="false">IF(AND($B32="D09",$C32="G3"),BK31&amp;IF(BK31="","",CHAR(10))&amp;$A32,BK31)</f>
        <v/>
      </c>
      <c r="BL32" s="0" t="str">
        <f aca="false">IF(AND($B32="D09",$C32="G4"),BL31&amp;IF(BL31="","",CHAR(10))&amp;$A32,BL31)</f>
        <v/>
      </c>
      <c r="BM32" s="0" t="str">
        <f aca="false">IF(AND($B32="D09",$C32="G5"),BM31&amp;IF(BM31="","",CHAR(10))&amp;$A32,BM31)</f>
        <v/>
      </c>
      <c r="BN32" s="0" t="str">
        <f aca="false">IF(AND($B32="D09",$C32="G6"),BN31&amp;IF(BN31="","",CHAR(10))&amp;$A32,BN31)</f>
        <v/>
      </c>
      <c r="BO32" s="0" t="str">
        <f aca="false">IF(AND($B32="D10",$C32="G0"),BO31&amp;IF(BO31="","",CHAR(10))&amp;$A32,BO31)</f>
        <v/>
      </c>
      <c r="BP32" s="0" t="str">
        <f aca="false">IF(AND($B32="D10",$C32="G1"),BP31&amp;IF(BP31="","",CHAR(10))&amp;$A32,BP31)</f>
        <v/>
      </c>
      <c r="BQ32" s="0" t="str">
        <f aca="false">IF(AND($B32="D10",$C32="G2"),BQ31&amp;IF(BQ31="","",CHAR(10))&amp;$A32,BQ31)</f>
        <v/>
      </c>
      <c r="BR32" s="0" t="str">
        <f aca="false">IF(AND($B32="D10",$C32="G3"),BR31&amp;IF(BR31="","",CHAR(10))&amp;$A32,BR31)</f>
        <v/>
      </c>
      <c r="BS32" s="0" t="str">
        <f aca="false">IF(AND($B32="D10",$C32="G4"),BS31&amp;IF(BS31="","",CHAR(10))&amp;$A32,BS31)</f>
        <v/>
      </c>
      <c r="BT32" s="0" t="str">
        <f aca="false">IF(AND($B32="D10",$C32="G5"),BT31&amp;IF(BT31="","",CHAR(10))&amp;$A32,BT31)</f>
        <v/>
      </c>
      <c r="BU32" s="0" t="str">
        <f aca="false">IF(AND($B32="D10",$C32="G6"),BU31&amp;IF(BU31="","",CHAR(10))&amp;$A32,BU31)</f>
        <v/>
      </c>
      <c r="BX32" s="0" t="n">
        <f aca="false">IF(AND(03_能力總表_Master!$A32&lt;&gt;"",LEFT(03_能力總表_Master!$H32,2)="缺口"),MAX($BX$4:BX31)+1,"")</f>
        <v>1</v>
      </c>
      <c r="BY32" s="0" t="str">
        <f aca="false">IF(AND(03_能力總表_Master!$A32&lt;&gt;"",03_能力總表_Master!$J32=12_夥伴視角_PartnerView!$C$4),MAX($BY$4:BY31)+1,"")</f>
        <v/>
      </c>
      <c r="BZ32" s="0" t="str">
        <f aca="false">IF(AND(05_法規門檻_Gates!$A32&lt;&gt;"",05_法規門檻_Gates!$E32="強制",05_法規門檻_Gates!$F32="待確認"),MAX($BZ$4:BZ31)+1,"")</f>
        <v/>
      </c>
      <c r="CA32" s="0" t="str">
        <f aca="false">IF(AND(08_風險清冊_Risk!$A32&lt;&gt;"",OR(08_風險清冊_Risk!$G32="極高",08_風險清冊_Risk!$G32="高")),MAX($CA$4:CA31)+1,"")</f>
        <v/>
      </c>
      <c r="CC32" s="0" t="str">
        <f aca="false">IF(AND(03_能力總表_Master!$A32&lt;&gt;"",IFERROR(INDEX(16_能力商機矩陣_CapOppMap!$D32:$CO32,MATCH(LEFT(17_商機作戰卡_OppView!$C$4,6),16_能力商機矩陣_CapOppMap!$D$4:$CO$4,0)),"")="✓"),MAX($CC$4:CC31)+1,"")</f>
        <v/>
      </c>
    </row>
    <row r="33" customFormat="false" ht="95.5" hidden="false" customHeight="false" outlineLevel="0" collapsed="false">
      <c r="A33" s="0" t="str">
        <f aca="false">IF(03_能力總表_Master!$A33="","",IF(LEFT(03_能力總表_Master!$H33,2)="群晶","● ",IF(ISNUMBER(SEARCH("已確認",03_能力總表_Master!$H33)),"◆ ",IF(ISNUMBER(SEARCH("缺口",03_能力總表_Master!$H33)),"○ ","◐ ")))&amp;RIGHT(03_能力總表_Master!$A33,3)&amp;" "&amp;03_能力總表_Master!$E33)</f>
        <v>○ 029 實驗室自動化與LIS</v>
      </c>
      <c r="B33" s="0" t="str">
        <f aca="false">IF(03_能力總表_Master!$A33="","",LEFT(03_能力總表_Master!$B33,3))</f>
        <v>D05</v>
      </c>
      <c r="C33" s="0" t="str">
        <f aca="false">IF(03_能力總表_Master!$A33="","",03_能力總表_Master!$C33)</f>
        <v>G4</v>
      </c>
      <c r="D33" s="363" t="str">
        <f aca="false">IF(AND($B33="D01",$C33="G0"),D32&amp;IF(D32="","",CHAR(10))&amp;$A33,D32)</f>
        <v>◐ 001 政府授權與計畫章程
◐ 002 利害關係人與權力地圖
◐ 005 聯盟治理與利益衝突</v>
      </c>
      <c r="E33" s="363" t="str">
        <f aca="false">IF(AND($B33="D01",$C33="G1"),E32&amp;IF(E32="","",CHAR(10))&amp;$A33,E32)</f>
        <v>◐ 003 交易模式選擇
◐ 004 法規與執照路徑</v>
      </c>
      <c r="F33" s="0" t="str">
        <f aca="false">IF(AND($B33="D01",$C33="G2"),F32&amp;IF(F32="","",CHAR(10))&amp;$A33,F32)</f>
        <v>◐ 006 績效契約與變更控制</v>
      </c>
      <c r="G33" s="0" t="str">
        <f aca="false">IF(AND($B33="D01",$C33="G3"),G32&amp;IF(G32="","",CHAR(10))&amp;$A33,G32)</f>
        <v/>
      </c>
      <c r="H33" s="0" t="str">
        <f aca="false">IF(AND($B33="D01",$C33="G4"),H32&amp;IF(H32="","",CHAR(10))&amp;$A33,H32)</f>
        <v/>
      </c>
      <c r="I33" s="0" t="str">
        <f aca="false">IF(AND($B33="D01",$C33="G5"),I32&amp;IF(I32="","",CHAR(10))&amp;$A33,I32)</f>
        <v/>
      </c>
      <c r="J33" s="0" t="str">
        <f aca="false">IF(AND($B33="D01",$C33="G6"),J32&amp;IF(J32="","",CHAR(10))&amp;$A33,J32)</f>
        <v/>
      </c>
      <c r="K33" s="0" t="str">
        <f aca="false">IF(AND($B33="D02",$C33="G0"),K32&amp;IF(K32="","",CHAR(10))&amp;$A33,K32)</f>
        <v/>
      </c>
      <c r="L33" s="363" t="str">
        <f aca="false">IF(AND($B33="D02",$C33="G1"),L32&amp;IF(L32="","",CHAR(10))&amp;$A33,L32)</f>
        <v>◐ 007 人口需求與病例量預測
◐ 008 醫院定位與服務組合
◐ 009 重點專科優先化
◐ 010 病人流程與容量設計
◐ 011 轉診與區域照護網絡
◐ 012 臨床治理與責任架構</v>
      </c>
      <c r="M33" s="0" t="str">
        <f aca="false">IF(AND($B33="D02",$C33="G2"),M32&amp;IF(M32="","",CHAR(10))&amp;$A33,M32)</f>
        <v/>
      </c>
      <c r="N33" s="0" t="str">
        <f aca="false">IF(AND($B33="D02",$C33="G3"),N32&amp;IF(N32="","",CHAR(10))&amp;$A33,N32)</f>
        <v/>
      </c>
      <c r="O33" s="0" t="str">
        <f aca="false">IF(AND($B33="D02",$C33="G4"),O32&amp;IF(O32="","",CHAR(10))&amp;$A33,O32)</f>
        <v/>
      </c>
      <c r="P33" s="0" t="str">
        <f aca="false">IF(AND($B33="D02",$C33="G5"),P32&amp;IF(P32="","",CHAR(10))&amp;$A33,P32)</f>
        <v/>
      </c>
      <c r="Q33" s="0" t="str">
        <f aca="false">IF(AND($B33="D02",$C33="G6"),Q32&amp;IF(Q32="","",CHAR(10))&amp;$A33,Q32)</f>
        <v/>
      </c>
      <c r="R33" s="0" t="str">
        <f aca="false">IF(AND($B33="D03",$C33="G0"),R32&amp;IF(R32="","",CHAR(10))&amp;$A33,R32)</f>
        <v/>
      </c>
      <c r="S33" s="0" t="str">
        <f aca="false">IF(AND($B33="D03",$C33="G1"),S32&amp;IF(S32="","",CHAR(10))&amp;$A33,S32)</f>
        <v>◐ 013 場址與醫院總體規劃</v>
      </c>
      <c r="T33" s="363" t="str">
        <f aca="false">IF(AND($B33="D03",$C33="G2"),T32&amp;IF(T32="","",CHAR(10))&amp;$A33,T32)</f>
        <v>◐ 014 醫療建築功能計畫
◐ 015 感染控制與潔污動線
◐ 019 綠色與氣候韌性醫院</v>
      </c>
      <c r="U33" s="363" t="str">
        <f aca="false">IF(AND($B33="D03",$C33="G3"),U32&amp;IF(U32="","",CHAR(10))&amp;$A33,U32)</f>
        <v>● 016 電力、備援與微電網
◐ 017 醫療氣體與關鍵公用系統
◐ 018 醫療廢棄物與水資源</v>
      </c>
      <c r="V33" s="0" t="str">
        <f aca="false">IF(AND($B33="D03",$C33="G4"),V32&amp;IF(V32="","",CHAR(10))&amp;$A33,V32)</f>
        <v/>
      </c>
      <c r="W33" s="0" t="str">
        <f aca="false">IF(AND($B33="D03",$C33="G5"),W32&amp;IF(W32="","",CHAR(10))&amp;$A33,W32)</f>
        <v/>
      </c>
      <c r="X33" s="0" t="str">
        <f aca="false">IF(AND($B33="D03",$C33="G6"),X32&amp;IF(X32="","",CHAR(10))&amp;$A33,X32)</f>
        <v/>
      </c>
      <c r="Y33" s="0" t="str">
        <f aca="false">IF(AND($B33="D04",$C33="G0"),Y32&amp;IF(Y32="","",CHAR(10))&amp;$A33,Y32)</f>
        <v/>
      </c>
      <c r="Z33" s="0" t="str">
        <f aca="false">IF(AND($B33="D04",$C33="G1"),Z32&amp;IF(Z32="","",CHAR(10))&amp;$A33,Z32)</f>
        <v/>
      </c>
      <c r="AA33" s="0" t="str">
        <f aca="false">IF(AND($B33="D04",$C33="G2"),AA32&amp;IF(AA32="","",CHAR(10))&amp;$A33,AA32)</f>
        <v/>
      </c>
      <c r="AB33" s="0" t="str">
        <f aca="false">IF(AND($B33="D04",$C33="G3"),AB32&amp;IF(AB32="","",CHAR(10))&amp;$A33,AB32)</f>
        <v>● 020 IDC與邊緣運算底座</v>
      </c>
      <c r="AC33" s="363" t="str">
        <f aca="false">IF(AND($B33="D04",$C33="G4"),AC32&amp;IF(AC32="","",CHAR(10))&amp;$A33,AC32)</f>
        <v>● 021 有線無線網路與分區
◐ 022 資安營運與零信任
● 023 BMS與能源管理
● 024 RTLS與資產／人員定位
● 025 智慧病房、護理呼叫與感測
● 026 災難復原與營運持續</v>
      </c>
      <c r="AD33" s="0" t="str">
        <f aca="false">IF(AND($B33="D04",$C33="G5"),AD32&amp;IF(AD32="","",CHAR(10))&amp;$A33,AD32)</f>
        <v/>
      </c>
      <c r="AE33" s="0" t="str">
        <f aca="false">IF(AND($B33="D04",$C33="G6"),AE32&amp;IF(AE32="","",CHAR(10))&amp;$A33,AE32)</f>
        <v/>
      </c>
      <c r="AF33" s="0" t="str">
        <f aca="false">IF(AND($B33="D05",$C33="G0"),AF32&amp;IF(AF32="","",CHAR(10))&amp;$A33,AF32)</f>
        <v/>
      </c>
      <c r="AG33" s="0" t="str">
        <f aca="false">IF(AND($B33="D05",$C33="G1"),AG32&amp;IF(AG32="","",CHAR(10))&amp;$A33,AG32)</f>
        <v/>
      </c>
      <c r="AH33" s="0" t="str">
        <f aca="false">IF(AND($B33="D05",$C33="G2"),AH32&amp;IF(AH32="","",CHAR(10))&amp;$A33,AH32)</f>
        <v>◐ 027 醫材需求與設備計畫</v>
      </c>
      <c r="AI33" s="0" t="str">
        <f aca="false">IF(AND($B33="D05",$C33="G3"),AI32&amp;IF(AI32="","",CHAR(10))&amp;$A33,AI32)</f>
        <v/>
      </c>
      <c r="AJ33" s="363" t="str">
        <f aca="false">IF(AND($B33="D05",$C33="G4"),AJ32&amp;IF(AJ32="","",CHAR(10))&amp;$A33,AJ32)</f>
        <v>○ 028 影像設備、PACS與報告流程
○ 029 實驗室自動化與LIS</v>
      </c>
      <c r="AK33" s="0" t="str">
        <f aca="false">IF(AND($B33="D05",$C33="G5"),AK32&amp;IF(AK32="","",CHAR(10))&amp;$A33,AK32)</f>
        <v/>
      </c>
      <c r="AL33" s="0" t="str">
        <f aca="false">IF(AND($B33="D05",$C33="G6"),AL32&amp;IF(AL32="","",CHAR(10))&amp;$A33,AL32)</f>
        <v/>
      </c>
      <c r="AM33" s="0" t="str">
        <f aca="false">IF(AND($B33="D06",$C33="G0"),AM32&amp;IF(AM32="","",CHAR(10))&amp;$A33,AM32)</f>
        <v/>
      </c>
      <c r="AN33" s="0" t="str">
        <f aca="false">IF(AND($B33="D06",$C33="G1"),AN32&amp;IF(AN32="","",CHAR(10))&amp;$A33,AN32)</f>
        <v/>
      </c>
      <c r="AO33" s="0" t="str">
        <f aca="false">IF(AND($B33="D06",$C33="G2"),AO32&amp;IF(AO32="","",CHAR(10))&amp;$A33,AO32)</f>
        <v/>
      </c>
      <c r="AP33" s="0" t="str">
        <f aca="false">IF(AND($B33="D06",$C33="G3"),AP32&amp;IF(AP32="","",CHAR(10))&amp;$A33,AP32)</f>
        <v/>
      </c>
      <c r="AQ33" s="0" t="str">
        <f aca="false">IF(AND($B33="D06",$C33="G4"),AQ32&amp;IF(AQ32="","",CHAR(10))&amp;$A33,AQ32)</f>
        <v/>
      </c>
      <c r="AR33" s="0" t="str">
        <f aca="false">IF(AND($B33="D06",$C33="G5"),AR32&amp;IF(AR32="","",CHAR(10))&amp;$A33,AR32)</f>
        <v/>
      </c>
      <c r="AS33" s="0" t="str">
        <f aca="false">IF(AND($B33="D06",$C33="G6"),AS32&amp;IF(AS32="","",CHAR(10))&amp;$A33,AS32)</f>
        <v/>
      </c>
      <c r="AT33" s="0" t="str">
        <f aca="false">IF(AND($B33="D07",$C33="G0"),AT32&amp;IF(AT32="","",CHAR(10))&amp;$A33,AT32)</f>
        <v/>
      </c>
      <c r="AU33" s="0" t="str">
        <f aca="false">IF(AND($B33="D07",$C33="G1"),AU32&amp;IF(AU32="","",CHAR(10))&amp;$A33,AU32)</f>
        <v/>
      </c>
      <c r="AV33" s="0" t="str">
        <f aca="false">IF(AND($B33="D07",$C33="G2"),AV32&amp;IF(AV32="","",CHAR(10))&amp;$A33,AV32)</f>
        <v/>
      </c>
      <c r="AW33" s="0" t="str">
        <f aca="false">IF(AND($B33="D07",$C33="G3"),AW32&amp;IF(AW32="","",CHAR(10))&amp;$A33,AW32)</f>
        <v/>
      </c>
      <c r="AX33" s="0" t="str">
        <f aca="false">IF(AND($B33="D07",$C33="G4"),AX32&amp;IF(AX32="","",CHAR(10))&amp;$A33,AX32)</f>
        <v/>
      </c>
      <c r="AY33" s="0" t="str">
        <f aca="false">IF(AND($B33="D07",$C33="G5"),AY32&amp;IF(AY32="","",CHAR(10))&amp;$A33,AY32)</f>
        <v/>
      </c>
      <c r="AZ33" s="0" t="str">
        <f aca="false">IF(AND($B33="D07",$C33="G6"),AZ32&amp;IF(AZ32="","",CHAR(10))&amp;$A33,AZ32)</f>
        <v/>
      </c>
      <c r="BA33" s="0" t="str">
        <f aca="false">IF(AND($B33="D08",$C33="G0"),BA32&amp;IF(BA32="","",CHAR(10))&amp;$A33,BA32)</f>
        <v/>
      </c>
      <c r="BB33" s="0" t="str">
        <f aca="false">IF(AND($B33="D08",$C33="G1"),BB32&amp;IF(BB32="","",CHAR(10))&amp;$A33,BB32)</f>
        <v/>
      </c>
      <c r="BC33" s="0" t="str">
        <f aca="false">IF(AND($B33="D08",$C33="G2"),BC32&amp;IF(BC32="","",CHAR(10))&amp;$A33,BC32)</f>
        <v/>
      </c>
      <c r="BD33" s="0" t="str">
        <f aca="false">IF(AND($B33="D08",$C33="G3"),BD32&amp;IF(BD32="","",CHAR(10))&amp;$A33,BD32)</f>
        <v/>
      </c>
      <c r="BE33" s="0" t="str">
        <f aca="false">IF(AND($B33="D08",$C33="G4"),BE32&amp;IF(BE32="","",CHAR(10))&amp;$A33,BE32)</f>
        <v/>
      </c>
      <c r="BF33" s="0" t="str">
        <f aca="false">IF(AND($B33="D08",$C33="G5"),BF32&amp;IF(BF32="","",CHAR(10))&amp;$A33,BF32)</f>
        <v/>
      </c>
      <c r="BG33" s="0" t="str">
        <f aca="false">IF(AND($B33="D08",$C33="G6"),BG32&amp;IF(BG32="","",CHAR(10))&amp;$A33,BG32)</f>
        <v/>
      </c>
      <c r="BH33" s="0" t="str">
        <f aca="false">IF(AND($B33="D09",$C33="G0"),BH32&amp;IF(BH32="","",CHAR(10))&amp;$A33,BH32)</f>
        <v/>
      </c>
      <c r="BI33" s="0" t="str">
        <f aca="false">IF(AND($B33="D09",$C33="G1"),BI32&amp;IF(BI32="","",CHAR(10))&amp;$A33,BI32)</f>
        <v/>
      </c>
      <c r="BJ33" s="0" t="str">
        <f aca="false">IF(AND($B33="D09",$C33="G2"),BJ32&amp;IF(BJ32="","",CHAR(10))&amp;$A33,BJ32)</f>
        <v/>
      </c>
      <c r="BK33" s="0" t="str">
        <f aca="false">IF(AND($B33="D09",$C33="G3"),BK32&amp;IF(BK32="","",CHAR(10))&amp;$A33,BK32)</f>
        <v/>
      </c>
      <c r="BL33" s="0" t="str">
        <f aca="false">IF(AND($B33="D09",$C33="G4"),BL32&amp;IF(BL32="","",CHAR(10))&amp;$A33,BL32)</f>
        <v/>
      </c>
      <c r="BM33" s="0" t="str">
        <f aca="false">IF(AND($B33="D09",$C33="G5"),BM32&amp;IF(BM32="","",CHAR(10))&amp;$A33,BM32)</f>
        <v/>
      </c>
      <c r="BN33" s="0" t="str">
        <f aca="false">IF(AND($B33="D09",$C33="G6"),BN32&amp;IF(BN32="","",CHAR(10))&amp;$A33,BN32)</f>
        <v/>
      </c>
      <c r="BO33" s="0" t="str">
        <f aca="false">IF(AND($B33="D10",$C33="G0"),BO32&amp;IF(BO32="","",CHAR(10))&amp;$A33,BO32)</f>
        <v/>
      </c>
      <c r="BP33" s="0" t="str">
        <f aca="false">IF(AND($B33="D10",$C33="G1"),BP32&amp;IF(BP32="","",CHAR(10))&amp;$A33,BP32)</f>
        <v/>
      </c>
      <c r="BQ33" s="0" t="str">
        <f aca="false">IF(AND($B33="D10",$C33="G2"),BQ32&amp;IF(BQ32="","",CHAR(10))&amp;$A33,BQ32)</f>
        <v/>
      </c>
      <c r="BR33" s="0" t="str">
        <f aca="false">IF(AND($B33="D10",$C33="G3"),BR32&amp;IF(BR32="","",CHAR(10))&amp;$A33,BR32)</f>
        <v/>
      </c>
      <c r="BS33" s="0" t="str">
        <f aca="false">IF(AND($B33="D10",$C33="G4"),BS32&amp;IF(BS32="","",CHAR(10))&amp;$A33,BS32)</f>
        <v/>
      </c>
      <c r="BT33" s="0" t="str">
        <f aca="false">IF(AND($B33="D10",$C33="G5"),BT32&amp;IF(BT32="","",CHAR(10))&amp;$A33,BT32)</f>
        <v/>
      </c>
      <c r="BU33" s="0" t="str">
        <f aca="false">IF(AND($B33="D10",$C33="G6"),BU32&amp;IF(BU32="","",CHAR(10))&amp;$A33,BU32)</f>
        <v/>
      </c>
      <c r="BX33" s="0" t="n">
        <f aca="false">IF(AND(03_能力總表_Master!$A33&lt;&gt;"",LEFT(03_能力總表_Master!$H33,2)="缺口"),MAX($BX$4:BX32)+1,"")</f>
        <v>2</v>
      </c>
      <c r="BY33" s="0" t="str">
        <f aca="false">IF(AND(03_能力總表_Master!$A33&lt;&gt;"",03_能力總表_Master!$J33=12_夥伴視角_PartnerView!$C$4),MAX($BY$4:BY32)+1,"")</f>
        <v/>
      </c>
      <c r="BZ33" s="0" t="str">
        <f aca="false">IF(AND(05_法規門檻_Gates!$A33&lt;&gt;"",05_法規門檻_Gates!$E33="強制",05_法規門檻_Gates!$F33="待確認"),MAX($BZ$4:BZ32)+1,"")</f>
        <v/>
      </c>
      <c r="CA33" s="0" t="str">
        <f aca="false">IF(AND(08_風險清冊_Risk!$A33&lt;&gt;"",OR(08_風險清冊_Risk!$G33="極高",08_風險清冊_Risk!$G33="高")),MAX($CA$4:CA32)+1,"")</f>
        <v/>
      </c>
      <c r="CC33" s="0" t="str">
        <f aca="false">IF(AND(03_能力總表_Master!$A33&lt;&gt;"",IFERROR(INDEX(16_能力商機矩陣_CapOppMap!$D33:$CO33,MATCH(LEFT(17_商機作戰卡_OppView!$C$4,6),16_能力商機矩陣_CapOppMap!$D$4:$CO$4,0)),"")="✓"),MAX($CC$4:CC32)+1,"")</f>
        <v/>
      </c>
    </row>
    <row r="34" customFormat="false" ht="95.5" hidden="false" customHeight="false" outlineLevel="0" collapsed="false">
      <c r="A34" s="0" t="str">
        <f aca="false">IF(03_能力總表_Master!$A34="","",IF(LEFT(03_能力總表_Master!$H34,2)="群晶","● ",IF(ISNUMBER(SEARCH("已確認",03_能力總表_Master!$H34)),"◆ ",IF(ISNUMBER(SEARCH("缺口",03_能力總表_Master!$H34)),"○ ","◐ ")))&amp;RIGHT(03_能力總表_Master!$A34,3)&amp;" "&amp;03_能力總表_Master!$E34)</f>
        <v>○ 030 手術室與重症整合</v>
      </c>
      <c r="B34" s="0" t="str">
        <f aca="false">IF(03_能力總表_Master!$A34="","",LEFT(03_能力總表_Master!$B34,3))</f>
        <v>D05</v>
      </c>
      <c r="C34" s="0" t="str">
        <f aca="false">IF(03_能力總表_Master!$A34="","",03_能力總表_Master!$C34)</f>
        <v>G4</v>
      </c>
      <c r="D34" s="363" t="str">
        <f aca="false">IF(AND($B34="D01",$C34="G0"),D33&amp;IF(D33="","",CHAR(10))&amp;$A34,D33)</f>
        <v>◐ 001 政府授權與計畫章程
◐ 002 利害關係人與權力地圖
◐ 005 聯盟治理與利益衝突</v>
      </c>
      <c r="E34" s="363" t="str">
        <f aca="false">IF(AND($B34="D01",$C34="G1"),E33&amp;IF(E33="","",CHAR(10))&amp;$A34,E33)</f>
        <v>◐ 003 交易模式選擇
◐ 004 法規與執照路徑</v>
      </c>
      <c r="F34" s="0" t="str">
        <f aca="false">IF(AND($B34="D01",$C34="G2"),F33&amp;IF(F33="","",CHAR(10))&amp;$A34,F33)</f>
        <v>◐ 006 績效契約與變更控制</v>
      </c>
      <c r="G34" s="0" t="str">
        <f aca="false">IF(AND($B34="D01",$C34="G3"),G33&amp;IF(G33="","",CHAR(10))&amp;$A34,G33)</f>
        <v/>
      </c>
      <c r="H34" s="0" t="str">
        <f aca="false">IF(AND($B34="D01",$C34="G4"),H33&amp;IF(H33="","",CHAR(10))&amp;$A34,H33)</f>
        <v/>
      </c>
      <c r="I34" s="0" t="str">
        <f aca="false">IF(AND($B34="D01",$C34="G5"),I33&amp;IF(I33="","",CHAR(10))&amp;$A34,I33)</f>
        <v/>
      </c>
      <c r="J34" s="0" t="str">
        <f aca="false">IF(AND($B34="D01",$C34="G6"),J33&amp;IF(J33="","",CHAR(10))&amp;$A34,J33)</f>
        <v/>
      </c>
      <c r="K34" s="0" t="str">
        <f aca="false">IF(AND($B34="D02",$C34="G0"),K33&amp;IF(K33="","",CHAR(10))&amp;$A34,K33)</f>
        <v/>
      </c>
      <c r="L34" s="363" t="str">
        <f aca="false">IF(AND($B34="D02",$C34="G1"),L33&amp;IF(L33="","",CHAR(10))&amp;$A34,L33)</f>
        <v>◐ 007 人口需求與病例量預測
◐ 008 醫院定位與服務組合
◐ 009 重點專科優先化
◐ 010 病人流程與容量設計
◐ 011 轉診與區域照護網絡
◐ 012 臨床治理與責任架構</v>
      </c>
      <c r="M34" s="0" t="str">
        <f aca="false">IF(AND($B34="D02",$C34="G2"),M33&amp;IF(M33="","",CHAR(10))&amp;$A34,M33)</f>
        <v/>
      </c>
      <c r="N34" s="0" t="str">
        <f aca="false">IF(AND($B34="D02",$C34="G3"),N33&amp;IF(N33="","",CHAR(10))&amp;$A34,N33)</f>
        <v/>
      </c>
      <c r="O34" s="0" t="str">
        <f aca="false">IF(AND($B34="D02",$C34="G4"),O33&amp;IF(O33="","",CHAR(10))&amp;$A34,O33)</f>
        <v/>
      </c>
      <c r="P34" s="0" t="str">
        <f aca="false">IF(AND($B34="D02",$C34="G5"),P33&amp;IF(P33="","",CHAR(10))&amp;$A34,P33)</f>
        <v/>
      </c>
      <c r="Q34" s="0" t="str">
        <f aca="false">IF(AND($B34="D02",$C34="G6"),Q33&amp;IF(Q33="","",CHAR(10))&amp;$A34,Q33)</f>
        <v/>
      </c>
      <c r="R34" s="0" t="str">
        <f aca="false">IF(AND($B34="D03",$C34="G0"),R33&amp;IF(R33="","",CHAR(10))&amp;$A34,R33)</f>
        <v/>
      </c>
      <c r="S34" s="0" t="str">
        <f aca="false">IF(AND($B34="D03",$C34="G1"),S33&amp;IF(S33="","",CHAR(10))&amp;$A34,S33)</f>
        <v>◐ 013 場址與醫院總體規劃</v>
      </c>
      <c r="T34" s="363" t="str">
        <f aca="false">IF(AND($B34="D03",$C34="G2"),T33&amp;IF(T33="","",CHAR(10))&amp;$A34,T33)</f>
        <v>◐ 014 醫療建築功能計畫
◐ 015 感染控制與潔污動線
◐ 019 綠色與氣候韌性醫院</v>
      </c>
      <c r="U34" s="363" t="str">
        <f aca="false">IF(AND($B34="D03",$C34="G3"),U33&amp;IF(U33="","",CHAR(10))&amp;$A34,U33)</f>
        <v>● 016 電力、備援與微電網
◐ 017 醫療氣體與關鍵公用系統
◐ 018 醫療廢棄物與水資源</v>
      </c>
      <c r="V34" s="0" t="str">
        <f aca="false">IF(AND($B34="D03",$C34="G4"),V33&amp;IF(V33="","",CHAR(10))&amp;$A34,V33)</f>
        <v/>
      </c>
      <c r="W34" s="0" t="str">
        <f aca="false">IF(AND($B34="D03",$C34="G5"),W33&amp;IF(W33="","",CHAR(10))&amp;$A34,W33)</f>
        <v/>
      </c>
      <c r="X34" s="0" t="str">
        <f aca="false">IF(AND($B34="D03",$C34="G6"),X33&amp;IF(X33="","",CHAR(10))&amp;$A34,X33)</f>
        <v/>
      </c>
      <c r="Y34" s="0" t="str">
        <f aca="false">IF(AND($B34="D04",$C34="G0"),Y33&amp;IF(Y33="","",CHAR(10))&amp;$A34,Y33)</f>
        <v/>
      </c>
      <c r="Z34" s="0" t="str">
        <f aca="false">IF(AND($B34="D04",$C34="G1"),Z33&amp;IF(Z33="","",CHAR(10))&amp;$A34,Z33)</f>
        <v/>
      </c>
      <c r="AA34" s="0" t="str">
        <f aca="false">IF(AND($B34="D04",$C34="G2"),AA33&amp;IF(AA33="","",CHAR(10))&amp;$A34,AA33)</f>
        <v/>
      </c>
      <c r="AB34" s="0" t="str">
        <f aca="false">IF(AND($B34="D04",$C34="G3"),AB33&amp;IF(AB33="","",CHAR(10))&amp;$A34,AB33)</f>
        <v>● 020 IDC與邊緣運算底座</v>
      </c>
      <c r="AC34" s="363" t="str">
        <f aca="false">IF(AND($B34="D04",$C34="G4"),AC33&amp;IF(AC33="","",CHAR(10))&amp;$A34,AC33)</f>
        <v>● 021 有線無線網路與分區
◐ 022 資安營運與零信任
● 023 BMS與能源管理
● 024 RTLS與資產／人員定位
● 025 智慧病房、護理呼叫與感測
● 026 災難復原與營運持續</v>
      </c>
      <c r="AD34" s="0" t="str">
        <f aca="false">IF(AND($B34="D04",$C34="G5"),AD33&amp;IF(AD33="","",CHAR(10))&amp;$A34,AD33)</f>
        <v/>
      </c>
      <c r="AE34" s="0" t="str">
        <f aca="false">IF(AND($B34="D04",$C34="G6"),AE33&amp;IF(AE33="","",CHAR(10))&amp;$A34,AE33)</f>
        <v/>
      </c>
      <c r="AF34" s="0" t="str">
        <f aca="false">IF(AND($B34="D05",$C34="G0"),AF33&amp;IF(AF33="","",CHAR(10))&amp;$A34,AF33)</f>
        <v/>
      </c>
      <c r="AG34" s="0" t="str">
        <f aca="false">IF(AND($B34="D05",$C34="G1"),AG33&amp;IF(AG33="","",CHAR(10))&amp;$A34,AG33)</f>
        <v/>
      </c>
      <c r="AH34" s="0" t="str">
        <f aca="false">IF(AND($B34="D05",$C34="G2"),AH33&amp;IF(AH33="","",CHAR(10))&amp;$A34,AH33)</f>
        <v>◐ 027 醫材需求與設備計畫</v>
      </c>
      <c r="AI34" s="0" t="str">
        <f aca="false">IF(AND($B34="D05",$C34="G3"),AI33&amp;IF(AI33="","",CHAR(10))&amp;$A34,AI33)</f>
        <v/>
      </c>
      <c r="AJ34" s="363" t="str">
        <f aca="false">IF(AND($B34="D05",$C34="G4"),AJ33&amp;IF(AJ33="","",CHAR(10))&amp;$A34,AJ33)</f>
        <v>○ 028 影像設備、PACS與報告流程
○ 029 實驗室自動化與LIS
○ 030 手術室與重症整合</v>
      </c>
      <c r="AK34" s="0" t="str">
        <f aca="false">IF(AND($B34="D05",$C34="G5"),AK33&amp;IF(AK33="","",CHAR(10))&amp;$A34,AK33)</f>
        <v/>
      </c>
      <c r="AL34" s="0" t="str">
        <f aca="false">IF(AND($B34="D05",$C34="G6"),AL33&amp;IF(AL33="","",CHAR(10))&amp;$A34,AL33)</f>
        <v/>
      </c>
      <c r="AM34" s="0" t="str">
        <f aca="false">IF(AND($B34="D06",$C34="G0"),AM33&amp;IF(AM33="","",CHAR(10))&amp;$A34,AM33)</f>
        <v/>
      </c>
      <c r="AN34" s="0" t="str">
        <f aca="false">IF(AND($B34="D06",$C34="G1"),AN33&amp;IF(AN33="","",CHAR(10))&amp;$A34,AN33)</f>
        <v/>
      </c>
      <c r="AO34" s="0" t="str">
        <f aca="false">IF(AND($B34="D06",$C34="G2"),AO33&amp;IF(AO33="","",CHAR(10))&amp;$A34,AO33)</f>
        <v/>
      </c>
      <c r="AP34" s="0" t="str">
        <f aca="false">IF(AND($B34="D06",$C34="G3"),AP33&amp;IF(AP33="","",CHAR(10))&amp;$A34,AP33)</f>
        <v/>
      </c>
      <c r="AQ34" s="0" t="str">
        <f aca="false">IF(AND($B34="D06",$C34="G4"),AQ33&amp;IF(AQ33="","",CHAR(10))&amp;$A34,AQ33)</f>
        <v/>
      </c>
      <c r="AR34" s="0" t="str">
        <f aca="false">IF(AND($B34="D06",$C34="G5"),AR33&amp;IF(AR33="","",CHAR(10))&amp;$A34,AR33)</f>
        <v/>
      </c>
      <c r="AS34" s="0" t="str">
        <f aca="false">IF(AND($B34="D06",$C34="G6"),AS33&amp;IF(AS33="","",CHAR(10))&amp;$A34,AS33)</f>
        <v/>
      </c>
      <c r="AT34" s="0" t="str">
        <f aca="false">IF(AND($B34="D07",$C34="G0"),AT33&amp;IF(AT33="","",CHAR(10))&amp;$A34,AT33)</f>
        <v/>
      </c>
      <c r="AU34" s="0" t="str">
        <f aca="false">IF(AND($B34="D07",$C34="G1"),AU33&amp;IF(AU33="","",CHAR(10))&amp;$A34,AU33)</f>
        <v/>
      </c>
      <c r="AV34" s="0" t="str">
        <f aca="false">IF(AND($B34="D07",$C34="G2"),AV33&amp;IF(AV33="","",CHAR(10))&amp;$A34,AV33)</f>
        <v/>
      </c>
      <c r="AW34" s="0" t="str">
        <f aca="false">IF(AND($B34="D07",$C34="G3"),AW33&amp;IF(AW33="","",CHAR(10))&amp;$A34,AW33)</f>
        <v/>
      </c>
      <c r="AX34" s="0" t="str">
        <f aca="false">IF(AND($B34="D07",$C34="G4"),AX33&amp;IF(AX33="","",CHAR(10))&amp;$A34,AX33)</f>
        <v/>
      </c>
      <c r="AY34" s="0" t="str">
        <f aca="false">IF(AND($B34="D07",$C34="G5"),AY33&amp;IF(AY33="","",CHAR(10))&amp;$A34,AY33)</f>
        <v/>
      </c>
      <c r="AZ34" s="0" t="str">
        <f aca="false">IF(AND($B34="D07",$C34="G6"),AZ33&amp;IF(AZ33="","",CHAR(10))&amp;$A34,AZ33)</f>
        <v/>
      </c>
      <c r="BA34" s="0" t="str">
        <f aca="false">IF(AND($B34="D08",$C34="G0"),BA33&amp;IF(BA33="","",CHAR(10))&amp;$A34,BA33)</f>
        <v/>
      </c>
      <c r="BB34" s="0" t="str">
        <f aca="false">IF(AND($B34="D08",$C34="G1"),BB33&amp;IF(BB33="","",CHAR(10))&amp;$A34,BB33)</f>
        <v/>
      </c>
      <c r="BC34" s="0" t="str">
        <f aca="false">IF(AND($B34="D08",$C34="G2"),BC33&amp;IF(BC33="","",CHAR(10))&amp;$A34,BC33)</f>
        <v/>
      </c>
      <c r="BD34" s="0" t="str">
        <f aca="false">IF(AND($B34="D08",$C34="G3"),BD33&amp;IF(BD33="","",CHAR(10))&amp;$A34,BD33)</f>
        <v/>
      </c>
      <c r="BE34" s="0" t="str">
        <f aca="false">IF(AND($B34="D08",$C34="G4"),BE33&amp;IF(BE33="","",CHAR(10))&amp;$A34,BE33)</f>
        <v/>
      </c>
      <c r="BF34" s="0" t="str">
        <f aca="false">IF(AND($B34="D08",$C34="G5"),BF33&amp;IF(BF33="","",CHAR(10))&amp;$A34,BF33)</f>
        <v/>
      </c>
      <c r="BG34" s="0" t="str">
        <f aca="false">IF(AND($B34="D08",$C34="G6"),BG33&amp;IF(BG33="","",CHAR(10))&amp;$A34,BG33)</f>
        <v/>
      </c>
      <c r="BH34" s="0" t="str">
        <f aca="false">IF(AND($B34="D09",$C34="G0"),BH33&amp;IF(BH33="","",CHAR(10))&amp;$A34,BH33)</f>
        <v/>
      </c>
      <c r="BI34" s="0" t="str">
        <f aca="false">IF(AND($B34="D09",$C34="G1"),BI33&amp;IF(BI33="","",CHAR(10))&amp;$A34,BI33)</f>
        <v/>
      </c>
      <c r="BJ34" s="0" t="str">
        <f aca="false">IF(AND($B34="D09",$C34="G2"),BJ33&amp;IF(BJ33="","",CHAR(10))&amp;$A34,BJ33)</f>
        <v/>
      </c>
      <c r="BK34" s="0" t="str">
        <f aca="false">IF(AND($B34="D09",$C34="G3"),BK33&amp;IF(BK33="","",CHAR(10))&amp;$A34,BK33)</f>
        <v/>
      </c>
      <c r="BL34" s="0" t="str">
        <f aca="false">IF(AND($B34="D09",$C34="G4"),BL33&amp;IF(BL33="","",CHAR(10))&amp;$A34,BL33)</f>
        <v/>
      </c>
      <c r="BM34" s="0" t="str">
        <f aca="false">IF(AND($B34="D09",$C34="G5"),BM33&amp;IF(BM33="","",CHAR(10))&amp;$A34,BM33)</f>
        <v/>
      </c>
      <c r="BN34" s="0" t="str">
        <f aca="false">IF(AND($B34="D09",$C34="G6"),BN33&amp;IF(BN33="","",CHAR(10))&amp;$A34,BN33)</f>
        <v/>
      </c>
      <c r="BO34" s="0" t="str">
        <f aca="false">IF(AND($B34="D10",$C34="G0"),BO33&amp;IF(BO33="","",CHAR(10))&amp;$A34,BO33)</f>
        <v/>
      </c>
      <c r="BP34" s="0" t="str">
        <f aca="false">IF(AND($B34="D10",$C34="G1"),BP33&amp;IF(BP33="","",CHAR(10))&amp;$A34,BP33)</f>
        <v/>
      </c>
      <c r="BQ34" s="0" t="str">
        <f aca="false">IF(AND($B34="D10",$C34="G2"),BQ33&amp;IF(BQ33="","",CHAR(10))&amp;$A34,BQ33)</f>
        <v/>
      </c>
      <c r="BR34" s="0" t="str">
        <f aca="false">IF(AND($B34="D10",$C34="G3"),BR33&amp;IF(BR33="","",CHAR(10))&amp;$A34,BR33)</f>
        <v/>
      </c>
      <c r="BS34" s="0" t="str">
        <f aca="false">IF(AND($B34="D10",$C34="G4"),BS33&amp;IF(BS33="","",CHAR(10))&amp;$A34,BS33)</f>
        <v/>
      </c>
      <c r="BT34" s="0" t="str">
        <f aca="false">IF(AND($B34="D10",$C34="G5"),BT33&amp;IF(BT33="","",CHAR(10))&amp;$A34,BT33)</f>
        <v/>
      </c>
      <c r="BU34" s="0" t="str">
        <f aca="false">IF(AND($B34="D10",$C34="G6"),BU33&amp;IF(BU33="","",CHAR(10))&amp;$A34,BU33)</f>
        <v/>
      </c>
      <c r="BX34" s="0" t="n">
        <f aca="false">IF(AND(03_能力總表_Master!$A34&lt;&gt;"",LEFT(03_能力總表_Master!$H34,2)="缺口"),MAX($BX$4:BX33)+1,"")</f>
        <v>3</v>
      </c>
      <c r="BY34" s="0" t="str">
        <f aca="false">IF(AND(03_能力總表_Master!$A34&lt;&gt;"",03_能力總表_Master!$J34=12_夥伴視角_PartnerView!$C$4),MAX($BY$4:BY33)+1,"")</f>
        <v/>
      </c>
      <c r="BZ34" s="0" t="str">
        <f aca="false">IF(AND(05_法規門檻_Gates!$A34&lt;&gt;"",05_法規門檻_Gates!$E34="強制",05_法規門檻_Gates!$F34="待確認"),MAX($BZ$4:BZ33)+1,"")</f>
        <v/>
      </c>
      <c r="CC34" s="0" t="str">
        <f aca="false">IF(AND(03_能力總表_Master!$A34&lt;&gt;"",IFERROR(INDEX(16_能力商機矩陣_CapOppMap!$D34:$CO34,MATCH(LEFT(17_商機作戰卡_OppView!$C$4,6),16_能力商機矩陣_CapOppMap!$D$4:$CO$4,0)),"")="✓"),MAX($CC$4:CC33)+1,"")</f>
        <v/>
      </c>
    </row>
    <row r="35" customFormat="false" ht="95.5" hidden="false" customHeight="false" outlineLevel="0" collapsed="false">
      <c r="A35" s="0" t="str">
        <f aca="false">IF(03_能力總表_Master!$A35="","",IF(LEFT(03_能力總表_Master!$H35,2)="群晶","● ",IF(ISNUMBER(SEARCH("已確認",03_能力總表_Master!$H35)),"◆ ",IF(ISNUMBER(SEARCH("缺口",03_能力總表_Master!$H35)),"○ ","◐ ")))&amp;RIGHT(03_能力總表_Master!$A35,3)&amp;" "&amp;03_能力總表_Master!$E35)</f>
        <v>◐ 031 醫材介接與裝置身分</v>
      </c>
      <c r="B35" s="0" t="str">
        <f aca="false">IF(03_能力總表_Master!$A35="","",LEFT(03_能力總表_Master!$B35,3))</f>
        <v>D05</v>
      </c>
      <c r="C35" s="0" t="str">
        <f aca="false">IF(03_能力總表_Master!$A35="","",03_能力總表_Master!$C35)</f>
        <v>G4</v>
      </c>
      <c r="D35" s="363" t="str">
        <f aca="false">IF(AND($B35="D01",$C35="G0"),D34&amp;IF(D34="","",CHAR(10))&amp;$A35,D34)</f>
        <v>◐ 001 政府授權與計畫章程
◐ 002 利害關係人與權力地圖
◐ 005 聯盟治理與利益衝突</v>
      </c>
      <c r="E35" s="363" t="str">
        <f aca="false">IF(AND($B35="D01",$C35="G1"),E34&amp;IF(E34="","",CHAR(10))&amp;$A35,E34)</f>
        <v>◐ 003 交易模式選擇
◐ 004 法規與執照路徑</v>
      </c>
      <c r="F35" s="0" t="str">
        <f aca="false">IF(AND($B35="D01",$C35="G2"),F34&amp;IF(F34="","",CHAR(10))&amp;$A35,F34)</f>
        <v>◐ 006 績效契約與變更控制</v>
      </c>
      <c r="G35" s="0" t="str">
        <f aca="false">IF(AND($B35="D01",$C35="G3"),G34&amp;IF(G34="","",CHAR(10))&amp;$A35,G34)</f>
        <v/>
      </c>
      <c r="H35" s="0" t="str">
        <f aca="false">IF(AND($B35="D01",$C35="G4"),H34&amp;IF(H34="","",CHAR(10))&amp;$A35,H34)</f>
        <v/>
      </c>
      <c r="I35" s="0" t="str">
        <f aca="false">IF(AND($B35="D01",$C35="G5"),I34&amp;IF(I34="","",CHAR(10))&amp;$A35,I34)</f>
        <v/>
      </c>
      <c r="J35" s="0" t="str">
        <f aca="false">IF(AND($B35="D01",$C35="G6"),J34&amp;IF(J34="","",CHAR(10))&amp;$A35,J34)</f>
        <v/>
      </c>
      <c r="K35" s="0" t="str">
        <f aca="false">IF(AND($B35="D02",$C35="G0"),K34&amp;IF(K34="","",CHAR(10))&amp;$A35,K34)</f>
        <v/>
      </c>
      <c r="L35" s="363" t="str">
        <f aca="false">IF(AND($B35="D02",$C35="G1"),L34&amp;IF(L34="","",CHAR(10))&amp;$A35,L34)</f>
        <v>◐ 007 人口需求與病例量預測
◐ 008 醫院定位與服務組合
◐ 009 重點專科優先化
◐ 010 病人流程與容量設計
◐ 011 轉診與區域照護網絡
◐ 012 臨床治理與責任架構</v>
      </c>
      <c r="M35" s="0" t="str">
        <f aca="false">IF(AND($B35="D02",$C35="G2"),M34&amp;IF(M34="","",CHAR(10))&amp;$A35,M34)</f>
        <v/>
      </c>
      <c r="N35" s="0" t="str">
        <f aca="false">IF(AND($B35="D02",$C35="G3"),N34&amp;IF(N34="","",CHAR(10))&amp;$A35,N34)</f>
        <v/>
      </c>
      <c r="O35" s="0" t="str">
        <f aca="false">IF(AND($B35="D02",$C35="G4"),O34&amp;IF(O34="","",CHAR(10))&amp;$A35,O34)</f>
        <v/>
      </c>
      <c r="P35" s="0" t="str">
        <f aca="false">IF(AND($B35="D02",$C35="G5"),P34&amp;IF(P34="","",CHAR(10))&amp;$A35,P34)</f>
        <v/>
      </c>
      <c r="Q35" s="0" t="str">
        <f aca="false">IF(AND($B35="D02",$C35="G6"),Q34&amp;IF(Q34="","",CHAR(10))&amp;$A35,Q34)</f>
        <v/>
      </c>
      <c r="R35" s="0" t="str">
        <f aca="false">IF(AND($B35="D03",$C35="G0"),R34&amp;IF(R34="","",CHAR(10))&amp;$A35,R34)</f>
        <v/>
      </c>
      <c r="S35" s="0" t="str">
        <f aca="false">IF(AND($B35="D03",$C35="G1"),S34&amp;IF(S34="","",CHAR(10))&amp;$A35,S34)</f>
        <v>◐ 013 場址與醫院總體規劃</v>
      </c>
      <c r="T35" s="363" t="str">
        <f aca="false">IF(AND($B35="D03",$C35="G2"),T34&amp;IF(T34="","",CHAR(10))&amp;$A35,T34)</f>
        <v>◐ 014 醫療建築功能計畫
◐ 015 感染控制與潔污動線
◐ 019 綠色與氣候韌性醫院</v>
      </c>
      <c r="U35" s="363" t="str">
        <f aca="false">IF(AND($B35="D03",$C35="G3"),U34&amp;IF(U34="","",CHAR(10))&amp;$A35,U34)</f>
        <v>● 016 電力、備援與微電網
◐ 017 醫療氣體與關鍵公用系統
◐ 018 醫療廢棄物與水資源</v>
      </c>
      <c r="V35" s="0" t="str">
        <f aca="false">IF(AND($B35="D03",$C35="G4"),V34&amp;IF(V34="","",CHAR(10))&amp;$A35,V34)</f>
        <v/>
      </c>
      <c r="W35" s="0" t="str">
        <f aca="false">IF(AND($B35="D03",$C35="G5"),W34&amp;IF(W34="","",CHAR(10))&amp;$A35,W34)</f>
        <v/>
      </c>
      <c r="X35" s="0" t="str">
        <f aca="false">IF(AND($B35="D03",$C35="G6"),X34&amp;IF(X34="","",CHAR(10))&amp;$A35,X34)</f>
        <v/>
      </c>
      <c r="Y35" s="0" t="str">
        <f aca="false">IF(AND($B35="D04",$C35="G0"),Y34&amp;IF(Y34="","",CHAR(10))&amp;$A35,Y34)</f>
        <v/>
      </c>
      <c r="Z35" s="0" t="str">
        <f aca="false">IF(AND($B35="D04",$C35="G1"),Z34&amp;IF(Z34="","",CHAR(10))&amp;$A35,Z34)</f>
        <v/>
      </c>
      <c r="AA35" s="0" t="str">
        <f aca="false">IF(AND($B35="D04",$C35="G2"),AA34&amp;IF(AA34="","",CHAR(10))&amp;$A35,AA34)</f>
        <v/>
      </c>
      <c r="AB35" s="0" t="str">
        <f aca="false">IF(AND($B35="D04",$C35="G3"),AB34&amp;IF(AB34="","",CHAR(10))&amp;$A35,AB34)</f>
        <v>● 020 IDC與邊緣運算底座</v>
      </c>
      <c r="AC35" s="363" t="str">
        <f aca="false">IF(AND($B35="D04",$C35="G4"),AC34&amp;IF(AC34="","",CHAR(10))&amp;$A35,AC34)</f>
        <v>● 021 有線無線網路與分區
◐ 022 資安營運與零信任
● 023 BMS與能源管理
● 024 RTLS與資產／人員定位
● 025 智慧病房、護理呼叫與感測
● 026 災難復原與營運持續</v>
      </c>
      <c r="AD35" s="0" t="str">
        <f aca="false">IF(AND($B35="D04",$C35="G5"),AD34&amp;IF(AD34="","",CHAR(10))&amp;$A35,AD34)</f>
        <v/>
      </c>
      <c r="AE35" s="0" t="str">
        <f aca="false">IF(AND($B35="D04",$C35="G6"),AE34&amp;IF(AE34="","",CHAR(10))&amp;$A35,AE34)</f>
        <v/>
      </c>
      <c r="AF35" s="0" t="str">
        <f aca="false">IF(AND($B35="D05",$C35="G0"),AF34&amp;IF(AF34="","",CHAR(10))&amp;$A35,AF34)</f>
        <v/>
      </c>
      <c r="AG35" s="0" t="str">
        <f aca="false">IF(AND($B35="D05",$C35="G1"),AG34&amp;IF(AG34="","",CHAR(10))&amp;$A35,AG34)</f>
        <v/>
      </c>
      <c r="AH35" s="0" t="str">
        <f aca="false">IF(AND($B35="D05",$C35="G2"),AH34&amp;IF(AH34="","",CHAR(10))&amp;$A35,AH34)</f>
        <v>◐ 027 醫材需求與設備計畫</v>
      </c>
      <c r="AI35" s="0" t="str">
        <f aca="false">IF(AND($B35="D05",$C35="G3"),AI34&amp;IF(AI34="","",CHAR(10))&amp;$A35,AI34)</f>
        <v/>
      </c>
      <c r="AJ35" s="363" t="str">
        <f aca="false">IF(AND($B35="D05",$C35="G4"),AJ34&amp;IF(AJ34="","",CHAR(10))&amp;$A35,AJ34)</f>
        <v>○ 028 影像設備、PACS與報告流程
○ 029 實驗室自動化與LIS
○ 030 手術室與重症整合
◐ 031 醫材介接與裝置身分</v>
      </c>
      <c r="AK35" s="0" t="str">
        <f aca="false">IF(AND($B35="D05",$C35="G5"),AK34&amp;IF(AK34="","",CHAR(10))&amp;$A35,AK34)</f>
        <v/>
      </c>
      <c r="AL35" s="0" t="str">
        <f aca="false">IF(AND($B35="D05",$C35="G6"),AL34&amp;IF(AL34="","",CHAR(10))&amp;$A35,AL34)</f>
        <v/>
      </c>
      <c r="AM35" s="0" t="str">
        <f aca="false">IF(AND($B35="D06",$C35="G0"),AM34&amp;IF(AM34="","",CHAR(10))&amp;$A35,AM34)</f>
        <v/>
      </c>
      <c r="AN35" s="0" t="str">
        <f aca="false">IF(AND($B35="D06",$C35="G1"),AN34&amp;IF(AN34="","",CHAR(10))&amp;$A35,AN34)</f>
        <v/>
      </c>
      <c r="AO35" s="0" t="str">
        <f aca="false">IF(AND($B35="D06",$C35="G2"),AO34&amp;IF(AO34="","",CHAR(10))&amp;$A35,AO34)</f>
        <v/>
      </c>
      <c r="AP35" s="0" t="str">
        <f aca="false">IF(AND($B35="D06",$C35="G3"),AP34&amp;IF(AP34="","",CHAR(10))&amp;$A35,AP34)</f>
        <v/>
      </c>
      <c r="AQ35" s="0" t="str">
        <f aca="false">IF(AND($B35="D06",$C35="G4"),AQ34&amp;IF(AQ34="","",CHAR(10))&amp;$A35,AQ34)</f>
        <v/>
      </c>
      <c r="AR35" s="0" t="str">
        <f aca="false">IF(AND($B35="D06",$C35="G5"),AR34&amp;IF(AR34="","",CHAR(10))&amp;$A35,AR34)</f>
        <v/>
      </c>
      <c r="AS35" s="0" t="str">
        <f aca="false">IF(AND($B35="D06",$C35="G6"),AS34&amp;IF(AS34="","",CHAR(10))&amp;$A35,AS34)</f>
        <v/>
      </c>
      <c r="AT35" s="0" t="str">
        <f aca="false">IF(AND($B35="D07",$C35="G0"),AT34&amp;IF(AT34="","",CHAR(10))&amp;$A35,AT34)</f>
        <v/>
      </c>
      <c r="AU35" s="0" t="str">
        <f aca="false">IF(AND($B35="D07",$C35="G1"),AU34&amp;IF(AU34="","",CHAR(10))&amp;$A35,AU34)</f>
        <v/>
      </c>
      <c r="AV35" s="0" t="str">
        <f aca="false">IF(AND($B35="D07",$C35="G2"),AV34&amp;IF(AV34="","",CHAR(10))&amp;$A35,AV34)</f>
        <v/>
      </c>
      <c r="AW35" s="0" t="str">
        <f aca="false">IF(AND($B35="D07",$C35="G3"),AW34&amp;IF(AW34="","",CHAR(10))&amp;$A35,AW34)</f>
        <v/>
      </c>
      <c r="AX35" s="0" t="str">
        <f aca="false">IF(AND($B35="D07",$C35="G4"),AX34&amp;IF(AX34="","",CHAR(10))&amp;$A35,AX34)</f>
        <v/>
      </c>
      <c r="AY35" s="0" t="str">
        <f aca="false">IF(AND($B35="D07",$C35="G5"),AY34&amp;IF(AY34="","",CHAR(10))&amp;$A35,AY34)</f>
        <v/>
      </c>
      <c r="AZ35" s="0" t="str">
        <f aca="false">IF(AND($B35="D07",$C35="G6"),AZ34&amp;IF(AZ34="","",CHAR(10))&amp;$A35,AZ34)</f>
        <v/>
      </c>
      <c r="BA35" s="0" t="str">
        <f aca="false">IF(AND($B35="D08",$C35="G0"),BA34&amp;IF(BA34="","",CHAR(10))&amp;$A35,BA34)</f>
        <v/>
      </c>
      <c r="BB35" s="0" t="str">
        <f aca="false">IF(AND($B35="D08",$C35="G1"),BB34&amp;IF(BB34="","",CHAR(10))&amp;$A35,BB34)</f>
        <v/>
      </c>
      <c r="BC35" s="0" t="str">
        <f aca="false">IF(AND($B35="D08",$C35="G2"),BC34&amp;IF(BC34="","",CHAR(10))&amp;$A35,BC34)</f>
        <v/>
      </c>
      <c r="BD35" s="0" t="str">
        <f aca="false">IF(AND($B35="D08",$C35="G3"),BD34&amp;IF(BD34="","",CHAR(10))&amp;$A35,BD34)</f>
        <v/>
      </c>
      <c r="BE35" s="0" t="str">
        <f aca="false">IF(AND($B35="D08",$C35="G4"),BE34&amp;IF(BE34="","",CHAR(10))&amp;$A35,BE34)</f>
        <v/>
      </c>
      <c r="BF35" s="0" t="str">
        <f aca="false">IF(AND($B35="D08",$C35="G5"),BF34&amp;IF(BF34="","",CHAR(10))&amp;$A35,BF34)</f>
        <v/>
      </c>
      <c r="BG35" s="0" t="str">
        <f aca="false">IF(AND($B35="D08",$C35="G6"),BG34&amp;IF(BG34="","",CHAR(10))&amp;$A35,BG34)</f>
        <v/>
      </c>
      <c r="BH35" s="0" t="str">
        <f aca="false">IF(AND($B35="D09",$C35="G0"),BH34&amp;IF(BH34="","",CHAR(10))&amp;$A35,BH34)</f>
        <v/>
      </c>
      <c r="BI35" s="0" t="str">
        <f aca="false">IF(AND($B35="D09",$C35="G1"),BI34&amp;IF(BI34="","",CHAR(10))&amp;$A35,BI34)</f>
        <v/>
      </c>
      <c r="BJ35" s="0" t="str">
        <f aca="false">IF(AND($B35="D09",$C35="G2"),BJ34&amp;IF(BJ34="","",CHAR(10))&amp;$A35,BJ34)</f>
        <v/>
      </c>
      <c r="BK35" s="0" t="str">
        <f aca="false">IF(AND($B35="D09",$C35="G3"),BK34&amp;IF(BK34="","",CHAR(10))&amp;$A35,BK34)</f>
        <v/>
      </c>
      <c r="BL35" s="0" t="str">
        <f aca="false">IF(AND($B35="D09",$C35="G4"),BL34&amp;IF(BL34="","",CHAR(10))&amp;$A35,BL34)</f>
        <v/>
      </c>
      <c r="BM35" s="0" t="str">
        <f aca="false">IF(AND($B35="D09",$C35="G5"),BM34&amp;IF(BM34="","",CHAR(10))&amp;$A35,BM34)</f>
        <v/>
      </c>
      <c r="BN35" s="0" t="str">
        <f aca="false">IF(AND($B35="D09",$C35="G6"),BN34&amp;IF(BN34="","",CHAR(10))&amp;$A35,BN34)</f>
        <v/>
      </c>
      <c r="BO35" s="0" t="str">
        <f aca="false">IF(AND($B35="D10",$C35="G0"),BO34&amp;IF(BO34="","",CHAR(10))&amp;$A35,BO34)</f>
        <v/>
      </c>
      <c r="BP35" s="0" t="str">
        <f aca="false">IF(AND($B35="D10",$C35="G1"),BP34&amp;IF(BP34="","",CHAR(10))&amp;$A35,BP34)</f>
        <v/>
      </c>
      <c r="BQ35" s="0" t="str">
        <f aca="false">IF(AND($B35="D10",$C35="G2"),BQ34&amp;IF(BQ34="","",CHAR(10))&amp;$A35,BQ34)</f>
        <v/>
      </c>
      <c r="BR35" s="0" t="str">
        <f aca="false">IF(AND($B35="D10",$C35="G3"),BR34&amp;IF(BR34="","",CHAR(10))&amp;$A35,BR34)</f>
        <v/>
      </c>
      <c r="BS35" s="0" t="str">
        <f aca="false">IF(AND($B35="D10",$C35="G4"),BS34&amp;IF(BS34="","",CHAR(10))&amp;$A35,BS34)</f>
        <v/>
      </c>
      <c r="BT35" s="0" t="str">
        <f aca="false">IF(AND($B35="D10",$C35="G5"),BT34&amp;IF(BT34="","",CHAR(10))&amp;$A35,BT34)</f>
        <v/>
      </c>
      <c r="BU35" s="0" t="str">
        <f aca="false">IF(AND($B35="D10",$C35="G6"),BU34&amp;IF(BU34="","",CHAR(10))&amp;$A35,BU34)</f>
        <v/>
      </c>
      <c r="BX35" s="0" t="str">
        <f aca="false">IF(AND(03_能力總表_Master!$A35&lt;&gt;"",LEFT(03_能力總表_Master!$H35,2)="缺口"),MAX($BX$4:BX34)+1,"")</f>
        <v/>
      </c>
      <c r="BY35" s="0" t="str">
        <f aca="false">IF(AND(03_能力總表_Master!$A35&lt;&gt;"",03_能力總表_Master!$J35=12_夥伴視角_PartnerView!$C$4),MAX($BY$4:BY34)+1,"")</f>
        <v/>
      </c>
      <c r="BZ35" s="0" t="str">
        <f aca="false">IF(AND(05_法規門檻_Gates!$A35&lt;&gt;"",05_法規門檻_Gates!$E35="強制",05_法規門檻_Gates!$F35="待確認"),MAX($BZ$4:BZ34)+1,"")</f>
        <v/>
      </c>
      <c r="CC35" s="0" t="str">
        <f aca="false">IF(AND(03_能力總表_Master!$A35&lt;&gt;"",IFERROR(INDEX(16_能力商機矩陣_CapOppMap!$D35:$CO35,MATCH(LEFT(17_商機作戰卡_OppView!$C$4,6),16_能力商機矩陣_CapOppMap!$D$4:$CO$4,0)),"")="✓"),MAX($CC$4:CC34)+1,"")</f>
        <v/>
      </c>
    </row>
    <row r="36" customFormat="false" ht="95.5" hidden="false" customHeight="false" outlineLevel="0" collapsed="false">
      <c r="A36" s="0" t="str">
        <f aca="false">IF(03_能力總表_Master!$A36="","",IF(LEFT(03_能力總表_Master!$H36,2)="群晶","● ",IF(ISNUMBER(SEARCH("已確認",03_能力總表_Master!$H36)),"◆ ",IF(ISNUMBER(SEARCH("缺口",03_能力總表_Master!$H36)),"○ ","◐ ")))&amp;RIGHT(03_能力總表_Master!$A36,3)&amp;" "&amp;03_能力總表_Master!$E36)</f>
        <v>◐ 032 醫療工程與設備生命週期</v>
      </c>
      <c r="B36" s="0" t="str">
        <f aca="false">IF(03_能力總表_Master!$A36="","",LEFT(03_能力總表_Master!$B36,3))</f>
        <v>D05</v>
      </c>
      <c r="C36" s="0" t="str">
        <f aca="false">IF(03_能力總表_Master!$A36="","",03_能力總表_Master!$C36)</f>
        <v>G4</v>
      </c>
      <c r="D36" s="363" t="str">
        <f aca="false">IF(AND($B36="D01",$C36="G0"),D35&amp;IF(D35="","",CHAR(10))&amp;$A36,D35)</f>
        <v>◐ 001 政府授權與計畫章程
◐ 002 利害關係人與權力地圖
◐ 005 聯盟治理與利益衝突</v>
      </c>
      <c r="E36" s="363" t="str">
        <f aca="false">IF(AND($B36="D01",$C36="G1"),E35&amp;IF(E35="","",CHAR(10))&amp;$A36,E35)</f>
        <v>◐ 003 交易模式選擇
◐ 004 法規與執照路徑</v>
      </c>
      <c r="F36" s="0" t="str">
        <f aca="false">IF(AND($B36="D01",$C36="G2"),F35&amp;IF(F35="","",CHAR(10))&amp;$A36,F35)</f>
        <v>◐ 006 績效契約與變更控制</v>
      </c>
      <c r="G36" s="0" t="str">
        <f aca="false">IF(AND($B36="D01",$C36="G3"),G35&amp;IF(G35="","",CHAR(10))&amp;$A36,G35)</f>
        <v/>
      </c>
      <c r="H36" s="0" t="str">
        <f aca="false">IF(AND($B36="D01",$C36="G4"),H35&amp;IF(H35="","",CHAR(10))&amp;$A36,H35)</f>
        <v/>
      </c>
      <c r="I36" s="0" t="str">
        <f aca="false">IF(AND($B36="D01",$C36="G5"),I35&amp;IF(I35="","",CHAR(10))&amp;$A36,I35)</f>
        <v/>
      </c>
      <c r="J36" s="0" t="str">
        <f aca="false">IF(AND($B36="D01",$C36="G6"),J35&amp;IF(J35="","",CHAR(10))&amp;$A36,J35)</f>
        <v/>
      </c>
      <c r="K36" s="0" t="str">
        <f aca="false">IF(AND($B36="D02",$C36="G0"),K35&amp;IF(K35="","",CHAR(10))&amp;$A36,K35)</f>
        <v/>
      </c>
      <c r="L36" s="363" t="str">
        <f aca="false">IF(AND($B36="D02",$C36="G1"),L35&amp;IF(L35="","",CHAR(10))&amp;$A36,L35)</f>
        <v>◐ 007 人口需求與病例量預測
◐ 008 醫院定位與服務組合
◐ 009 重點專科優先化
◐ 010 病人流程與容量設計
◐ 011 轉診與區域照護網絡
◐ 012 臨床治理與責任架構</v>
      </c>
      <c r="M36" s="0" t="str">
        <f aca="false">IF(AND($B36="D02",$C36="G2"),M35&amp;IF(M35="","",CHAR(10))&amp;$A36,M35)</f>
        <v/>
      </c>
      <c r="N36" s="0" t="str">
        <f aca="false">IF(AND($B36="D02",$C36="G3"),N35&amp;IF(N35="","",CHAR(10))&amp;$A36,N35)</f>
        <v/>
      </c>
      <c r="O36" s="0" t="str">
        <f aca="false">IF(AND($B36="D02",$C36="G4"),O35&amp;IF(O35="","",CHAR(10))&amp;$A36,O35)</f>
        <v/>
      </c>
      <c r="P36" s="0" t="str">
        <f aca="false">IF(AND($B36="D02",$C36="G5"),P35&amp;IF(P35="","",CHAR(10))&amp;$A36,P35)</f>
        <v/>
      </c>
      <c r="Q36" s="0" t="str">
        <f aca="false">IF(AND($B36="D02",$C36="G6"),Q35&amp;IF(Q35="","",CHAR(10))&amp;$A36,Q35)</f>
        <v/>
      </c>
      <c r="R36" s="0" t="str">
        <f aca="false">IF(AND($B36="D03",$C36="G0"),R35&amp;IF(R35="","",CHAR(10))&amp;$A36,R35)</f>
        <v/>
      </c>
      <c r="S36" s="0" t="str">
        <f aca="false">IF(AND($B36="D03",$C36="G1"),S35&amp;IF(S35="","",CHAR(10))&amp;$A36,S35)</f>
        <v>◐ 013 場址與醫院總體規劃</v>
      </c>
      <c r="T36" s="363" t="str">
        <f aca="false">IF(AND($B36="D03",$C36="G2"),T35&amp;IF(T35="","",CHAR(10))&amp;$A36,T35)</f>
        <v>◐ 014 醫療建築功能計畫
◐ 015 感染控制與潔污動線
◐ 019 綠色與氣候韌性醫院</v>
      </c>
      <c r="U36" s="363" t="str">
        <f aca="false">IF(AND($B36="D03",$C36="G3"),U35&amp;IF(U35="","",CHAR(10))&amp;$A36,U35)</f>
        <v>● 016 電力、備援與微電網
◐ 017 醫療氣體與關鍵公用系統
◐ 018 醫療廢棄物與水資源</v>
      </c>
      <c r="V36" s="0" t="str">
        <f aca="false">IF(AND($B36="D03",$C36="G4"),V35&amp;IF(V35="","",CHAR(10))&amp;$A36,V35)</f>
        <v/>
      </c>
      <c r="W36" s="0" t="str">
        <f aca="false">IF(AND($B36="D03",$C36="G5"),W35&amp;IF(W35="","",CHAR(10))&amp;$A36,W35)</f>
        <v/>
      </c>
      <c r="X36" s="0" t="str">
        <f aca="false">IF(AND($B36="D03",$C36="G6"),X35&amp;IF(X35="","",CHAR(10))&amp;$A36,X35)</f>
        <v/>
      </c>
      <c r="Y36" s="0" t="str">
        <f aca="false">IF(AND($B36="D04",$C36="G0"),Y35&amp;IF(Y35="","",CHAR(10))&amp;$A36,Y35)</f>
        <v/>
      </c>
      <c r="Z36" s="0" t="str">
        <f aca="false">IF(AND($B36="D04",$C36="G1"),Z35&amp;IF(Z35="","",CHAR(10))&amp;$A36,Z35)</f>
        <v/>
      </c>
      <c r="AA36" s="0" t="str">
        <f aca="false">IF(AND($B36="D04",$C36="G2"),AA35&amp;IF(AA35="","",CHAR(10))&amp;$A36,AA35)</f>
        <v/>
      </c>
      <c r="AB36" s="0" t="str">
        <f aca="false">IF(AND($B36="D04",$C36="G3"),AB35&amp;IF(AB35="","",CHAR(10))&amp;$A36,AB35)</f>
        <v>● 020 IDC與邊緣運算底座</v>
      </c>
      <c r="AC36" s="363" t="str">
        <f aca="false">IF(AND($B36="D04",$C36="G4"),AC35&amp;IF(AC35="","",CHAR(10))&amp;$A36,AC35)</f>
        <v>● 021 有線無線網路與分區
◐ 022 資安營運與零信任
● 023 BMS與能源管理
● 024 RTLS與資產／人員定位
● 025 智慧病房、護理呼叫與感測
● 026 災難復原與營運持續</v>
      </c>
      <c r="AD36" s="0" t="str">
        <f aca="false">IF(AND($B36="D04",$C36="G5"),AD35&amp;IF(AD35="","",CHAR(10))&amp;$A36,AD35)</f>
        <v/>
      </c>
      <c r="AE36" s="0" t="str">
        <f aca="false">IF(AND($B36="D04",$C36="G6"),AE35&amp;IF(AE35="","",CHAR(10))&amp;$A36,AE35)</f>
        <v/>
      </c>
      <c r="AF36" s="0" t="str">
        <f aca="false">IF(AND($B36="D05",$C36="G0"),AF35&amp;IF(AF35="","",CHAR(10))&amp;$A36,AF35)</f>
        <v/>
      </c>
      <c r="AG36" s="0" t="str">
        <f aca="false">IF(AND($B36="D05",$C36="G1"),AG35&amp;IF(AG35="","",CHAR(10))&amp;$A36,AG35)</f>
        <v/>
      </c>
      <c r="AH36" s="0" t="str">
        <f aca="false">IF(AND($B36="D05",$C36="G2"),AH35&amp;IF(AH35="","",CHAR(10))&amp;$A36,AH35)</f>
        <v>◐ 027 醫材需求與設備計畫</v>
      </c>
      <c r="AI36" s="0" t="str">
        <f aca="false">IF(AND($B36="D05",$C36="G3"),AI35&amp;IF(AI35="","",CHAR(10))&amp;$A36,AI35)</f>
        <v/>
      </c>
      <c r="AJ36" s="363" t="str">
        <f aca="false">IF(AND($B36="D05",$C36="G4"),AJ35&amp;IF(AJ35="","",CHAR(10))&amp;$A36,AJ35)</f>
        <v>○ 028 影像設備、PACS與報告流程
○ 029 實驗室自動化與LIS
○ 030 手術室與重症整合
◐ 031 醫材介接與裝置身分
◐ 032 醫療工程與設備生命週期</v>
      </c>
      <c r="AK36" s="0" t="str">
        <f aca="false">IF(AND($B36="D05",$C36="G5"),AK35&amp;IF(AK35="","",CHAR(10))&amp;$A36,AK35)</f>
        <v/>
      </c>
      <c r="AL36" s="0" t="str">
        <f aca="false">IF(AND($B36="D05",$C36="G6"),AL35&amp;IF(AL35="","",CHAR(10))&amp;$A36,AL35)</f>
        <v/>
      </c>
      <c r="AM36" s="0" t="str">
        <f aca="false">IF(AND($B36="D06",$C36="G0"),AM35&amp;IF(AM35="","",CHAR(10))&amp;$A36,AM35)</f>
        <v/>
      </c>
      <c r="AN36" s="0" t="str">
        <f aca="false">IF(AND($B36="D06",$C36="G1"),AN35&amp;IF(AN35="","",CHAR(10))&amp;$A36,AN35)</f>
        <v/>
      </c>
      <c r="AO36" s="0" t="str">
        <f aca="false">IF(AND($B36="D06",$C36="G2"),AO35&amp;IF(AO35="","",CHAR(10))&amp;$A36,AO35)</f>
        <v/>
      </c>
      <c r="AP36" s="0" t="str">
        <f aca="false">IF(AND($B36="D06",$C36="G3"),AP35&amp;IF(AP35="","",CHAR(10))&amp;$A36,AP35)</f>
        <v/>
      </c>
      <c r="AQ36" s="0" t="str">
        <f aca="false">IF(AND($B36="D06",$C36="G4"),AQ35&amp;IF(AQ35="","",CHAR(10))&amp;$A36,AQ35)</f>
        <v/>
      </c>
      <c r="AR36" s="0" t="str">
        <f aca="false">IF(AND($B36="D06",$C36="G5"),AR35&amp;IF(AR35="","",CHAR(10))&amp;$A36,AR35)</f>
        <v/>
      </c>
      <c r="AS36" s="0" t="str">
        <f aca="false">IF(AND($B36="D06",$C36="G6"),AS35&amp;IF(AS35="","",CHAR(10))&amp;$A36,AS35)</f>
        <v/>
      </c>
      <c r="AT36" s="0" t="str">
        <f aca="false">IF(AND($B36="D07",$C36="G0"),AT35&amp;IF(AT35="","",CHAR(10))&amp;$A36,AT35)</f>
        <v/>
      </c>
      <c r="AU36" s="0" t="str">
        <f aca="false">IF(AND($B36="D07",$C36="G1"),AU35&amp;IF(AU35="","",CHAR(10))&amp;$A36,AU35)</f>
        <v/>
      </c>
      <c r="AV36" s="0" t="str">
        <f aca="false">IF(AND($B36="D07",$C36="G2"),AV35&amp;IF(AV35="","",CHAR(10))&amp;$A36,AV35)</f>
        <v/>
      </c>
      <c r="AW36" s="0" t="str">
        <f aca="false">IF(AND($B36="D07",$C36="G3"),AW35&amp;IF(AW35="","",CHAR(10))&amp;$A36,AW35)</f>
        <v/>
      </c>
      <c r="AX36" s="0" t="str">
        <f aca="false">IF(AND($B36="D07",$C36="G4"),AX35&amp;IF(AX35="","",CHAR(10))&amp;$A36,AX35)</f>
        <v/>
      </c>
      <c r="AY36" s="0" t="str">
        <f aca="false">IF(AND($B36="D07",$C36="G5"),AY35&amp;IF(AY35="","",CHAR(10))&amp;$A36,AY35)</f>
        <v/>
      </c>
      <c r="AZ36" s="0" t="str">
        <f aca="false">IF(AND($B36="D07",$C36="G6"),AZ35&amp;IF(AZ35="","",CHAR(10))&amp;$A36,AZ35)</f>
        <v/>
      </c>
      <c r="BA36" s="0" t="str">
        <f aca="false">IF(AND($B36="D08",$C36="G0"),BA35&amp;IF(BA35="","",CHAR(10))&amp;$A36,BA35)</f>
        <v/>
      </c>
      <c r="BB36" s="0" t="str">
        <f aca="false">IF(AND($B36="D08",$C36="G1"),BB35&amp;IF(BB35="","",CHAR(10))&amp;$A36,BB35)</f>
        <v/>
      </c>
      <c r="BC36" s="0" t="str">
        <f aca="false">IF(AND($B36="D08",$C36="G2"),BC35&amp;IF(BC35="","",CHAR(10))&amp;$A36,BC35)</f>
        <v/>
      </c>
      <c r="BD36" s="0" t="str">
        <f aca="false">IF(AND($B36="D08",$C36="G3"),BD35&amp;IF(BD35="","",CHAR(10))&amp;$A36,BD35)</f>
        <v/>
      </c>
      <c r="BE36" s="0" t="str">
        <f aca="false">IF(AND($B36="D08",$C36="G4"),BE35&amp;IF(BE35="","",CHAR(10))&amp;$A36,BE35)</f>
        <v/>
      </c>
      <c r="BF36" s="0" t="str">
        <f aca="false">IF(AND($B36="D08",$C36="G5"),BF35&amp;IF(BF35="","",CHAR(10))&amp;$A36,BF35)</f>
        <v/>
      </c>
      <c r="BG36" s="0" t="str">
        <f aca="false">IF(AND($B36="D08",$C36="G6"),BG35&amp;IF(BG35="","",CHAR(10))&amp;$A36,BG35)</f>
        <v/>
      </c>
      <c r="BH36" s="0" t="str">
        <f aca="false">IF(AND($B36="D09",$C36="G0"),BH35&amp;IF(BH35="","",CHAR(10))&amp;$A36,BH35)</f>
        <v/>
      </c>
      <c r="BI36" s="0" t="str">
        <f aca="false">IF(AND($B36="D09",$C36="G1"),BI35&amp;IF(BI35="","",CHAR(10))&amp;$A36,BI35)</f>
        <v/>
      </c>
      <c r="BJ36" s="0" t="str">
        <f aca="false">IF(AND($B36="D09",$C36="G2"),BJ35&amp;IF(BJ35="","",CHAR(10))&amp;$A36,BJ35)</f>
        <v/>
      </c>
      <c r="BK36" s="0" t="str">
        <f aca="false">IF(AND($B36="D09",$C36="G3"),BK35&amp;IF(BK35="","",CHAR(10))&amp;$A36,BK35)</f>
        <v/>
      </c>
      <c r="BL36" s="0" t="str">
        <f aca="false">IF(AND($B36="D09",$C36="G4"),BL35&amp;IF(BL35="","",CHAR(10))&amp;$A36,BL35)</f>
        <v/>
      </c>
      <c r="BM36" s="0" t="str">
        <f aca="false">IF(AND($B36="D09",$C36="G5"),BM35&amp;IF(BM35="","",CHAR(10))&amp;$A36,BM35)</f>
        <v/>
      </c>
      <c r="BN36" s="0" t="str">
        <f aca="false">IF(AND($B36="D09",$C36="G6"),BN35&amp;IF(BN35="","",CHAR(10))&amp;$A36,BN35)</f>
        <v/>
      </c>
      <c r="BO36" s="0" t="str">
        <f aca="false">IF(AND($B36="D10",$C36="G0"),BO35&amp;IF(BO35="","",CHAR(10))&amp;$A36,BO35)</f>
        <v/>
      </c>
      <c r="BP36" s="0" t="str">
        <f aca="false">IF(AND($B36="D10",$C36="G1"),BP35&amp;IF(BP35="","",CHAR(10))&amp;$A36,BP35)</f>
        <v/>
      </c>
      <c r="BQ36" s="0" t="str">
        <f aca="false">IF(AND($B36="D10",$C36="G2"),BQ35&amp;IF(BQ35="","",CHAR(10))&amp;$A36,BQ35)</f>
        <v/>
      </c>
      <c r="BR36" s="0" t="str">
        <f aca="false">IF(AND($B36="D10",$C36="G3"),BR35&amp;IF(BR35="","",CHAR(10))&amp;$A36,BR35)</f>
        <v/>
      </c>
      <c r="BS36" s="0" t="str">
        <f aca="false">IF(AND($B36="D10",$C36="G4"),BS35&amp;IF(BS35="","",CHAR(10))&amp;$A36,BS35)</f>
        <v/>
      </c>
      <c r="BT36" s="0" t="str">
        <f aca="false">IF(AND($B36="D10",$C36="G5"),BT35&amp;IF(BT35="","",CHAR(10))&amp;$A36,BT35)</f>
        <v/>
      </c>
      <c r="BU36" s="0" t="str">
        <f aca="false">IF(AND($B36="D10",$C36="G6"),BU35&amp;IF(BU35="","",CHAR(10))&amp;$A36,BU35)</f>
        <v/>
      </c>
      <c r="BX36" s="0" t="str">
        <f aca="false">IF(AND(03_能力總表_Master!$A36&lt;&gt;"",LEFT(03_能力總表_Master!$H36,2)="缺口"),MAX($BX$4:BX35)+1,"")</f>
        <v/>
      </c>
      <c r="BY36" s="0" t="str">
        <f aca="false">IF(AND(03_能力總表_Master!$A36&lt;&gt;"",03_能力總表_Master!$J36=12_夥伴視角_PartnerView!$C$4),MAX($BY$4:BY35)+1,"")</f>
        <v/>
      </c>
      <c r="BZ36" s="0" t="str">
        <f aca="false">IF(AND(05_法規門檻_Gates!$A36&lt;&gt;"",05_法規門檻_Gates!$E36="強制",05_法規門檻_Gates!$F36="待確認"),MAX($BZ$4:BZ35)+1,"")</f>
        <v/>
      </c>
      <c r="CC36" s="0" t="str">
        <f aca="false">IF(AND(03_能力總表_Master!$A36&lt;&gt;"",IFERROR(INDEX(16_能力商機矩陣_CapOppMap!$D36:$CO36,MATCH(LEFT(17_商機作戰卡_OppView!$C$4,6),16_能力商機矩陣_CapOppMap!$D$4:$CO$4,0)),"")="✓"),MAX($CC$4:CC35)+1,"")</f>
        <v/>
      </c>
    </row>
    <row r="37" customFormat="false" ht="95.5" hidden="false" customHeight="false" outlineLevel="0" collapsed="false">
      <c r="A37" s="0" t="str">
        <f aca="false">IF(03_能力總表_Master!$A37="","",IF(LEFT(03_能力總表_Master!$H37,2)="群晶","● ",IF(ISNUMBER(SEARCH("已確認",03_能力總表_Master!$H37)),"◆ ",IF(ISNUMBER(SEARCH("缺口",03_能力總表_Master!$H37)),"○ ","◐ ")))&amp;RIGHT(03_能力總表_Master!$A37,3)&amp;" "&amp;03_能力總表_Master!$E37)</f>
        <v>◐ 033 HIS／EMR核心平台</v>
      </c>
      <c r="B37" s="0" t="str">
        <f aca="false">IF(03_能力總表_Master!$A37="","",LEFT(03_能力總表_Master!$B37,3))</f>
        <v>D06</v>
      </c>
      <c r="C37" s="0" t="str">
        <f aca="false">IF(03_能力總表_Master!$A37="","",03_能力總表_Master!$C37)</f>
        <v>G3</v>
      </c>
      <c r="D37" s="363" t="str">
        <f aca="false">IF(AND($B37="D01",$C37="G0"),D36&amp;IF(D36="","",CHAR(10))&amp;$A37,D36)</f>
        <v>◐ 001 政府授權與計畫章程
◐ 002 利害關係人與權力地圖
◐ 005 聯盟治理與利益衝突</v>
      </c>
      <c r="E37" s="363" t="str">
        <f aca="false">IF(AND($B37="D01",$C37="G1"),E36&amp;IF(E36="","",CHAR(10))&amp;$A37,E36)</f>
        <v>◐ 003 交易模式選擇
◐ 004 法規與執照路徑</v>
      </c>
      <c r="F37" s="0" t="str">
        <f aca="false">IF(AND($B37="D01",$C37="G2"),F36&amp;IF(F36="","",CHAR(10))&amp;$A37,F36)</f>
        <v>◐ 006 績效契約與變更控制</v>
      </c>
      <c r="G37" s="0" t="str">
        <f aca="false">IF(AND($B37="D01",$C37="G3"),G36&amp;IF(G36="","",CHAR(10))&amp;$A37,G36)</f>
        <v/>
      </c>
      <c r="H37" s="0" t="str">
        <f aca="false">IF(AND($B37="D01",$C37="G4"),H36&amp;IF(H36="","",CHAR(10))&amp;$A37,H36)</f>
        <v/>
      </c>
      <c r="I37" s="0" t="str">
        <f aca="false">IF(AND($B37="D01",$C37="G5"),I36&amp;IF(I36="","",CHAR(10))&amp;$A37,I36)</f>
        <v/>
      </c>
      <c r="J37" s="0" t="str">
        <f aca="false">IF(AND($B37="D01",$C37="G6"),J36&amp;IF(J36="","",CHAR(10))&amp;$A37,J36)</f>
        <v/>
      </c>
      <c r="K37" s="0" t="str">
        <f aca="false">IF(AND($B37="D02",$C37="G0"),K36&amp;IF(K36="","",CHAR(10))&amp;$A37,K36)</f>
        <v/>
      </c>
      <c r="L37" s="363" t="str">
        <f aca="false">IF(AND($B37="D02",$C37="G1"),L36&amp;IF(L36="","",CHAR(10))&amp;$A37,L36)</f>
        <v>◐ 007 人口需求與病例量預測
◐ 008 醫院定位與服務組合
◐ 009 重點專科優先化
◐ 010 病人流程與容量設計
◐ 011 轉診與區域照護網絡
◐ 012 臨床治理與責任架構</v>
      </c>
      <c r="M37" s="0" t="str">
        <f aca="false">IF(AND($B37="D02",$C37="G2"),M36&amp;IF(M36="","",CHAR(10))&amp;$A37,M36)</f>
        <v/>
      </c>
      <c r="N37" s="0" t="str">
        <f aca="false">IF(AND($B37="D02",$C37="G3"),N36&amp;IF(N36="","",CHAR(10))&amp;$A37,N36)</f>
        <v/>
      </c>
      <c r="O37" s="0" t="str">
        <f aca="false">IF(AND($B37="D02",$C37="G4"),O36&amp;IF(O36="","",CHAR(10))&amp;$A37,O36)</f>
        <v/>
      </c>
      <c r="P37" s="0" t="str">
        <f aca="false">IF(AND($B37="D02",$C37="G5"),P36&amp;IF(P36="","",CHAR(10))&amp;$A37,P36)</f>
        <v/>
      </c>
      <c r="Q37" s="0" t="str">
        <f aca="false">IF(AND($B37="D02",$C37="G6"),Q36&amp;IF(Q36="","",CHAR(10))&amp;$A37,Q36)</f>
        <v/>
      </c>
      <c r="R37" s="0" t="str">
        <f aca="false">IF(AND($B37="D03",$C37="G0"),R36&amp;IF(R36="","",CHAR(10))&amp;$A37,R36)</f>
        <v/>
      </c>
      <c r="S37" s="0" t="str">
        <f aca="false">IF(AND($B37="D03",$C37="G1"),S36&amp;IF(S36="","",CHAR(10))&amp;$A37,S36)</f>
        <v>◐ 013 場址與醫院總體規劃</v>
      </c>
      <c r="T37" s="363" t="str">
        <f aca="false">IF(AND($B37="D03",$C37="G2"),T36&amp;IF(T36="","",CHAR(10))&amp;$A37,T36)</f>
        <v>◐ 014 醫療建築功能計畫
◐ 015 感染控制與潔污動線
◐ 019 綠色與氣候韌性醫院</v>
      </c>
      <c r="U37" s="363" t="str">
        <f aca="false">IF(AND($B37="D03",$C37="G3"),U36&amp;IF(U36="","",CHAR(10))&amp;$A37,U36)</f>
        <v>● 016 電力、備援與微電網
◐ 017 醫療氣體與關鍵公用系統
◐ 018 醫療廢棄物與水資源</v>
      </c>
      <c r="V37" s="0" t="str">
        <f aca="false">IF(AND($B37="D03",$C37="G4"),V36&amp;IF(V36="","",CHAR(10))&amp;$A37,V36)</f>
        <v/>
      </c>
      <c r="W37" s="0" t="str">
        <f aca="false">IF(AND($B37="D03",$C37="G5"),W36&amp;IF(W36="","",CHAR(10))&amp;$A37,W36)</f>
        <v/>
      </c>
      <c r="X37" s="0" t="str">
        <f aca="false">IF(AND($B37="D03",$C37="G6"),X36&amp;IF(X36="","",CHAR(10))&amp;$A37,X36)</f>
        <v/>
      </c>
      <c r="Y37" s="0" t="str">
        <f aca="false">IF(AND($B37="D04",$C37="G0"),Y36&amp;IF(Y36="","",CHAR(10))&amp;$A37,Y36)</f>
        <v/>
      </c>
      <c r="Z37" s="0" t="str">
        <f aca="false">IF(AND($B37="D04",$C37="G1"),Z36&amp;IF(Z36="","",CHAR(10))&amp;$A37,Z36)</f>
        <v/>
      </c>
      <c r="AA37" s="0" t="str">
        <f aca="false">IF(AND($B37="D04",$C37="G2"),AA36&amp;IF(AA36="","",CHAR(10))&amp;$A37,AA36)</f>
        <v/>
      </c>
      <c r="AB37" s="0" t="str">
        <f aca="false">IF(AND($B37="D04",$C37="G3"),AB36&amp;IF(AB36="","",CHAR(10))&amp;$A37,AB36)</f>
        <v>● 020 IDC與邊緣運算底座</v>
      </c>
      <c r="AC37" s="363" t="str">
        <f aca="false">IF(AND($B37="D04",$C37="G4"),AC36&amp;IF(AC36="","",CHAR(10))&amp;$A37,AC36)</f>
        <v>● 021 有線無線網路與分區
◐ 022 資安營運與零信任
● 023 BMS與能源管理
● 024 RTLS與資產／人員定位
● 025 智慧病房、護理呼叫與感測
● 026 災難復原與營運持續</v>
      </c>
      <c r="AD37" s="0" t="str">
        <f aca="false">IF(AND($B37="D04",$C37="G5"),AD36&amp;IF(AD36="","",CHAR(10))&amp;$A37,AD36)</f>
        <v/>
      </c>
      <c r="AE37" s="0" t="str">
        <f aca="false">IF(AND($B37="D04",$C37="G6"),AE36&amp;IF(AE36="","",CHAR(10))&amp;$A37,AE36)</f>
        <v/>
      </c>
      <c r="AF37" s="0" t="str">
        <f aca="false">IF(AND($B37="D05",$C37="G0"),AF36&amp;IF(AF36="","",CHAR(10))&amp;$A37,AF36)</f>
        <v/>
      </c>
      <c r="AG37" s="0" t="str">
        <f aca="false">IF(AND($B37="D05",$C37="G1"),AG36&amp;IF(AG36="","",CHAR(10))&amp;$A37,AG36)</f>
        <v/>
      </c>
      <c r="AH37" s="0" t="str">
        <f aca="false">IF(AND($B37="D05",$C37="G2"),AH36&amp;IF(AH36="","",CHAR(10))&amp;$A37,AH36)</f>
        <v>◐ 027 醫材需求與設備計畫</v>
      </c>
      <c r="AI37" s="0" t="str">
        <f aca="false">IF(AND($B37="D05",$C37="G3"),AI36&amp;IF(AI36="","",CHAR(10))&amp;$A37,AI36)</f>
        <v/>
      </c>
      <c r="AJ37" s="363" t="str">
        <f aca="false">IF(AND($B37="D05",$C37="G4"),AJ36&amp;IF(AJ36="","",CHAR(10))&amp;$A37,AJ36)</f>
        <v>○ 028 影像設備、PACS與報告流程
○ 029 實驗室自動化與LIS
○ 030 手術室與重症整合
◐ 031 醫材介接與裝置身分
◐ 032 醫療工程與設備生命週期</v>
      </c>
      <c r="AK37" s="0" t="str">
        <f aca="false">IF(AND($B37="D05",$C37="G5"),AK36&amp;IF(AK36="","",CHAR(10))&amp;$A37,AK36)</f>
        <v/>
      </c>
      <c r="AL37" s="0" t="str">
        <f aca="false">IF(AND($B37="D05",$C37="G6"),AL36&amp;IF(AL36="","",CHAR(10))&amp;$A37,AL36)</f>
        <v/>
      </c>
      <c r="AM37" s="0" t="str">
        <f aca="false">IF(AND($B37="D06",$C37="G0"),AM36&amp;IF(AM36="","",CHAR(10))&amp;$A37,AM36)</f>
        <v/>
      </c>
      <c r="AN37" s="0" t="str">
        <f aca="false">IF(AND($B37="D06",$C37="G1"),AN36&amp;IF(AN36="","",CHAR(10))&amp;$A37,AN36)</f>
        <v/>
      </c>
      <c r="AO37" s="0" t="str">
        <f aca="false">IF(AND($B37="D06",$C37="G2"),AO36&amp;IF(AO36="","",CHAR(10))&amp;$A37,AO36)</f>
        <v/>
      </c>
      <c r="AP37" s="0" t="str">
        <f aca="false">IF(AND($B37="D06",$C37="G3"),AP36&amp;IF(AP36="","",CHAR(10))&amp;$A37,AP36)</f>
        <v>◐ 033 HIS／EMR核心平台</v>
      </c>
      <c r="AQ37" s="0" t="str">
        <f aca="false">IF(AND($B37="D06",$C37="G4"),AQ36&amp;IF(AQ36="","",CHAR(10))&amp;$A37,AQ36)</f>
        <v/>
      </c>
      <c r="AR37" s="0" t="str">
        <f aca="false">IF(AND($B37="D06",$C37="G5"),AR36&amp;IF(AR36="","",CHAR(10))&amp;$A37,AR36)</f>
        <v/>
      </c>
      <c r="AS37" s="0" t="str">
        <f aca="false">IF(AND($B37="D06",$C37="G6"),AS36&amp;IF(AS36="","",CHAR(10))&amp;$A37,AS36)</f>
        <v/>
      </c>
      <c r="AT37" s="0" t="str">
        <f aca="false">IF(AND($B37="D07",$C37="G0"),AT36&amp;IF(AT36="","",CHAR(10))&amp;$A37,AT36)</f>
        <v/>
      </c>
      <c r="AU37" s="0" t="str">
        <f aca="false">IF(AND($B37="D07",$C37="G1"),AU36&amp;IF(AU36="","",CHAR(10))&amp;$A37,AU36)</f>
        <v/>
      </c>
      <c r="AV37" s="0" t="str">
        <f aca="false">IF(AND($B37="D07",$C37="G2"),AV36&amp;IF(AV36="","",CHAR(10))&amp;$A37,AV36)</f>
        <v/>
      </c>
      <c r="AW37" s="0" t="str">
        <f aca="false">IF(AND($B37="D07",$C37="G3"),AW36&amp;IF(AW36="","",CHAR(10))&amp;$A37,AW36)</f>
        <v/>
      </c>
      <c r="AX37" s="0" t="str">
        <f aca="false">IF(AND($B37="D07",$C37="G4"),AX36&amp;IF(AX36="","",CHAR(10))&amp;$A37,AX36)</f>
        <v/>
      </c>
      <c r="AY37" s="0" t="str">
        <f aca="false">IF(AND($B37="D07",$C37="G5"),AY36&amp;IF(AY36="","",CHAR(10))&amp;$A37,AY36)</f>
        <v/>
      </c>
      <c r="AZ37" s="0" t="str">
        <f aca="false">IF(AND($B37="D07",$C37="G6"),AZ36&amp;IF(AZ36="","",CHAR(10))&amp;$A37,AZ36)</f>
        <v/>
      </c>
      <c r="BA37" s="0" t="str">
        <f aca="false">IF(AND($B37="D08",$C37="G0"),BA36&amp;IF(BA36="","",CHAR(10))&amp;$A37,BA36)</f>
        <v/>
      </c>
      <c r="BB37" s="0" t="str">
        <f aca="false">IF(AND($B37="D08",$C37="G1"),BB36&amp;IF(BB36="","",CHAR(10))&amp;$A37,BB36)</f>
        <v/>
      </c>
      <c r="BC37" s="0" t="str">
        <f aca="false">IF(AND($B37="D08",$C37="G2"),BC36&amp;IF(BC36="","",CHAR(10))&amp;$A37,BC36)</f>
        <v/>
      </c>
      <c r="BD37" s="0" t="str">
        <f aca="false">IF(AND($B37="D08",$C37="G3"),BD36&amp;IF(BD36="","",CHAR(10))&amp;$A37,BD36)</f>
        <v/>
      </c>
      <c r="BE37" s="0" t="str">
        <f aca="false">IF(AND($B37="D08",$C37="G4"),BE36&amp;IF(BE36="","",CHAR(10))&amp;$A37,BE36)</f>
        <v/>
      </c>
      <c r="BF37" s="0" t="str">
        <f aca="false">IF(AND($B37="D08",$C37="G5"),BF36&amp;IF(BF36="","",CHAR(10))&amp;$A37,BF36)</f>
        <v/>
      </c>
      <c r="BG37" s="0" t="str">
        <f aca="false">IF(AND($B37="D08",$C37="G6"),BG36&amp;IF(BG36="","",CHAR(10))&amp;$A37,BG36)</f>
        <v/>
      </c>
      <c r="BH37" s="0" t="str">
        <f aca="false">IF(AND($B37="D09",$C37="G0"),BH36&amp;IF(BH36="","",CHAR(10))&amp;$A37,BH36)</f>
        <v/>
      </c>
      <c r="BI37" s="0" t="str">
        <f aca="false">IF(AND($B37="D09",$C37="G1"),BI36&amp;IF(BI36="","",CHAR(10))&amp;$A37,BI36)</f>
        <v/>
      </c>
      <c r="BJ37" s="0" t="str">
        <f aca="false">IF(AND($B37="D09",$C37="G2"),BJ36&amp;IF(BJ36="","",CHAR(10))&amp;$A37,BJ36)</f>
        <v/>
      </c>
      <c r="BK37" s="0" t="str">
        <f aca="false">IF(AND($B37="D09",$C37="G3"),BK36&amp;IF(BK36="","",CHAR(10))&amp;$A37,BK36)</f>
        <v/>
      </c>
      <c r="BL37" s="0" t="str">
        <f aca="false">IF(AND($B37="D09",$C37="G4"),BL36&amp;IF(BL36="","",CHAR(10))&amp;$A37,BL36)</f>
        <v/>
      </c>
      <c r="BM37" s="0" t="str">
        <f aca="false">IF(AND($B37="D09",$C37="G5"),BM36&amp;IF(BM36="","",CHAR(10))&amp;$A37,BM36)</f>
        <v/>
      </c>
      <c r="BN37" s="0" t="str">
        <f aca="false">IF(AND($B37="D09",$C37="G6"),BN36&amp;IF(BN36="","",CHAR(10))&amp;$A37,BN36)</f>
        <v/>
      </c>
      <c r="BO37" s="0" t="str">
        <f aca="false">IF(AND($B37="D10",$C37="G0"),BO36&amp;IF(BO36="","",CHAR(10))&amp;$A37,BO36)</f>
        <v/>
      </c>
      <c r="BP37" s="0" t="str">
        <f aca="false">IF(AND($B37="D10",$C37="G1"),BP36&amp;IF(BP36="","",CHAR(10))&amp;$A37,BP36)</f>
        <v/>
      </c>
      <c r="BQ37" s="0" t="str">
        <f aca="false">IF(AND($B37="D10",$C37="G2"),BQ36&amp;IF(BQ36="","",CHAR(10))&amp;$A37,BQ36)</f>
        <v/>
      </c>
      <c r="BR37" s="0" t="str">
        <f aca="false">IF(AND($B37="D10",$C37="G3"),BR36&amp;IF(BR36="","",CHAR(10))&amp;$A37,BR36)</f>
        <v/>
      </c>
      <c r="BS37" s="0" t="str">
        <f aca="false">IF(AND($B37="D10",$C37="G4"),BS36&amp;IF(BS36="","",CHAR(10))&amp;$A37,BS36)</f>
        <v/>
      </c>
      <c r="BT37" s="0" t="str">
        <f aca="false">IF(AND($B37="D10",$C37="G5"),BT36&amp;IF(BT36="","",CHAR(10))&amp;$A37,BT36)</f>
        <v/>
      </c>
      <c r="BU37" s="0" t="str">
        <f aca="false">IF(AND($B37="D10",$C37="G6"),BU36&amp;IF(BU36="","",CHAR(10))&amp;$A37,BU36)</f>
        <v/>
      </c>
      <c r="BX37" s="0" t="str">
        <f aca="false">IF(AND(03_能力總表_Master!$A37&lt;&gt;"",LEFT(03_能力總表_Master!$H37,2)="缺口"),MAX($BX$4:BX36)+1,"")</f>
        <v/>
      </c>
      <c r="BY37" s="0" t="str">
        <f aca="false">IF(AND(03_能力總表_Master!$A37&lt;&gt;"",03_能力總表_Master!$J37=12_夥伴視角_PartnerView!$C$4),MAX($BY$4:BY36)+1,"")</f>
        <v/>
      </c>
      <c r="BZ37" s="0" t="n">
        <f aca="false">IF(AND(05_法規門檻_Gates!$A37&lt;&gt;"",05_法規門檻_Gates!$E37="強制",05_法規門檻_Gates!$F37="待確認"),MAX($BZ$4:BZ36)+1,"")</f>
        <v>8</v>
      </c>
      <c r="CC37" s="0" t="str">
        <f aca="false">IF(AND(03_能力總表_Master!$A37&lt;&gt;"",IFERROR(INDEX(16_能力商機矩陣_CapOppMap!$D37:$CO37,MATCH(LEFT(17_商機作戰卡_OppView!$C$4,6),16_能力商機矩陣_CapOppMap!$D$4:$CO$4,0)),"")="✓"),MAX($CC$4:CC36)+1,"")</f>
        <v/>
      </c>
    </row>
    <row r="38" customFormat="false" ht="95.5" hidden="false" customHeight="false" outlineLevel="0" collapsed="false">
      <c r="A38" s="0" t="str">
        <f aca="false">IF(03_能力總表_Master!$A38="","",IF(LEFT(03_能力總表_Master!$H38,2)="群晶","● ",IF(ISNUMBER(SEARCH("已確認",03_能力總表_Master!$H38)),"◆ ",IF(ISNUMBER(SEARCH("缺口",03_能力總表_Master!$H38)),"○ ","◐ ")))&amp;RIGHT(03_能力總表_Master!$A38,3)&amp;" "&amp;03_能力總表_Master!$E38)</f>
        <v>◐ 034 FHIR介接與API管理</v>
      </c>
      <c r="B38" s="0" t="str">
        <f aca="false">IF(03_能力總表_Master!$A38="","",LEFT(03_能力總表_Master!$B38,3))</f>
        <v>D06</v>
      </c>
      <c r="C38" s="0" t="str">
        <f aca="false">IF(03_能力總表_Master!$A38="","",03_能力總表_Master!$C38)</f>
        <v>G4</v>
      </c>
      <c r="D38" s="363" t="str">
        <f aca="false">IF(AND($B38="D01",$C38="G0"),D37&amp;IF(D37="","",CHAR(10))&amp;$A38,D37)</f>
        <v>◐ 001 政府授權與計畫章程
◐ 002 利害關係人與權力地圖
◐ 005 聯盟治理與利益衝突</v>
      </c>
      <c r="E38" s="363" t="str">
        <f aca="false">IF(AND($B38="D01",$C38="G1"),E37&amp;IF(E37="","",CHAR(10))&amp;$A38,E37)</f>
        <v>◐ 003 交易模式選擇
◐ 004 法規與執照路徑</v>
      </c>
      <c r="F38" s="0" t="str">
        <f aca="false">IF(AND($B38="D01",$C38="G2"),F37&amp;IF(F37="","",CHAR(10))&amp;$A38,F37)</f>
        <v>◐ 006 績效契約與變更控制</v>
      </c>
      <c r="G38" s="0" t="str">
        <f aca="false">IF(AND($B38="D01",$C38="G3"),G37&amp;IF(G37="","",CHAR(10))&amp;$A38,G37)</f>
        <v/>
      </c>
      <c r="H38" s="0" t="str">
        <f aca="false">IF(AND($B38="D01",$C38="G4"),H37&amp;IF(H37="","",CHAR(10))&amp;$A38,H37)</f>
        <v/>
      </c>
      <c r="I38" s="0" t="str">
        <f aca="false">IF(AND($B38="D01",$C38="G5"),I37&amp;IF(I37="","",CHAR(10))&amp;$A38,I37)</f>
        <v/>
      </c>
      <c r="J38" s="0" t="str">
        <f aca="false">IF(AND($B38="D01",$C38="G6"),J37&amp;IF(J37="","",CHAR(10))&amp;$A38,J37)</f>
        <v/>
      </c>
      <c r="K38" s="0" t="str">
        <f aca="false">IF(AND($B38="D02",$C38="G0"),K37&amp;IF(K37="","",CHAR(10))&amp;$A38,K37)</f>
        <v/>
      </c>
      <c r="L38" s="363" t="str">
        <f aca="false">IF(AND($B38="D02",$C38="G1"),L37&amp;IF(L37="","",CHAR(10))&amp;$A38,L37)</f>
        <v>◐ 007 人口需求與病例量預測
◐ 008 醫院定位與服務組合
◐ 009 重點專科優先化
◐ 010 病人流程與容量設計
◐ 011 轉診與區域照護網絡
◐ 012 臨床治理與責任架構</v>
      </c>
      <c r="M38" s="0" t="str">
        <f aca="false">IF(AND($B38="D02",$C38="G2"),M37&amp;IF(M37="","",CHAR(10))&amp;$A38,M37)</f>
        <v/>
      </c>
      <c r="N38" s="0" t="str">
        <f aca="false">IF(AND($B38="D02",$C38="G3"),N37&amp;IF(N37="","",CHAR(10))&amp;$A38,N37)</f>
        <v/>
      </c>
      <c r="O38" s="0" t="str">
        <f aca="false">IF(AND($B38="D02",$C38="G4"),O37&amp;IF(O37="","",CHAR(10))&amp;$A38,O37)</f>
        <v/>
      </c>
      <c r="P38" s="0" t="str">
        <f aca="false">IF(AND($B38="D02",$C38="G5"),P37&amp;IF(P37="","",CHAR(10))&amp;$A38,P37)</f>
        <v/>
      </c>
      <c r="Q38" s="0" t="str">
        <f aca="false">IF(AND($B38="D02",$C38="G6"),Q37&amp;IF(Q37="","",CHAR(10))&amp;$A38,Q37)</f>
        <v/>
      </c>
      <c r="R38" s="0" t="str">
        <f aca="false">IF(AND($B38="D03",$C38="G0"),R37&amp;IF(R37="","",CHAR(10))&amp;$A38,R37)</f>
        <v/>
      </c>
      <c r="S38" s="0" t="str">
        <f aca="false">IF(AND($B38="D03",$C38="G1"),S37&amp;IF(S37="","",CHAR(10))&amp;$A38,S37)</f>
        <v>◐ 013 場址與醫院總體規劃</v>
      </c>
      <c r="T38" s="363" t="str">
        <f aca="false">IF(AND($B38="D03",$C38="G2"),T37&amp;IF(T37="","",CHAR(10))&amp;$A38,T37)</f>
        <v>◐ 014 醫療建築功能計畫
◐ 015 感染控制與潔污動線
◐ 019 綠色與氣候韌性醫院</v>
      </c>
      <c r="U38" s="363" t="str">
        <f aca="false">IF(AND($B38="D03",$C38="G3"),U37&amp;IF(U37="","",CHAR(10))&amp;$A38,U37)</f>
        <v>● 016 電力、備援與微電網
◐ 017 醫療氣體與關鍵公用系統
◐ 018 醫療廢棄物與水資源</v>
      </c>
      <c r="V38" s="0" t="str">
        <f aca="false">IF(AND($B38="D03",$C38="G4"),V37&amp;IF(V37="","",CHAR(10))&amp;$A38,V37)</f>
        <v/>
      </c>
      <c r="W38" s="0" t="str">
        <f aca="false">IF(AND($B38="D03",$C38="G5"),W37&amp;IF(W37="","",CHAR(10))&amp;$A38,W37)</f>
        <v/>
      </c>
      <c r="X38" s="0" t="str">
        <f aca="false">IF(AND($B38="D03",$C38="G6"),X37&amp;IF(X37="","",CHAR(10))&amp;$A38,X37)</f>
        <v/>
      </c>
      <c r="Y38" s="0" t="str">
        <f aca="false">IF(AND($B38="D04",$C38="G0"),Y37&amp;IF(Y37="","",CHAR(10))&amp;$A38,Y37)</f>
        <v/>
      </c>
      <c r="Z38" s="0" t="str">
        <f aca="false">IF(AND($B38="D04",$C38="G1"),Z37&amp;IF(Z37="","",CHAR(10))&amp;$A38,Z37)</f>
        <v/>
      </c>
      <c r="AA38" s="0" t="str">
        <f aca="false">IF(AND($B38="D04",$C38="G2"),AA37&amp;IF(AA37="","",CHAR(10))&amp;$A38,AA37)</f>
        <v/>
      </c>
      <c r="AB38" s="0" t="str">
        <f aca="false">IF(AND($B38="D04",$C38="G3"),AB37&amp;IF(AB37="","",CHAR(10))&amp;$A38,AB37)</f>
        <v>● 020 IDC與邊緣運算底座</v>
      </c>
      <c r="AC38" s="363" t="str">
        <f aca="false">IF(AND($B38="D04",$C38="G4"),AC37&amp;IF(AC37="","",CHAR(10))&amp;$A38,AC37)</f>
        <v>● 021 有線無線網路與分區
◐ 022 資安營運與零信任
● 023 BMS與能源管理
● 024 RTLS與資產／人員定位
● 025 智慧病房、護理呼叫與感測
● 026 災難復原與營運持續</v>
      </c>
      <c r="AD38" s="0" t="str">
        <f aca="false">IF(AND($B38="D04",$C38="G5"),AD37&amp;IF(AD37="","",CHAR(10))&amp;$A38,AD37)</f>
        <v/>
      </c>
      <c r="AE38" s="0" t="str">
        <f aca="false">IF(AND($B38="D04",$C38="G6"),AE37&amp;IF(AE37="","",CHAR(10))&amp;$A38,AE37)</f>
        <v/>
      </c>
      <c r="AF38" s="0" t="str">
        <f aca="false">IF(AND($B38="D05",$C38="G0"),AF37&amp;IF(AF37="","",CHAR(10))&amp;$A38,AF37)</f>
        <v/>
      </c>
      <c r="AG38" s="0" t="str">
        <f aca="false">IF(AND($B38="D05",$C38="G1"),AG37&amp;IF(AG37="","",CHAR(10))&amp;$A38,AG37)</f>
        <v/>
      </c>
      <c r="AH38" s="0" t="str">
        <f aca="false">IF(AND($B38="D05",$C38="G2"),AH37&amp;IF(AH37="","",CHAR(10))&amp;$A38,AH37)</f>
        <v>◐ 027 醫材需求與設備計畫</v>
      </c>
      <c r="AI38" s="0" t="str">
        <f aca="false">IF(AND($B38="D05",$C38="G3"),AI37&amp;IF(AI37="","",CHAR(10))&amp;$A38,AI37)</f>
        <v/>
      </c>
      <c r="AJ38" s="363" t="str">
        <f aca="false">IF(AND($B38="D05",$C38="G4"),AJ37&amp;IF(AJ37="","",CHAR(10))&amp;$A38,AJ37)</f>
        <v>○ 028 影像設備、PACS與報告流程
○ 029 實驗室自動化與LIS
○ 030 手術室與重症整合
◐ 031 醫材介接與裝置身分
◐ 032 醫療工程與設備生命週期</v>
      </c>
      <c r="AK38" s="0" t="str">
        <f aca="false">IF(AND($B38="D05",$C38="G5"),AK37&amp;IF(AK37="","",CHAR(10))&amp;$A38,AK37)</f>
        <v/>
      </c>
      <c r="AL38" s="0" t="str">
        <f aca="false">IF(AND($B38="D05",$C38="G6"),AL37&amp;IF(AL37="","",CHAR(10))&amp;$A38,AL37)</f>
        <v/>
      </c>
      <c r="AM38" s="0" t="str">
        <f aca="false">IF(AND($B38="D06",$C38="G0"),AM37&amp;IF(AM37="","",CHAR(10))&amp;$A38,AM37)</f>
        <v/>
      </c>
      <c r="AN38" s="0" t="str">
        <f aca="false">IF(AND($B38="D06",$C38="G1"),AN37&amp;IF(AN37="","",CHAR(10))&amp;$A38,AN37)</f>
        <v/>
      </c>
      <c r="AO38" s="0" t="str">
        <f aca="false">IF(AND($B38="D06",$C38="G2"),AO37&amp;IF(AO37="","",CHAR(10))&amp;$A38,AO37)</f>
        <v/>
      </c>
      <c r="AP38" s="0" t="str">
        <f aca="false">IF(AND($B38="D06",$C38="G3"),AP37&amp;IF(AP37="","",CHAR(10))&amp;$A38,AP37)</f>
        <v>◐ 033 HIS／EMR核心平台</v>
      </c>
      <c r="AQ38" s="0" t="str">
        <f aca="false">IF(AND($B38="D06",$C38="G4"),AQ37&amp;IF(AQ37="","",CHAR(10))&amp;$A38,AQ37)</f>
        <v>◐ 034 FHIR介接與API管理</v>
      </c>
      <c r="AR38" s="0" t="str">
        <f aca="false">IF(AND($B38="D06",$C38="G5"),AR37&amp;IF(AR37="","",CHAR(10))&amp;$A38,AR37)</f>
        <v/>
      </c>
      <c r="AS38" s="0" t="str">
        <f aca="false">IF(AND($B38="D06",$C38="G6"),AS37&amp;IF(AS37="","",CHAR(10))&amp;$A38,AS37)</f>
        <v/>
      </c>
      <c r="AT38" s="0" t="str">
        <f aca="false">IF(AND($B38="D07",$C38="G0"),AT37&amp;IF(AT37="","",CHAR(10))&amp;$A38,AT37)</f>
        <v/>
      </c>
      <c r="AU38" s="0" t="str">
        <f aca="false">IF(AND($B38="D07",$C38="G1"),AU37&amp;IF(AU37="","",CHAR(10))&amp;$A38,AU37)</f>
        <v/>
      </c>
      <c r="AV38" s="0" t="str">
        <f aca="false">IF(AND($B38="D07",$C38="G2"),AV37&amp;IF(AV37="","",CHAR(10))&amp;$A38,AV37)</f>
        <v/>
      </c>
      <c r="AW38" s="0" t="str">
        <f aca="false">IF(AND($B38="D07",$C38="G3"),AW37&amp;IF(AW37="","",CHAR(10))&amp;$A38,AW37)</f>
        <v/>
      </c>
      <c r="AX38" s="0" t="str">
        <f aca="false">IF(AND($B38="D07",$C38="G4"),AX37&amp;IF(AX37="","",CHAR(10))&amp;$A38,AX37)</f>
        <v/>
      </c>
      <c r="AY38" s="0" t="str">
        <f aca="false">IF(AND($B38="D07",$C38="G5"),AY37&amp;IF(AY37="","",CHAR(10))&amp;$A38,AY37)</f>
        <v/>
      </c>
      <c r="AZ38" s="0" t="str">
        <f aca="false">IF(AND($B38="D07",$C38="G6"),AZ37&amp;IF(AZ37="","",CHAR(10))&amp;$A38,AZ37)</f>
        <v/>
      </c>
      <c r="BA38" s="0" t="str">
        <f aca="false">IF(AND($B38="D08",$C38="G0"),BA37&amp;IF(BA37="","",CHAR(10))&amp;$A38,BA37)</f>
        <v/>
      </c>
      <c r="BB38" s="0" t="str">
        <f aca="false">IF(AND($B38="D08",$C38="G1"),BB37&amp;IF(BB37="","",CHAR(10))&amp;$A38,BB37)</f>
        <v/>
      </c>
      <c r="BC38" s="0" t="str">
        <f aca="false">IF(AND($B38="D08",$C38="G2"),BC37&amp;IF(BC37="","",CHAR(10))&amp;$A38,BC37)</f>
        <v/>
      </c>
      <c r="BD38" s="0" t="str">
        <f aca="false">IF(AND($B38="D08",$C38="G3"),BD37&amp;IF(BD37="","",CHAR(10))&amp;$A38,BD37)</f>
        <v/>
      </c>
      <c r="BE38" s="0" t="str">
        <f aca="false">IF(AND($B38="D08",$C38="G4"),BE37&amp;IF(BE37="","",CHAR(10))&amp;$A38,BE37)</f>
        <v/>
      </c>
      <c r="BF38" s="0" t="str">
        <f aca="false">IF(AND($B38="D08",$C38="G5"),BF37&amp;IF(BF37="","",CHAR(10))&amp;$A38,BF37)</f>
        <v/>
      </c>
      <c r="BG38" s="0" t="str">
        <f aca="false">IF(AND($B38="D08",$C38="G6"),BG37&amp;IF(BG37="","",CHAR(10))&amp;$A38,BG37)</f>
        <v/>
      </c>
      <c r="BH38" s="0" t="str">
        <f aca="false">IF(AND($B38="D09",$C38="G0"),BH37&amp;IF(BH37="","",CHAR(10))&amp;$A38,BH37)</f>
        <v/>
      </c>
      <c r="BI38" s="0" t="str">
        <f aca="false">IF(AND($B38="D09",$C38="G1"),BI37&amp;IF(BI37="","",CHAR(10))&amp;$A38,BI37)</f>
        <v/>
      </c>
      <c r="BJ38" s="0" t="str">
        <f aca="false">IF(AND($B38="D09",$C38="G2"),BJ37&amp;IF(BJ37="","",CHAR(10))&amp;$A38,BJ37)</f>
        <v/>
      </c>
      <c r="BK38" s="0" t="str">
        <f aca="false">IF(AND($B38="D09",$C38="G3"),BK37&amp;IF(BK37="","",CHAR(10))&amp;$A38,BK37)</f>
        <v/>
      </c>
      <c r="BL38" s="0" t="str">
        <f aca="false">IF(AND($B38="D09",$C38="G4"),BL37&amp;IF(BL37="","",CHAR(10))&amp;$A38,BL37)</f>
        <v/>
      </c>
      <c r="BM38" s="0" t="str">
        <f aca="false">IF(AND($B38="D09",$C38="G5"),BM37&amp;IF(BM37="","",CHAR(10))&amp;$A38,BM37)</f>
        <v/>
      </c>
      <c r="BN38" s="0" t="str">
        <f aca="false">IF(AND($B38="D09",$C38="G6"),BN37&amp;IF(BN37="","",CHAR(10))&amp;$A38,BN37)</f>
        <v/>
      </c>
      <c r="BO38" s="0" t="str">
        <f aca="false">IF(AND($B38="D10",$C38="G0"),BO37&amp;IF(BO37="","",CHAR(10))&amp;$A38,BO37)</f>
        <v/>
      </c>
      <c r="BP38" s="0" t="str">
        <f aca="false">IF(AND($B38="D10",$C38="G1"),BP37&amp;IF(BP37="","",CHAR(10))&amp;$A38,BP37)</f>
        <v/>
      </c>
      <c r="BQ38" s="0" t="str">
        <f aca="false">IF(AND($B38="D10",$C38="G2"),BQ37&amp;IF(BQ37="","",CHAR(10))&amp;$A38,BQ37)</f>
        <v/>
      </c>
      <c r="BR38" s="0" t="str">
        <f aca="false">IF(AND($B38="D10",$C38="G3"),BR37&amp;IF(BR37="","",CHAR(10))&amp;$A38,BR37)</f>
        <v/>
      </c>
      <c r="BS38" s="0" t="str">
        <f aca="false">IF(AND($B38="D10",$C38="G4"),BS37&amp;IF(BS37="","",CHAR(10))&amp;$A38,BS37)</f>
        <v/>
      </c>
      <c r="BT38" s="0" t="str">
        <f aca="false">IF(AND($B38="D10",$C38="G5"),BT37&amp;IF(BT37="","",CHAR(10))&amp;$A38,BT37)</f>
        <v/>
      </c>
      <c r="BU38" s="0" t="str">
        <f aca="false">IF(AND($B38="D10",$C38="G6"),BU37&amp;IF(BU37="","",CHAR(10))&amp;$A38,BU37)</f>
        <v/>
      </c>
      <c r="BX38" s="0" t="str">
        <f aca="false">IF(AND(03_能力總表_Master!$A38&lt;&gt;"",LEFT(03_能力總表_Master!$H38,2)="缺口"),MAX($BX$4:BX37)+1,"")</f>
        <v/>
      </c>
      <c r="BY38" s="0" t="str">
        <f aca="false">IF(AND(03_能力總表_Master!$A38&lt;&gt;"",03_能力總表_Master!$J38=12_夥伴視角_PartnerView!$C$4),MAX($BY$4:BY37)+1,"")</f>
        <v/>
      </c>
      <c r="BZ38" s="0" t="n">
        <f aca="false">IF(AND(05_法規門檻_Gates!$A38&lt;&gt;"",05_法規門檻_Gates!$E38="強制",05_法規門檻_Gates!$F38="待確認"),MAX($BZ$4:BZ37)+1,"")</f>
        <v>9</v>
      </c>
      <c r="CC38" s="0" t="str">
        <f aca="false">IF(AND(03_能力總表_Master!$A38&lt;&gt;"",IFERROR(INDEX(16_能力商機矩陣_CapOppMap!$D38:$CO38,MATCH(LEFT(17_商機作戰卡_OppView!$C$4,6),16_能力商機矩陣_CapOppMap!$D$4:$CO$4,0)),"")="✓"),MAX($CC$4:CC37)+1,"")</f>
        <v/>
      </c>
    </row>
    <row r="39" customFormat="false" ht="95.5" hidden="false" customHeight="false" outlineLevel="0" collapsed="false">
      <c r="A39" s="0" t="str">
        <f aca="false">IF(03_能力總表_Master!$A39="","",IF(LEFT(03_能力總表_Master!$H39,2)="群晶","● ",IF(ISNUMBER(SEARCH("已確認",03_能力總表_Master!$H39)),"◆ ",IF(ISNUMBER(SEARCH("缺口",03_能力總表_Master!$H39)),"○ ","◐ ")))&amp;RIGHT(03_能力總表_Master!$A39,3)&amp;" "&amp;03_能力總表_Master!$E39)</f>
        <v>○ 035 主病人索引與身分整合</v>
      </c>
      <c r="B39" s="0" t="str">
        <f aca="false">IF(03_能力總表_Master!$A39="","",LEFT(03_能力總表_Master!$B39,3))</f>
        <v>D06</v>
      </c>
      <c r="C39" s="0" t="str">
        <f aca="false">IF(03_能力總表_Master!$A39="","",03_能力總表_Master!$C39)</f>
        <v>G4</v>
      </c>
      <c r="D39" s="363" t="str">
        <f aca="false">IF(AND($B39="D01",$C39="G0"),D38&amp;IF(D38="","",CHAR(10))&amp;$A39,D38)</f>
        <v>◐ 001 政府授權與計畫章程
◐ 002 利害關係人與權力地圖
◐ 005 聯盟治理與利益衝突</v>
      </c>
      <c r="E39" s="363" t="str">
        <f aca="false">IF(AND($B39="D01",$C39="G1"),E38&amp;IF(E38="","",CHAR(10))&amp;$A39,E38)</f>
        <v>◐ 003 交易模式選擇
◐ 004 法規與執照路徑</v>
      </c>
      <c r="F39" s="0" t="str">
        <f aca="false">IF(AND($B39="D01",$C39="G2"),F38&amp;IF(F38="","",CHAR(10))&amp;$A39,F38)</f>
        <v>◐ 006 績效契約與變更控制</v>
      </c>
      <c r="G39" s="0" t="str">
        <f aca="false">IF(AND($B39="D01",$C39="G3"),G38&amp;IF(G38="","",CHAR(10))&amp;$A39,G38)</f>
        <v/>
      </c>
      <c r="H39" s="0" t="str">
        <f aca="false">IF(AND($B39="D01",$C39="G4"),H38&amp;IF(H38="","",CHAR(10))&amp;$A39,H38)</f>
        <v/>
      </c>
      <c r="I39" s="0" t="str">
        <f aca="false">IF(AND($B39="D01",$C39="G5"),I38&amp;IF(I38="","",CHAR(10))&amp;$A39,I38)</f>
        <v/>
      </c>
      <c r="J39" s="0" t="str">
        <f aca="false">IF(AND($B39="D01",$C39="G6"),J38&amp;IF(J38="","",CHAR(10))&amp;$A39,J38)</f>
        <v/>
      </c>
      <c r="K39" s="0" t="str">
        <f aca="false">IF(AND($B39="D02",$C39="G0"),K38&amp;IF(K38="","",CHAR(10))&amp;$A39,K38)</f>
        <v/>
      </c>
      <c r="L39" s="363" t="str">
        <f aca="false">IF(AND($B39="D02",$C39="G1"),L38&amp;IF(L38="","",CHAR(10))&amp;$A39,L38)</f>
        <v>◐ 007 人口需求與病例量預測
◐ 008 醫院定位與服務組合
◐ 009 重點專科優先化
◐ 010 病人流程與容量設計
◐ 011 轉診與區域照護網絡
◐ 012 臨床治理與責任架構</v>
      </c>
      <c r="M39" s="0" t="str">
        <f aca="false">IF(AND($B39="D02",$C39="G2"),M38&amp;IF(M38="","",CHAR(10))&amp;$A39,M38)</f>
        <v/>
      </c>
      <c r="N39" s="0" t="str">
        <f aca="false">IF(AND($B39="D02",$C39="G3"),N38&amp;IF(N38="","",CHAR(10))&amp;$A39,N38)</f>
        <v/>
      </c>
      <c r="O39" s="0" t="str">
        <f aca="false">IF(AND($B39="D02",$C39="G4"),O38&amp;IF(O38="","",CHAR(10))&amp;$A39,O38)</f>
        <v/>
      </c>
      <c r="P39" s="0" t="str">
        <f aca="false">IF(AND($B39="D02",$C39="G5"),P38&amp;IF(P38="","",CHAR(10))&amp;$A39,P38)</f>
        <v/>
      </c>
      <c r="Q39" s="0" t="str">
        <f aca="false">IF(AND($B39="D02",$C39="G6"),Q38&amp;IF(Q38="","",CHAR(10))&amp;$A39,Q38)</f>
        <v/>
      </c>
      <c r="R39" s="0" t="str">
        <f aca="false">IF(AND($B39="D03",$C39="G0"),R38&amp;IF(R38="","",CHAR(10))&amp;$A39,R38)</f>
        <v/>
      </c>
      <c r="S39" s="0" t="str">
        <f aca="false">IF(AND($B39="D03",$C39="G1"),S38&amp;IF(S38="","",CHAR(10))&amp;$A39,S38)</f>
        <v>◐ 013 場址與醫院總體規劃</v>
      </c>
      <c r="T39" s="363" t="str">
        <f aca="false">IF(AND($B39="D03",$C39="G2"),T38&amp;IF(T38="","",CHAR(10))&amp;$A39,T38)</f>
        <v>◐ 014 醫療建築功能計畫
◐ 015 感染控制與潔污動線
◐ 019 綠色與氣候韌性醫院</v>
      </c>
      <c r="U39" s="363" t="str">
        <f aca="false">IF(AND($B39="D03",$C39="G3"),U38&amp;IF(U38="","",CHAR(10))&amp;$A39,U38)</f>
        <v>● 016 電力、備援與微電網
◐ 017 醫療氣體與關鍵公用系統
◐ 018 醫療廢棄物與水資源</v>
      </c>
      <c r="V39" s="0" t="str">
        <f aca="false">IF(AND($B39="D03",$C39="G4"),V38&amp;IF(V38="","",CHAR(10))&amp;$A39,V38)</f>
        <v/>
      </c>
      <c r="W39" s="0" t="str">
        <f aca="false">IF(AND($B39="D03",$C39="G5"),W38&amp;IF(W38="","",CHAR(10))&amp;$A39,W38)</f>
        <v/>
      </c>
      <c r="X39" s="0" t="str">
        <f aca="false">IF(AND($B39="D03",$C39="G6"),X38&amp;IF(X38="","",CHAR(10))&amp;$A39,X38)</f>
        <v/>
      </c>
      <c r="Y39" s="0" t="str">
        <f aca="false">IF(AND($B39="D04",$C39="G0"),Y38&amp;IF(Y38="","",CHAR(10))&amp;$A39,Y38)</f>
        <v/>
      </c>
      <c r="Z39" s="0" t="str">
        <f aca="false">IF(AND($B39="D04",$C39="G1"),Z38&amp;IF(Z38="","",CHAR(10))&amp;$A39,Z38)</f>
        <v/>
      </c>
      <c r="AA39" s="0" t="str">
        <f aca="false">IF(AND($B39="D04",$C39="G2"),AA38&amp;IF(AA38="","",CHAR(10))&amp;$A39,AA38)</f>
        <v/>
      </c>
      <c r="AB39" s="0" t="str">
        <f aca="false">IF(AND($B39="D04",$C39="G3"),AB38&amp;IF(AB38="","",CHAR(10))&amp;$A39,AB38)</f>
        <v>● 020 IDC與邊緣運算底座</v>
      </c>
      <c r="AC39" s="363" t="str">
        <f aca="false">IF(AND($B39="D04",$C39="G4"),AC38&amp;IF(AC38="","",CHAR(10))&amp;$A39,AC38)</f>
        <v>● 021 有線無線網路與分區
◐ 022 資安營運與零信任
● 023 BMS與能源管理
● 024 RTLS與資產／人員定位
● 025 智慧病房、護理呼叫與感測
● 026 災難復原與營運持續</v>
      </c>
      <c r="AD39" s="0" t="str">
        <f aca="false">IF(AND($B39="D04",$C39="G5"),AD38&amp;IF(AD38="","",CHAR(10))&amp;$A39,AD38)</f>
        <v/>
      </c>
      <c r="AE39" s="0" t="str">
        <f aca="false">IF(AND($B39="D04",$C39="G6"),AE38&amp;IF(AE38="","",CHAR(10))&amp;$A39,AE38)</f>
        <v/>
      </c>
      <c r="AF39" s="0" t="str">
        <f aca="false">IF(AND($B39="D05",$C39="G0"),AF38&amp;IF(AF38="","",CHAR(10))&amp;$A39,AF38)</f>
        <v/>
      </c>
      <c r="AG39" s="0" t="str">
        <f aca="false">IF(AND($B39="D05",$C39="G1"),AG38&amp;IF(AG38="","",CHAR(10))&amp;$A39,AG38)</f>
        <v/>
      </c>
      <c r="AH39" s="0" t="str">
        <f aca="false">IF(AND($B39="D05",$C39="G2"),AH38&amp;IF(AH38="","",CHAR(10))&amp;$A39,AH38)</f>
        <v>◐ 027 醫材需求與設備計畫</v>
      </c>
      <c r="AI39" s="0" t="str">
        <f aca="false">IF(AND($B39="D05",$C39="G3"),AI38&amp;IF(AI38="","",CHAR(10))&amp;$A39,AI38)</f>
        <v/>
      </c>
      <c r="AJ39" s="363" t="str">
        <f aca="false">IF(AND($B39="D05",$C39="G4"),AJ38&amp;IF(AJ38="","",CHAR(10))&amp;$A39,AJ38)</f>
        <v>○ 028 影像設備、PACS與報告流程
○ 029 實驗室自動化與LIS
○ 030 手術室與重症整合
◐ 031 醫材介接與裝置身分
◐ 032 醫療工程與設備生命週期</v>
      </c>
      <c r="AK39" s="0" t="str">
        <f aca="false">IF(AND($B39="D05",$C39="G5"),AK38&amp;IF(AK38="","",CHAR(10))&amp;$A39,AK38)</f>
        <v/>
      </c>
      <c r="AL39" s="0" t="str">
        <f aca="false">IF(AND($B39="D05",$C39="G6"),AL38&amp;IF(AL38="","",CHAR(10))&amp;$A39,AL38)</f>
        <v/>
      </c>
      <c r="AM39" s="0" t="str">
        <f aca="false">IF(AND($B39="D06",$C39="G0"),AM38&amp;IF(AM38="","",CHAR(10))&amp;$A39,AM38)</f>
        <v/>
      </c>
      <c r="AN39" s="0" t="str">
        <f aca="false">IF(AND($B39="D06",$C39="G1"),AN38&amp;IF(AN38="","",CHAR(10))&amp;$A39,AN38)</f>
        <v/>
      </c>
      <c r="AO39" s="0" t="str">
        <f aca="false">IF(AND($B39="D06",$C39="G2"),AO38&amp;IF(AO38="","",CHAR(10))&amp;$A39,AO38)</f>
        <v/>
      </c>
      <c r="AP39" s="0" t="str">
        <f aca="false">IF(AND($B39="D06",$C39="G3"),AP38&amp;IF(AP38="","",CHAR(10))&amp;$A39,AP38)</f>
        <v>◐ 033 HIS／EMR核心平台</v>
      </c>
      <c r="AQ39" s="363" t="str">
        <f aca="false">IF(AND($B39="D06",$C39="G4"),AQ38&amp;IF(AQ38="","",CHAR(10))&amp;$A39,AQ38)</f>
        <v>◐ 034 FHIR介接與API管理
○ 035 主病人索引與身分整合</v>
      </c>
      <c r="AR39" s="0" t="str">
        <f aca="false">IF(AND($B39="D06",$C39="G5"),AR38&amp;IF(AR38="","",CHAR(10))&amp;$A39,AR38)</f>
        <v/>
      </c>
      <c r="AS39" s="0" t="str">
        <f aca="false">IF(AND($B39="D06",$C39="G6"),AS38&amp;IF(AS38="","",CHAR(10))&amp;$A39,AS38)</f>
        <v/>
      </c>
      <c r="AT39" s="0" t="str">
        <f aca="false">IF(AND($B39="D07",$C39="G0"),AT38&amp;IF(AT38="","",CHAR(10))&amp;$A39,AT38)</f>
        <v/>
      </c>
      <c r="AU39" s="0" t="str">
        <f aca="false">IF(AND($B39="D07",$C39="G1"),AU38&amp;IF(AU38="","",CHAR(10))&amp;$A39,AU38)</f>
        <v/>
      </c>
      <c r="AV39" s="0" t="str">
        <f aca="false">IF(AND($B39="D07",$C39="G2"),AV38&amp;IF(AV38="","",CHAR(10))&amp;$A39,AV38)</f>
        <v/>
      </c>
      <c r="AW39" s="0" t="str">
        <f aca="false">IF(AND($B39="D07",$C39="G3"),AW38&amp;IF(AW38="","",CHAR(10))&amp;$A39,AW38)</f>
        <v/>
      </c>
      <c r="AX39" s="0" t="str">
        <f aca="false">IF(AND($B39="D07",$C39="G4"),AX38&amp;IF(AX38="","",CHAR(10))&amp;$A39,AX38)</f>
        <v/>
      </c>
      <c r="AY39" s="0" t="str">
        <f aca="false">IF(AND($B39="D07",$C39="G5"),AY38&amp;IF(AY38="","",CHAR(10))&amp;$A39,AY38)</f>
        <v/>
      </c>
      <c r="AZ39" s="0" t="str">
        <f aca="false">IF(AND($B39="D07",$C39="G6"),AZ38&amp;IF(AZ38="","",CHAR(10))&amp;$A39,AZ38)</f>
        <v/>
      </c>
      <c r="BA39" s="0" t="str">
        <f aca="false">IF(AND($B39="D08",$C39="G0"),BA38&amp;IF(BA38="","",CHAR(10))&amp;$A39,BA38)</f>
        <v/>
      </c>
      <c r="BB39" s="0" t="str">
        <f aca="false">IF(AND($B39="D08",$C39="G1"),BB38&amp;IF(BB38="","",CHAR(10))&amp;$A39,BB38)</f>
        <v/>
      </c>
      <c r="BC39" s="0" t="str">
        <f aca="false">IF(AND($B39="D08",$C39="G2"),BC38&amp;IF(BC38="","",CHAR(10))&amp;$A39,BC38)</f>
        <v/>
      </c>
      <c r="BD39" s="0" t="str">
        <f aca="false">IF(AND($B39="D08",$C39="G3"),BD38&amp;IF(BD38="","",CHAR(10))&amp;$A39,BD38)</f>
        <v/>
      </c>
      <c r="BE39" s="0" t="str">
        <f aca="false">IF(AND($B39="D08",$C39="G4"),BE38&amp;IF(BE38="","",CHAR(10))&amp;$A39,BE38)</f>
        <v/>
      </c>
      <c r="BF39" s="0" t="str">
        <f aca="false">IF(AND($B39="D08",$C39="G5"),BF38&amp;IF(BF38="","",CHAR(10))&amp;$A39,BF38)</f>
        <v/>
      </c>
      <c r="BG39" s="0" t="str">
        <f aca="false">IF(AND($B39="D08",$C39="G6"),BG38&amp;IF(BG38="","",CHAR(10))&amp;$A39,BG38)</f>
        <v/>
      </c>
      <c r="BH39" s="0" t="str">
        <f aca="false">IF(AND($B39="D09",$C39="G0"),BH38&amp;IF(BH38="","",CHAR(10))&amp;$A39,BH38)</f>
        <v/>
      </c>
      <c r="BI39" s="0" t="str">
        <f aca="false">IF(AND($B39="D09",$C39="G1"),BI38&amp;IF(BI38="","",CHAR(10))&amp;$A39,BI38)</f>
        <v/>
      </c>
      <c r="BJ39" s="0" t="str">
        <f aca="false">IF(AND($B39="D09",$C39="G2"),BJ38&amp;IF(BJ38="","",CHAR(10))&amp;$A39,BJ38)</f>
        <v/>
      </c>
      <c r="BK39" s="0" t="str">
        <f aca="false">IF(AND($B39="D09",$C39="G3"),BK38&amp;IF(BK38="","",CHAR(10))&amp;$A39,BK38)</f>
        <v/>
      </c>
      <c r="BL39" s="0" t="str">
        <f aca="false">IF(AND($B39="D09",$C39="G4"),BL38&amp;IF(BL38="","",CHAR(10))&amp;$A39,BL38)</f>
        <v/>
      </c>
      <c r="BM39" s="0" t="str">
        <f aca="false">IF(AND($B39="D09",$C39="G5"),BM38&amp;IF(BM38="","",CHAR(10))&amp;$A39,BM38)</f>
        <v/>
      </c>
      <c r="BN39" s="0" t="str">
        <f aca="false">IF(AND($B39="D09",$C39="G6"),BN38&amp;IF(BN38="","",CHAR(10))&amp;$A39,BN38)</f>
        <v/>
      </c>
      <c r="BO39" s="0" t="str">
        <f aca="false">IF(AND($B39="D10",$C39="G0"),BO38&amp;IF(BO38="","",CHAR(10))&amp;$A39,BO38)</f>
        <v/>
      </c>
      <c r="BP39" s="0" t="str">
        <f aca="false">IF(AND($B39="D10",$C39="G1"),BP38&amp;IF(BP38="","",CHAR(10))&amp;$A39,BP38)</f>
        <v/>
      </c>
      <c r="BQ39" s="0" t="str">
        <f aca="false">IF(AND($B39="D10",$C39="G2"),BQ38&amp;IF(BQ38="","",CHAR(10))&amp;$A39,BQ38)</f>
        <v/>
      </c>
      <c r="BR39" s="0" t="str">
        <f aca="false">IF(AND($B39="D10",$C39="G3"),BR38&amp;IF(BR38="","",CHAR(10))&amp;$A39,BR38)</f>
        <v/>
      </c>
      <c r="BS39" s="0" t="str">
        <f aca="false">IF(AND($B39="D10",$C39="G4"),BS38&amp;IF(BS38="","",CHAR(10))&amp;$A39,BS38)</f>
        <v/>
      </c>
      <c r="BT39" s="0" t="str">
        <f aca="false">IF(AND($B39="D10",$C39="G5"),BT38&amp;IF(BT38="","",CHAR(10))&amp;$A39,BT38)</f>
        <v/>
      </c>
      <c r="BU39" s="0" t="str">
        <f aca="false">IF(AND($B39="D10",$C39="G6"),BU38&amp;IF(BU38="","",CHAR(10))&amp;$A39,BU38)</f>
        <v/>
      </c>
      <c r="BX39" s="0" t="n">
        <f aca="false">IF(AND(03_能力總表_Master!$A39&lt;&gt;"",LEFT(03_能力總表_Master!$H39,2)="缺口"),MAX($BX$4:BX38)+1,"")</f>
        <v>4</v>
      </c>
      <c r="BY39" s="0" t="str">
        <f aca="false">IF(AND(03_能力總表_Master!$A39&lt;&gt;"",03_能力總表_Master!$J39=12_夥伴視角_PartnerView!$C$4),MAX($BY$4:BY38)+1,"")</f>
        <v/>
      </c>
      <c r="BZ39" s="0" t="n">
        <f aca="false">IF(AND(05_法規門檻_Gates!$A39&lt;&gt;"",05_法規門檻_Gates!$E39="強制",05_法規門檻_Gates!$F39="待確認"),MAX($BZ$4:BZ38)+1,"")</f>
        <v>10</v>
      </c>
      <c r="CC39" s="0" t="str">
        <f aca="false">IF(AND(03_能力總表_Master!$A39&lt;&gt;"",IFERROR(INDEX(16_能力商機矩陣_CapOppMap!$D39:$CO39,MATCH(LEFT(17_商機作戰卡_OppView!$C$4,6),16_能力商機矩陣_CapOppMap!$D$4:$CO$4,0)),"")="✓"),MAX($CC$4:CC38)+1,"")</f>
        <v/>
      </c>
    </row>
    <row r="40" customFormat="false" ht="95.5" hidden="false" customHeight="false" outlineLevel="0" collapsed="false">
      <c r="A40" s="0" t="str">
        <f aca="false">IF(03_能力總表_Master!$A40="","",IF(LEFT(03_能力總表_Master!$H40,2)="群晶","● ",IF(ISNUMBER(SEARCH("已確認",03_能力總表_Master!$H40)),"◆ ",IF(ISNUMBER(SEARCH("缺口",03_能力總表_Master!$H40)),"○ ","◐ ")))&amp;RIGHT(03_能力總表_Master!$A40,3)&amp;" "&amp;03_能力總表_Master!$E40)</f>
        <v>◐ 036 臨床術語與主資料治理</v>
      </c>
      <c r="B40" s="0" t="str">
        <f aca="false">IF(03_能力總表_Master!$A40="","",LEFT(03_能力總表_Master!$B40,3))</f>
        <v>D06</v>
      </c>
      <c r="C40" s="0" t="str">
        <f aca="false">IF(03_能力總表_Master!$A40="","",03_能力總表_Master!$C40)</f>
        <v>G3</v>
      </c>
      <c r="D40" s="363" t="str">
        <f aca="false">IF(AND($B40="D01",$C40="G0"),D39&amp;IF(D39="","",CHAR(10))&amp;$A40,D39)</f>
        <v>◐ 001 政府授權與計畫章程
◐ 002 利害關係人與權力地圖
◐ 005 聯盟治理與利益衝突</v>
      </c>
      <c r="E40" s="363" t="str">
        <f aca="false">IF(AND($B40="D01",$C40="G1"),E39&amp;IF(E39="","",CHAR(10))&amp;$A40,E39)</f>
        <v>◐ 003 交易模式選擇
◐ 004 法規與執照路徑</v>
      </c>
      <c r="F40" s="0" t="str">
        <f aca="false">IF(AND($B40="D01",$C40="G2"),F39&amp;IF(F39="","",CHAR(10))&amp;$A40,F39)</f>
        <v>◐ 006 績效契約與變更控制</v>
      </c>
      <c r="G40" s="0" t="str">
        <f aca="false">IF(AND($B40="D01",$C40="G3"),G39&amp;IF(G39="","",CHAR(10))&amp;$A40,G39)</f>
        <v/>
      </c>
      <c r="H40" s="0" t="str">
        <f aca="false">IF(AND($B40="D01",$C40="G4"),H39&amp;IF(H39="","",CHAR(10))&amp;$A40,H39)</f>
        <v/>
      </c>
      <c r="I40" s="0" t="str">
        <f aca="false">IF(AND($B40="D01",$C40="G5"),I39&amp;IF(I39="","",CHAR(10))&amp;$A40,I39)</f>
        <v/>
      </c>
      <c r="J40" s="0" t="str">
        <f aca="false">IF(AND($B40="D01",$C40="G6"),J39&amp;IF(J39="","",CHAR(10))&amp;$A40,J39)</f>
        <v/>
      </c>
      <c r="K40" s="0" t="str">
        <f aca="false">IF(AND($B40="D02",$C40="G0"),K39&amp;IF(K39="","",CHAR(10))&amp;$A40,K39)</f>
        <v/>
      </c>
      <c r="L40" s="363" t="str">
        <f aca="false">IF(AND($B40="D02",$C40="G1"),L39&amp;IF(L39="","",CHAR(10))&amp;$A40,L39)</f>
        <v>◐ 007 人口需求與病例量預測
◐ 008 醫院定位與服務組合
◐ 009 重點專科優先化
◐ 010 病人流程與容量設計
◐ 011 轉診與區域照護網絡
◐ 012 臨床治理與責任架構</v>
      </c>
      <c r="M40" s="0" t="str">
        <f aca="false">IF(AND($B40="D02",$C40="G2"),M39&amp;IF(M39="","",CHAR(10))&amp;$A40,M39)</f>
        <v/>
      </c>
      <c r="N40" s="0" t="str">
        <f aca="false">IF(AND($B40="D02",$C40="G3"),N39&amp;IF(N39="","",CHAR(10))&amp;$A40,N39)</f>
        <v/>
      </c>
      <c r="O40" s="0" t="str">
        <f aca="false">IF(AND($B40="D02",$C40="G4"),O39&amp;IF(O39="","",CHAR(10))&amp;$A40,O39)</f>
        <v/>
      </c>
      <c r="P40" s="0" t="str">
        <f aca="false">IF(AND($B40="D02",$C40="G5"),P39&amp;IF(P39="","",CHAR(10))&amp;$A40,P39)</f>
        <v/>
      </c>
      <c r="Q40" s="0" t="str">
        <f aca="false">IF(AND($B40="D02",$C40="G6"),Q39&amp;IF(Q39="","",CHAR(10))&amp;$A40,Q39)</f>
        <v/>
      </c>
      <c r="R40" s="0" t="str">
        <f aca="false">IF(AND($B40="D03",$C40="G0"),R39&amp;IF(R39="","",CHAR(10))&amp;$A40,R39)</f>
        <v/>
      </c>
      <c r="S40" s="0" t="str">
        <f aca="false">IF(AND($B40="D03",$C40="G1"),S39&amp;IF(S39="","",CHAR(10))&amp;$A40,S39)</f>
        <v>◐ 013 場址與醫院總體規劃</v>
      </c>
      <c r="T40" s="363" t="str">
        <f aca="false">IF(AND($B40="D03",$C40="G2"),T39&amp;IF(T39="","",CHAR(10))&amp;$A40,T39)</f>
        <v>◐ 014 醫療建築功能計畫
◐ 015 感染控制與潔污動線
◐ 019 綠色與氣候韌性醫院</v>
      </c>
      <c r="U40" s="363" t="str">
        <f aca="false">IF(AND($B40="D03",$C40="G3"),U39&amp;IF(U39="","",CHAR(10))&amp;$A40,U39)</f>
        <v>● 016 電力、備援與微電網
◐ 017 醫療氣體與關鍵公用系統
◐ 018 醫療廢棄物與水資源</v>
      </c>
      <c r="V40" s="0" t="str">
        <f aca="false">IF(AND($B40="D03",$C40="G4"),V39&amp;IF(V39="","",CHAR(10))&amp;$A40,V39)</f>
        <v/>
      </c>
      <c r="W40" s="0" t="str">
        <f aca="false">IF(AND($B40="D03",$C40="G5"),W39&amp;IF(W39="","",CHAR(10))&amp;$A40,W39)</f>
        <v/>
      </c>
      <c r="X40" s="0" t="str">
        <f aca="false">IF(AND($B40="D03",$C40="G6"),X39&amp;IF(X39="","",CHAR(10))&amp;$A40,X39)</f>
        <v/>
      </c>
      <c r="Y40" s="0" t="str">
        <f aca="false">IF(AND($B40="D04",$C40="G0"),Y39&amp;IF(Y39="","",CHAR(10))&amp;$A40,Y39)</f>
        <v/>
      </c>
      <c r="Z40" s="0" t="str">
        <f aca="false">IF(AND($B40="D04",$C40="G1"),Z39&amp;IF(Z39="","",CHAR(10))&amp;$A40,Z39)</f>
        <v/>
      </c>
      <c r="AA40" s="0" t="str">
        <f aca="false">IF(AND($B40="D04",$C40="G2"),AA39&amp;IF(AA39="","",CHAR(10))&amp;$A40,AA39)</f>
        <v/>
      </c>
      <c r="AB40" s="0" t="str">
        <f aca="false">IF(AND($B40="D04",$C40="G3"),AB39&amp;IF(AB39="","",CHAR(10))&amp;$A40,AB39)</f>
        <v>● 020 IDC與邊緣運算底座</v>
      </c>
      <c r="AC40" s="363" t="str">
        <f aca="false">IF(AND($B40="D04",$C40="G4"),AC39&amp;IF(AC39="","",CHAR(10))&amp;$A40,AC39)</f>
        <v>● 021 有線無線網路與分區
◐ 022 資安營運與零信任
● 023 BMS與能源管理
● 024 RTLS與資產／人員定位
● 025 智慧病房、護理呼叫與感測
● 026 災難復原與營運持續</v>
      </c>
      <c r="AD40" s="0" t="str">
        <f aca="false">IF(AND($B40="D04",$C40="G5"),AD39&amp;IF(AD39="","",CHAR(10))&amp;$A40,AD39)</f>
        <v/>
      </c>
      <c r="AE40" s="0" t="str">
        <f aca="false">IF(AND($B40="D04",$C40="G6"),AE39&amp;IF(AE39="","",CHAR(10))&amp;$A40,AE39)</f>
        <v/>
      </c>
      <c r="AF40" s="0" t="str">
        <f aca="false">IF(AND($B40="D05",$C40="G0"),AF39&amp;IF(AF39="","",CHAR(10))&amp;$A40,AF39)</f>
        <v/>
      </c>
      <c r="AG40" s="0" t="str">
        <f aca="false">IF(AND($B40="D05",$C40="G1"),AG39&amp;IF(AG39="","",CHAR(10))&amp;$A40,AG39)</f>
        <v/>
      </c>
      <c r="AH40" s="0" t="str">
        <f aca="false">IF(AND($B40="D05",$C40="G2"),AH39&amp;IF(AH39="","",CHAR(10))&amp;$A40,AH39)</f>
        <v>◐ 027 醫材需求與設備計畫</v>
      </c>
      <c r="AI40" s="0" t="str">
        <f aca="false">IF(AND($B40="D05",$C40="G3"),AI39&amp;IF(AI39="","",CHAR(10))&amp;$A40,AI39)</f>
        <v/>
      </c>
      <c r="AJ40" s="363" t="str">
        <f aca="false">IF(AND($B40="D05",$C40="G4"),AJ39&amp;IF(AJ39="","",CHAR(10))&amp;$A40,AJ39)</f>
        <v>○ 028 影像設備、PACS與報告流程
○ 029 實驗室自動化與LIS
○ 030 手術室與重症整合
◐ 031 醫材介接與裝置身分
◐ 032 醫療工程與設備生命週期</v>
      </c>
      <c r="AK40" s="0" t="str">
        <f aca="false">IF(AND($B40="D05",$C40="G5"),AK39&amp;IF(AK39="","",CHAR(10))&amp;$A40,AK39)</f>
        <v/>
      </c>
      <c r="AL40" s="0" t="str">
        <f aca="false">IF(AND($B40="D05",$C40="G6"),AL39&amp;IF(AL39="","",CHAR(10))&amp;$A40,AL39)</f>
        <v/>
      </c>
      <c r="AM40" s="0" t="str">
        <f aca="false">IF(AND($B40="D06",$C40="G0"),AM39&amp;IF(AM39="","",CHAR(10))&amp;$A40,AM39)</f>
        <v/>
      </c>
      <c r="AN40" s="0" t="str">
        <f aca="false">IF(AND($B40="D06",$C40="G1"),AN39&amp;IF(AN39="","",CHAR(10))&amp;$A40,AN39)</f>
        <v/>
      </c>
      <c r="AO40" s="0" t="str">
        <f aca="false">IF(AND($B40="D06",$C40="G2"),AO39&amp;IF(AO39="","",CHAR(10))&amp;$A40,AO39)</f>
        <v/>
      </c>
      <c r="AP40" s="363" t="str">
        <f aca="false">IF(AND($B40="D06",$C40="G3"),AP39&amp;IF(AP39="","",CHAR(10))&amp;$A40,AP39)</f>
        <v>◐ 033 HIS／EMR核心平台
◐ 036 臨床術語與主資料治理</v>
      </c>
      <c r="AQ40" s="363" t="str">
        <f aca="false">IF(AND($B40="D06",$C40="G4"),AQ39&amp;IF(AQ39="","",CHAR(10))&amp;$A40,AQ39)</f>
        <v>◐ 034 FHIR介接與API管理
○ 035 主病人索引與身分整合</v>
      </c>
      <c r="AR40" s="0" t="str">
        <f aca="false">IF(AND($B40="D06",$C40="G5"),AR39&amp;IF(AR39="","",CHAR(10))&amp;$A40,AR39)</f>
        <v/>
      </c>
      <c r="AS40" s="0" t="str">
        <f aca="false">IF(AND($B40="D06",$C40="G6"),AS39&amp;IF(AS39="","",CHAR(10))&amp;$A40,AS39)</f>
        <v/>
      </c>
      <c r="AT40" s="0" t="str">
        <f aca="false">IF(AND($B40="D07",$C40="G0"),AT39&amp;IF(AT39="","",CHAR(10))&amp;$A40,AT39)</f>
        <v/>
      </c>
      <c r="AU40" s="0" t="str">
        <f aca="false">IF(AND($B40="D07",$C40="G1"),AU39&amp;IF(AU39="","",CHAR(10))&amp;$A40,AU39)</f>
        <v/>
      </c>
      <c r="AV40" s="0" t="str">
        <f aca="false">IF(AND($B40="D07",$C40="G2"),AV39&amp;IF(AV39="","",CHAR(10))&amp;$A40,AV39)</f>
        <v/>
      </c>
      <c r="AW40" s="0" t="str">
        <f aca="false">IF(AND($B40="D07",$C40="G3"),AW39&amp;IF(AW39="","",CHAR(10))&amp;$A40,AW39)</f>
        <v/>
      </c>
      <c r="AX40" s="0" t="str">
        <f aca="false">IF(AND($B40="D07",$C40="G4"),AX39&amp;IF(AX39="","",CHAR(10))&amp;$A40,AX39)</f>
        <v/>
      </c>
      <c r="AY40" s="0" t="str">
        <f aca="false">IF(AND($B40="D07",$C40="G5"),AY39&amp;IF(AY39="","",CHAR(10))&amp;$A40,AY39)</f>
        <v/>
      </c>
      <c r="AZ40" s="0" t="str">
        <f aca="false">IF(AND($B40="D07",$C40="G6"),AZ39&amp;IF(AZ39="","",CHAR(10))&amp;$A40,AZ39)</f>
        <v/>
      </c>
      <c r="BA40" s="0" t="str">
        <f aca="false">IF(AND($B40="D08",$C40="G0"),BA39&amp;IF(BA39="","",CHAR(10))&amp;$A40,BA39)</f>
        <v/>
      </c>
      <c r="BB40" s="0" t="str">
        <f aca="false">IF(AND($B40="D08",$C40="G1"),BB39&amp;IF(BB39="","",CHAR(10))&amp;$A40,BB39)</f>
        <v/>
      </c>
      <c r="BC40" s="0" t="str">
        <f aca="false">IF(AND($B40="D08",$C40="G2"),BC39&amp;IF(BC39="","",CHAR(10))&amp;$A40,BC39)</f>
        <v/>
      </c>
      <c r="BD40" s="0" t="str">
        <f aca="false">IF(AND($B40="D08",$C40="G3"),BD39&amp;IF(BD39="","",CHAR(10))&amp;$A40,BD39)</f>
        <v/>
      </c>
      <c r="BE40" s="0" t="str">
        <f aca="false">IF(AND($B40="D08",$C40="G4"),BE39&amp;IF(BE39="","",CHAR(10))&amp;$A40,BE39)</f>
        <v/>
      </c>
      <c r="BF40" s="0" t="str">
        <f aca="false">IF(AND($B40="D08",$C40="G5"),BF39&amp;IF(BF39="","",CHAR(10))&amp;$A40,BF39)</f>
        <v/>
      </c>
      <c r="BG40" s="0" t="str">
        <f aca="false">IF(AND($B40="D08",$C40="G6"),BG39&amp;IF(BG39="","",CHAR(10))&amp;$A40,BG39)</f>
        <v/>
      </c>
      <c r="BH40" s="0" t="str">
        <f aca="false">IF(AND($B40="D09",$C40="G0"),BH39&amp;IF(BH39="","",CHAR(10))&amp;$A40,BH39)</f>
        <v/>
      </c>
      <c r="BI40" s="0" t="str">
        <f aca="false">IF(AND($B40="D09",$C40="G1"),BI39&amp;IF(BI39="","",CHAR(10))&amp;$A40,BI39)</f>
        <v/>
      </c>
      <c r="BJ40" s="0" t="str">
        <f aca="false">IF(AND($B40="D09",$C40="G2"),BJ39&amp;IF(BJ39="","",CHAR(10))&amp;$A40,BJ39)</f>
        <v/>
      </c>
      <c r="BK40" s="0" t="str">
        <f aca="false">IF(AND($B40="D09",$C40="G3"),BK39&amp;IF(BK39="","",CHAR(10))&amp;$A40,BK39)</f>
        <v/>
      </c>
      <c r="BL40" s="0" t="str">
        <f aca="false">IF(AND($B40="D09",$C40="G4"),BL39&amp;IF(BL39="","",CHAR(10))&amp;$A40,BL39)</f>
        <v/>
      </c>
      <c r="BM40" s="0" t="str">
        <f aca="false">IF(AND($B40="D09",$C40="G5"),BM39&amp;IF(BM39="","",CHAR(10))&amp;$A40,BM39)</f>
        <v/>
      </c>
      <c r="BN40" s="0" t="str">
        <f aca="false">IF(AND($B40="D09",$C40="G6"),BN39&amp;IF(BN39="","",CHAR(10))&amp;$A40,BN39)</f>
        <v/>
      </c>
      <c r="BO40" s="0" t="str">
        <f aca="false">IF(AND($B40="D10",$C40="G0"),BO39&amp;IF(BO39="","",CHAR(10))&amp;$A40,BO39)</f>
        <v/>
      </c>
      <c r="BP40" s="0" t="str">
        <f aca="false">IF(AND($B40="D10",$C40="G1"),BP39&amp;IF(BP39="","",CHAR(10))&amp;$A40,BP39)</f>
        <v/>
      </c>
      <c r="BQ40" s="0" t="str">
        <f aca="false">IF(AND($B40="D10",$C40="G2"),BQ39&amp;IF(BQ39="","",CHAR(10))&amp;$A40,BQ39)</f>
        <v/>
      </c>
      <c r="BR40" s="0" t="str">
        <f aca="false">IF(AND($B40="D10",$C40="G3"),BR39&amp;IF(BR39="","",CHAR(10))&amp;$A40,BR39)</f>
        <v/>
      </c>
      <c r="BS40" s="0" t="str">
        <f aca="false">IF(AND($B40="D10",$C40="G4"),BS39&amp;IF(BS39="","",CHAR(10))&amp;$A40,BS39)</f>
        <v/>
      </c>
      <c r="BT40" s="0" t="str">
        <f aca="false">IF(AND($B40="D10",$C40="G5"),BT39&amp;IF(BT39="","",CHAR(10))&amp;$A40,BT39)</f>
        <v/>
      </c>
      <c r="BU40" s="0" t="str">
        <f aca="false">IF(AND($B40="D10",$C40="G6"),BU39&amp;IF(BU39="","",CHAR(10))&amp;$A40,BU39)</f>
        <v/>
      </c>
      <c r="BX40" s="0" t="str">
        <f aca="false">IF(AND(03_能力總表_Master!$A40&lt;&gt;"",LEFT(03_能力總表_Master!$H40,2)="缺口"),MAX($BX$4:BX39)+1,"")</f>
        <v/>
      </c>
      <c r="BY40" s="0" t="str">
        <f aca="false">IF(AND(03_能力總表_Master!$A40&lt;&gt;"",03_能力總表_Master!$J40=12_夥伴視角_PartnerView!$C$4),MAX($BY$4:BY39)+1,"")</f>
        <v/>
      </c>
      <c r="BZ40" s="0" t="n">
        <f aca="false">IF(AND(05_法規門檻_Gates!$A40&lt;&gt;"",05_法規門檻_Gates!$E40="強制",05_法規門檻_Gates!$F40="待確認"),MAX($BZ$4:BZ39)+1,"")</f>
        <v>11</v>
      </c>
      <c r="CC40" s="0" t="str">
        <f aca="false">IF(AND(03_能力總表_Master!$A40&lt;&gt;"",IFERROR(INDEX(16_能力商機矩陣_CapOppMap!$D40:$CO40,MATCH(LEFT(17_商機作戰卡_OppView!$C$4,6),16_能力商機矩陣_CapOppMap!$D$4:$CO$4,0)),"")="✓"),MAX($CC$4:CC39)+1,"")</f>
        <v/>
      </c>
    </row>
    <row r="41" customFormat="false" ht="95.5" hidden="false" customHeight="false" outlineLevel="0" collapsed="false">
      <c r="A41" s="0" t="str">
        <f aca="false">IF(03_能力總表_Master!$A41="","",IF(LEFT(03_能力總表_Master!$H41,2)="群晶","● ",IF(ISNUMBER(SEARCH("已確認",03_能力總表_Master!$H41)),"◆ ",IF(ISNUMBER(SEARCH("缺口",03_能力總表_Master!$H41)),"○ ","◐ ")))&amp;RIGHT(03_能力總表_Master!$A41,3)&amp;" "&amp;03_能力總表_Master!$E41)</f>
        <v>◐ 037 電子醫囑、用藥與決策支援</v>
      </c>
      <c r="B41" s="0" t="str">
        <f aca="false">IF(03_能力總表_Master!$A41="","",LEFT(03_能力總表_Master!$B41,3))</f>
        <v>D06</v>
      </c>
      <c r="C41" s="0" t="str">
        <f aca="false">IF(03_能力總表_Master!$A41="","",03_能力總表_Master!$C41)</f>
        <v>G4</v>
      </c>
      <c r="D41" s="363" t="str">
        <f aca="false">IF(AND($B41="D01",$C41="G0"),D40&amp;IF(D40="","",CHAR(10))&amp;$A41,D40)</f>
        <v>◐ 001 政府授權與計畫章程
◐ 002 利害關係人與權力地圖
◐ 005 聯盟治理與利益衝突</v>
      </c>
      <c r="E41" s="363" t="str">
        <f aca="false">IF(AND($B41="D01",$C41="G1"),E40&amp;IF(E40="","",CHAR(10))&amp;$A41,E40)</f>
        <v>◐ 003 交易模式選擇
◐ 004 法規與執照路徑</v>
      </c>
      <c r="F41" s="0" t="str">
        <f aca="false">IF(AND($B41="D01",$C41="G2"),F40&amp;IF(F40="","",CHAR(10))&amp;$A41,F40)</f>
        <v>◐ 006 績效契約與變更控制</v>
      </c>
      <c r="G41" s="0" t="str">
        <f aca="false">IF(AND($B41="D01",$C41="G3"),G40&amp;IF(G40="","",CHAR(10))&amp;$A41,G40)</f>
        <v/>
      </c>
      <c r="H41" s="0" t="str">
        <f aca="false">IF(AND($B41="D01",$C41="G4"),H40&amp;IF(H40="","",CHAR(10))&amp;$A41,H40)</f>
        <v/>
      </c>
      <c r="I41" s="0" t="str">
        <f aca="false">IF(AND($B41="D01",$C41="G5"),I40&amp;IF(I40="","",CHAR(10))&amp;$A41,I40)</f>
        <v/>
      </c>
      <c r="J41" s="0" t="str">
        <f aca="false">IF(AND($B41="D01",$C41="G6"),J40&amp;IF(J40="","",CHAR(10))&amp;$A41,J40)</f>
        <v/>
      </c>
      <c r="K41" s="0" t="str">
        <f aca="false">IF(AND($B41="D02",$C41="G0"),K40&amp;IF(K40="","",CHAR(10))&amp;$A41,K40)</f>
        <v/>
      </c>
      <c r="L41" s="363" t="str">
        <f aca="false">IF(AND($B41="D02",$C41="G1"),L40&amp;IF(L40="","",CHAR(10))&amp;$A41,L40)</f>
        <v>◐ 007 人口需求與病例量預測
◐ 008 醫院定位與服務組合
◐ 009 重點專科優先化
◐ 010 病人流程與容量設計
◐ 011 轉診與區域照護網絡
◐ 012 臨床治理與責任架構</v>
      </c>
      <c r="M41" s="0" t="str">
        <f aca="false">IF(AND($B41="D02",$C41="G2"),M40&amp;IF(M40="","",CHAR(10))&amp;$A41,M40)</f>
        <v/>
      </c>
      <c r="N41" s="0" t="str">
        <f aca="false">IF(AND($B41="D02",$C41="G3"),N40&amp;IF(N40="","",CHAR(10))&amp;$A41,N40)</f>
        <v/>
      </c>
      <c r="O41" s="0" t="str">
        <f aca="false">IF(AND($B41="D02",$C41="G4"),O40&amp;IF(O40="","",CHAR(10))&amp;$A41,O40)</f>
        <v/>
      </c>
      <c r="P41" s="0" t="str">
        <f aca="false">IF(AND($B41="D02",$C41="G5"),P40&amp;IF(P40="","",CHAR(10))&amp;$A41,P40)</f>
        <v/>
      </c>
      <c r="Q41" s="0" t="str">
        <f aca="false">IF(AND($B41="D02",$C41="G6"),Q40&amp;IF(Q40="","",CHAR(10))&amp;$A41,Q40)</f>
        <v/>
      </c>
      <c r="R41" s="0" t="str">
        <f aca="false">IF(AND($B41="D03",$C41="G0"),R40&amp;IF(R40="","",CHAR(10))&amp;$A41,R40)</f>
        <v/>
      </c>
      <c r="S41" s="0" t="str">
        <f aca="false">IF(AND($B41="D03",$C41="G1"),S40&amp;IF(S40="","",CHAR(10))&amp;$A41,S40)</f>
        <v>◐ 013 場址與醫院總體規劃</v>
      </c>
      <c r="T41" s="363" t="str">
        <f aca="false">IF(AND($B41="D03",$C41="G2"),T40&amp;IF(T40="","",CHAR(10))&amp;$A41,T40)</f>
        <v>◐ 014 醫療建築功能計畫
◐ 015 感染控制與潔污動線
◐ 019 綠色與氣候韌性醫院</v>
      </c>
      <c r="U41" s="363" t="str">
        <f aca="false">IF(AND($B41="D03",$C41="G3"),U40&amp;IF(U40="","",CHAR(10))&amp;$A41,U40)</f>
        <v>● 016 電力、備援與微電網
◐ 017 醫療氣體與關鍵公用系統
◐ 018 醫療廢棄物與水資源</v>
      </c>
      <c r="V41" s="0" t="str">
        <f aca="false">IF(AND($B41="D03",$C41="G4"),V40&amp;IF(V40="","",CHAR(10))&amp;$A41,V40)</f>
        <v/>
      </c>
      <c r="W41" s="0" t="str">
        <f aca="false">IF(AND($B41="D03",$C41="G5"),W40&amp;IF(W40="","",CHAR(10))&amp;$A41,W40)</f>
        <v/>
      </c>
      <c r="X41" s="0" t="str">
        <f aca="false">IF(AND($B41="D03",$C41="G6"),X40&amp;IF(X40="","",CHAR(10))&amp;$A41,X40)</f>
        <v/>
      </c>
      <c r="Y41" s="0" t="str">
        <f aca="false">IF(AND($B41="D04",$C41="G0"),Y40&amp;IF(Y40="","",CHAR(10))&amp;$A41,Y40)</f>
        <v/>
      </c>
      <c r="Z41" s="0" t="str">
        <f aca="false">IF(AND($B41="D04",$C41="G1"),Z40&amp;IF(Z40="","",CHAR(10))&amp;$A41,Z40)</f>
        <v/>
      </c>
      <c r="AA41" s="0" t="str">
        <f aca="false">IF(AND($B41="D04",$C41="G2"),AA40&amp;IF(AA40="","",CHAR(10))&amp;$A41,AA40)</f>
        <v/>
      </c>
      <c r="AB41" s="0" t="str">
        <f aca="false">IF(AND($B41="D04",$C41="G3"),AB40&amp;IF(AB40="","",CHAR(10))&amp;$A41,AB40)</f>
        <v>● 020 IDC與邊緣運算底座</v>
      </c>
      <c r="AC41" s="363" t="str">
        <f aca="false">IF(AND($B41="D04",$C41="G4"),AC40&amp;IF(AC40="","",CHAR(10))&amp;$A41,AC40)</f>
        <v>● 021 有線無線網路與分區
◐ 022 資安營運與零信任
● 023 BMS與能源管理
● 024 RTLS與資產／人員定位
● 025 智慧病房、護理呼叫與感測
● 026 災難復原與營運持續</v>
      </c>
      <c r="AD41" s="0" t="str">
        <f aca="false">IF(AND($B41="D04",$C41="G5"),AD40&amp;IF(AD40="","",CHAR(10))&amp;$A41,AD40)</f>
        <v/>
      </c>
      <c r="AE41" s="0" t="str">
        <f aca="false">IF(AND($B41="D04",$C41="G6"),AE40&amp;IF(AE40="","",CHAR(10))&amp;$A41,AE40)</f>
        <v/>
      </c>
      <c r="AF41" s="0" t="str">
        <f aca="false">IF(AND($B41="D05",$C41="G0"),AF40&amp;IF(AF40="","",CHAR(10))&amp;$A41,AF40)</f>
        <v/>
      </c>
      <c r="AG41" s="0" t="str">
        <f aca="false">IF(AND($B41="D05",$C41="G1"),AG40&amp;IF(AG40="","",CHAR(10))&amp;$A41,AG40)</f>
        <v/>
      </c>
      <c r="AH41" s="0" t="str">
        <f aca="false">IF(AND($B41="D05",$C41="G2"),AH40&amp;IF(AH40="","",CHAR(10))&amp;$A41,AH40)</f>
        <v>◐ 027 醫材需求與設備計畫</v>
      </c>
      <c r="AI41" s="0" t="str">
        <f aca="false">IF(AND($B41="D05",$C41="G3"),AI40&amp;IF(AI40="","",CHAR(10))&amp;$A41,AI40)</f>
        <v/>
      </c>
      <c r="AJ41" s="363" t="str">
        <f aca="false">IF(AND($B41="D05",$C41="G4"),AJ40&amp;IF(AJ40="","",CHAR(10))&amp;$A41,AJ40)</f>
        <v>○ 028 影像設備、PACS與報告流程
○ 029 實驗室自動化與LIS
○ 030 手術室與重症整合
◐ 031 醫材介接與裝置身分
◐ 032 醫療工程與設備生命週期</v>
      </c>
      <c r="AK41" s="0" t="str">
        <f aca="false">IF(AND($B41="D05",$C41="G5"),AK40&amp;IF(AK40="","",CHAR(10))&amp;$A41,AK40)</f>
        <v/>
      </c>
      <c r="AL41" s="0" t="str">
        <f aca="false">IF(AND($B41="D05",$C41="G6"),AL40&amp;IF(AL40="","",CHAR(10))&amp;$A41,AL40)</f>
        <v/>
      </c>
      <c r="AM41" s="0" t="str">
        <f aca="false">IF(AND($B41="D06",$C41="G0"),AM40&amp;IF(AM40="","",CHAR(10))&amp;$A41,AM40)</f>
        <v/>
      </c>
      <c r="AN41" s="0" t="str">
        <f aca="false">IF(AND($B41="D06",$C41="G1"),AN40&amp;IF(AN40="","",CHAR(10))&amp;$A41,AN40)</f>
        <v/>
      </c>
      <c r="AO41" s="0" t="str">
        <f aca="false">IF(AND($B41="D06",$C41="G2"),AO40&amp;IF(AO40="","",CHAR(10))&amp;$A41,AO40)</f>
        <v/>
      </c>
      <c r="AP41" s="363" t="str">
        <f aca="false">IF(AND($B41="D06",$C41="G3"),AP40&amp;IF(AP40="","",CHAR(10))&amp;$A41,AP40)</f>
        <v>◐ 033 HIS／EMR核心平台
◐ 036 臨床術語與主資料治理</v>
      </c>
      <c r="AQ41" s="363" t="str">
        <f aca="false">IF(AND($B41="D06",$C41="G4"),AQ40&amp;IF(AQ40="","",CHAR(10))&amp;$A41,AQ40)</f>
        <v>◐ 034 FHIR介接與API管理
○ 035 主病人索引與身分整合
◐ 037 電子醫囑、用藥與決策支援</v>
      </c>
      <c r="AR41" s="0" t="str">
        <f aca="false">IF(AND($B41="D06",$C41="G5"),AR40&amp;IF(AR40="","",CHAR(10))&amp;$A41,AR40)</f>
        <v/>
      </c>
      <c r="AS41" s="0" t="str">
        <f aca="false">IF(AND($B41="D06",$C41="G6"),AS40&amp;IF(AS40="","",CHAR(10))&amp;$A41,AS40)</f>
        <v/>
      </c>
      <c r="AT41" s="0" t="str">
        <f aca="false">IF(AND($B41="D07",$C41="G0"),AT40&amp;IF(AT40="","",CHAR(10))&amp;$A41,AT40)</f>
        <v/>
      </c>
      <c r="AU41" s="0" t="str">
        <f aca="false">IF(AND($B41="D07",$C41="G1"),AU40&amp;IF(AU40="","",CHAR(10))&amp;$A41,AU40)</f>
        <v/>
      </c>
      <c r="AV41" s="0" t="str">
        <f aca="false">IF(AND($B41="D07",$C41="G2"),AV40&amp;IF(AV40="","",CHAR(10))&amp;$A41,AV40)</f>
        <v/>
      </c>
      <c r="AW41" s="0" t="str">
        <f aca="false">IF(AND($B41="D07",$C41="G3"),AW40&amp;IF(AW40="","",CHAR(10))&amp;$A41,AW40)</f>
        <v/>
      </c>
      <c r="AX41" s="0" t="str">
        <f aca="false">IF(AND($B41="D07",$C41="G4"),AX40&amp;IF(AX40="","",CHAR(10))&amp;$A41,AX40)</f>
        <v/>
      </c>
      <c r="AY41" s="0" t="str">
        <f aca="false">IF(AND($B41="D07",$C41="G5"),AY40&amp;IF(AY40="","",CHAR(10))&amp;$A41,AY40)</f>
        <v/>
      </c>
      <c r="AZ41" s="0" t="str">
        <f aca="false">IF(AND($B41="D07",$C41="G6"),AZ40&amp;IF(AZ40="","",CHAR(10))&amp;$A41,AZ40)</f>
        <v/>
      </c>
      <c r="BA41" s="0" t="str">
        <f aca="false">IF(AND($B41="D08",$C41="G0"),BA40&amp;IF(BA40="","",CHAR(10))&amp;$A41,BA40)</f>
        <v/>
      </c>
      <c r="BB41" s="0" t="str">
        <f aca="false">IF(AND($B41="D08",$C41="G1"),BB40&amp;IF(BB40="","",CHAR(10))&amp;$A41,BB40)</f>
        <v/>
      </c>
      <c r="BC41" s="0" t="str">
        <f aca="false">IF(AND($B41="D08",$C41="G2"),BC40&amp;IF(BC40="","",CHAR(10))&amp;$A41,BC40)</f>
        <v/>
      </c>
      <c r="BD41" s="0" t="str">
        <f aca="false">IF(AND($B41="D08",$C41="G3"),BD40&amp;IF(BD40="","",CHAR(10))&amp;$A41,BD40)</f>
        <v/>
      </c>
      <c r="BE41" s="0" t="str">
        <f aca="false">IF(AND($B41="D08",$C41="G4"),BE40&amp;IF(BE40="","",CHAR(10))&amp;$A41,BE40)</f>
        <v/>
      </c>
      <c r="BF41" s="0" t="str">
        <f aca="false">IF(AND($B41="D08",$C41="G5"),BF40&amp;IF(BF40="","",CHAR(10))&amp;$A41,BF40)</f>
        <v/>
      </c>
      <c r="BG41" s="0" t="str">
        <f aca="false">IF(AND($B41="D08",$C41="G6"),BG40&amp;IF(BG40="","",CHAR(10))&amp;$A41,BG40)</f>
        <v/>
      </c>
      <c r="BH41" s="0" t="str">
        <f aca="false">IF(AND($B41="D09",$C41="G0"),BH40&amp;IF(BH40="","",CHAR(10))&amp;$A41,BH40)</f>
        <v/>
      </c>
      <c r="BI41" s="0" t="str">
        <f aca="false">IF(AND($B41="D09",$C41="G1"),BI40&amp;IF(BI40="","",CHAR(10))&amp;$A41,BI40)</f>
        <v/>
      </c>
      <c r="BJ41" s="0" t="str">
        <f aca="false">IF(AND($B41="D09",$C41="G2"),BJ40&amp;IF(BJ40="","",CHAR(10))&amp;$A41,BJ40)</f>
        <v/>
      </c>
      <c r="BK41" s="0" t="str">
        <f aca="false">IF(AND($B41="D09",$C41="G3"),BK40&amp;IF(BK40="","",CHAR(10))&amp;$A41,BK40)</f>
        <v/>
      </c>
      <c r="BL41" s="0" t="str">
        <f aca="false">IF(AND($B41="D09",$C41="G4"),BL40&amp;IF(BL40="","",CHAR(10))&amp;$A41,BL40)</f>
        <v/>
      </c>
      <c r="BM41" s="0" t="str">
        <f aca="false">IF(AND($B41="D09",$C41="G5"),BM40&amp;IF(BM40="","",CHAR(10))&amp;$A41,BM40)</f>
        <v/>
      </c>
      <c r="BN41" s="0" t="str">
        <f aca="false">IF(AND($B41="D09",$C41="G6"),BN40&amp;IF(BN40="","",CHAR(10))&amp;$A41,BN40)</f>
        <v/>
      </c>
      <c r="BO41" s="0" t="str">
        <f aca="false">IF(AND($B41="D10",$C41="G0"),BO40&amp;IF(BO40="","",CHAR(10))&amp;$A41,BO40)</f>
        <v/>
      </c>
      <c r="BP41" s="0" t="str">
        <f aca="false">IF(AND($B41="D10",$C41="G1"),BP40&amp;IF(BP40="","",CHAR(10))&amp;$A41,BP40)</f>
        <v/>
      </c>
      <c r="BQ41" s="0" t="str">
        <f aca="false">IF(AND($B41="D10",$C41="G2"),BQ40&amp;IF(BQ40="","",CHAR(10))&amp;$A41,BQ40)</f>
        <v/>
      </c>
      <c r="BR41" s="0" t="str">
        <f aca="false">IF(AND($B41="D10",$C41="G3"),BR40&amp;IF(BR40="","",CHAR(10))&amp;$A41,BR40)</f>
        <v/>
      </c>
      <c r="BS41" s="0" t="str">
        <f aca="false">IF(AND($B41="D10",$C41="G4"),BS40&amp;IF(BS40="","",CHAR(10))&amp;$A41,BS40)</f>
        <v/>
      </c>
      <c r="BT41" s="0" t="str">
        <f aca="false">IF(AND($B41="D10",$C41="G5"),BT40&amp;IF(BT40="","",CHAR(10))&amp;$A41,BT40)</f>
        <v/>
      </c>
      <c r="BU41" s="0" t="str">
        <f aca="false">IF(AND($B41="D10",$C41="G6"),BU40&amp;IF(BU40="","",CHAR(10))&amp;$A41,BU40)</f>
        <v/>
      </c>
      <c r="BX41" s="0" t="str">
        <f aca="false">IF(AND(03_能力總表_Master!$A41&lt;&gt;"",LEFT(03_能力總表_Master!$H41,2)="缺口"),MAX($BX$4:BX40)+1,"")</f>
        <v/>
      </c>
      <c r="BY41" s="0" t="str">
        <f aca="false">IF(AND(03_能力總表_Master!$A41&lt;&gt;"",03_能力總表_Master!$J41=12_夥伴視角_PartnerView!$C$4),MAX($BY$4:BY40)+1,"")</f>
        <v/>
      </c>
      <c r="BZ41" s="0" t="str">
        <f aca="false">IF(AND(05_法規門檻_Gates!$A41&lt;&gt;"",05_法規門檻_Gates!$E41="強制",05_法規門檻_Gates!$F41="待確認"),MAX($BZ$4:BZ40)+1,"")</f>
        <v/>
      </c>
      <c r="CC41" s="0" t="str">
        <f aca="false">IF(AND(03_能力總表_Master!$A41&lt;&gt;"",IFERROR(INDEX(16_能力商機矩陣_CapOppMap!$D41:$CO41,MATCH(LEFT(17_商機作戰卡_OppView!$C$4,6),16_能力商機矩陣_CapOppMap!$D$4:$CO$4,0)),"")="✓"),MAX($CC$4:CC40)+1,"")</f>
        <v/>
      </c>
    </row>
    <row r="42" customFormat="false" ht="95.5" hidden="false" customHeight="false" outlineLevel="0" collapsed="false">
      <c r="A42" s="0" t="str">
        <f aca="false">IF(03_能力總表_Master!$A42="","",IF(LEFT(03_能力總表_Master!$H42,2)="群晶","● ",IF(ISNUMBER(SEARCH("已確認",03_能力總表_Master!$H42)),"◆ ",IF(ISNUMBER(SEARCH("缺口",03_能力總表_Master!$H42)),"○ ","◐ ")))&amp;RIGHT(03_能力總表_Master!$A42,3)&amp;" "&amp;03_能力總表_Master!$E42)</f>
        <v>◐ 038 資料平台、BI與營運指揮</v>
      </c>
      <c r="B42" s="0" t="str">
        <f aca="false">IF(03_能力總表_Master!$A42="","",LEFT(03_能力總表_Master!$B42,3))</f>
        <v>D06</v>
      </c>
      <c r="C42" s="0" t="str">
        <f aca="false">IF(03_能力總表_Master!$A42="","",03_能力總表_Master!$C42)</f>
        <v>G4</v>
      </c>
      <c r="D42" s="363" t="str">
        <f aca="false">IF(AND($B42="D01",$C42="G0"),D41&amp;IF(D41="","",CHAR(10))&amp;$A42,D41)</f>
        <v>◐ 001 政府授權與計畫章程
◐ 002 利害關係人與權力地圖
◐ 005 聯盟治理與利益衝突</v>
      </c>
      <c r="E42" s="363" t="str">
        <f aca="false">IF(AND($B42="D01",$C42="G1"),E41&amp;IF(E41="","",CHAR(10))&amp;$A42,E41)</f>
        <v>◐ 003 交易模式選擇
◐ 004 法規與執照路徑</v>
      </c>
      <c r="F42" s="0" t="str">
        <f aca="false">IF(AND($B42="D01",$C42="G2"),F41&amp;IF(F41="","",CHAR(10))&amp;$A42,F41)</f>
        <v>◐ 006 績效契約與變更控制</v>
      </c>
      <c r="G42" s="0" t="str">
        <f aca="false">IF(AND($B42="D01",$C42="G3"),G41&amp;IF(G41="","",CHAR(10))&amp;$A42,G41)</f>
        <v/>
      </c>
      <c r="H42" s="0" t="str">
        <f aca="false">IF(AND($B42="D01",$C42="G4"),H41&amp;IF(H41="","",CHAR(10))&amp;$A42,H41)</f>
        <v/>
      </c>
      <c r="I42" s="0" t="str">
        <f aca="false">IF(AND($B42="D01",$C42="G5"),I41&amp;IF(I41="","",CHAR(10))&amp;$A42,I41)</f>
        <v/>
      </c>
      <c r="J42" s="0" t="str">
        <f aca="false">IF(AND($B42="D01",$C42="G6"),J41&amp;IF(J41="","",CHAR(10))&amp;$A42,J41)</f>
        <v/>
      </c>
      <c r="K42" s="0" t="str">
        <f aca="false">IF(AND($B42="D02",$C42="G0"),K41&amp;IF(K41="","",CHAR(10))&amp;$A42,K41)</f>
        <v/>
      </c>
      <c r="L42" s="363" t="str">
        <f aca="false">IF(AND($B42="D02",$C42="G1"),L41&amp;IF(L41="","",CHAR(10))&amp;$A42,L41)</f>
        <v>◐ 007 人口需求與病例量預測
◐ 008 醫院定位與服務組合
◐ 009 重點專科優先化
◐ 010 病人流程與容量設計
◐ 011 轉診與區域照護網絡
◐ 012 臨床治理與責任架構</v>
      </c>
      <c r="M42" s="0" t="str">
        <f aca="false">IF(AND($B42="D02",$C42="G2"),M41&amp;IF(M41="","",CHAR(10))&amp;$A42,M41)</f>
        <v/>
      </c>
      <c r="N42" s="0" t="str">
        <f aca="false">IF(AND($B42="D02",$C42="G3"),N41&amp;IF(N41="","",CHAR(10))&amp;$A42,N41)</f>
        <v/>
      </c>
      <c r="O42" s="0" t="str">
        <f aca="false">IF(AND($B42="D02",$C42="G4"),O41&amp;IF(O41="","",CHAR(10))&amp;$A42,O41)</f>
        <v/>
      </c>
      <c r="P42" s="0" t="str">
        <f aca="false">IF(AND($B42="D02",$C42="G5"),P41&amp;IF(P41="","",CHAR(10))&amp;$A42,P41)</f>
        <v/>
      </c>
      <c r="Q42" s="0" t="str">
        <f aca="false">IF(AND($B42="D02",$C42="G6"),Q41&amp;IF(Q41="","",CHAR(10))&amp;$A42,Q41)</f>
        <v/>
      </c>
      <c r="R42" s="0" t="str">
        <f aca="false">IF(AND($B42="D03",$C42="G0"),R41&amp;IF(R41="","",CHAR(10))&amp;$A42,R41)</f>
        <v/>
      </c>
      <c r="S42" s="0" t="str">
        <f aca="false">IF(AND($B42="D03",$C42="G1"),S41&amp;IF(S41="","",CHAR(10))&amp;$A42,S41)</f>
        <v>◐ 013 場址與醫院總體規劃</v>
      </c>
      <c r="T42" s="363" t="str">
        <f aca="false">IF(AND($B42="D03",$C42="G2"),T41&amp;IF(T41="","",CHAR(10))&amp;$A42,T41)</f>
        <v>◐ 014 醫療建築功能計畫
◐ 015 感染控制與潔污動線
◐ 019 綠色與氣候韌性醫院</v>
      </c>
      <c r="U42" s="363" t="str">
        <f aca="false">IF(AND($B42="D03",$C42="G3"),U41&amp;IF(U41="","",CHAR(10))&amp;$A42,U41)</f>
        <v>● 016 電力、備援與微電網
◐ 017 醫療氣體與關鍵公用系統
◐ 018 醫療廢棄物與水資源</v>
      </c>
      <c r="V42" s="0" t="str">
        <f aca="false">IF(AND($B42="D03",$C42="G4"),V41&amp;IF(V41="","",CHAR(10))&amp;$A42,V41)</f>
        <v/>
      </c>
      <c r="W42" s="0" t="str">
        <f aca="false">IF(AND($B42="D03",$C42="G5"),W41&amp;IF(W41="","",CHAR(10))&amp;$A42,W41)</f>
        <v/>
      </c>
      <c r="X42" s="0" t="str">
        <f aca="false">IF(AND($B42="D03",$C42="G6"),X41&amp;IF(X41="","",CHAR(10))&amp;$A42,X41)</f>
        <v/>
      </c>
      <c r="Y42" s="0" t="str">
        <f aca="false">IF(AND($B42="D04",$C42="G0"),Y41&amp;IF(Y41="","",CHAR(10))&amp;$A42,Y41)</f>
        <v/>
      </c>
      <c r="Z42" s="0" t="str">
        <f aca="false">IF(AND($B42="D04",$C42="G1"),Z41&amp;IF(Z41="","",CHAR(10))&amp;$A42,Z41)</f>
        <v/>
      </c>
      <c r="AA42" s="0" t="str">
        <f aca="false">IF(AND($B42="D04",$C42="G2"),AA41&amp;IF(AA41="","",CHAR(10))&amp;$A42,AA41)</f>
        <v/>
      </c>
      <c r="AB42" s="0" t="str">
        <f aca="false">IF(AND($B42="D04",$C42="G3"),AB41&amp;IF(AB41="","",CHAR(10))&amp;$A42,AB41)</f>
        <v>● 020 IDC與邊緣運算底座</v>
      </c>
      <c r="AC42" s="363" t="str">
        <f aca="false">IF(AND($B42="D04",$C42="G4"),AC41&amp;IF(AC41="","",CHAR(10))&amp;$A42,AC41)</f>
        <v>● 021 有線無線網路與分區
◐ 022 資安營運與零信任
● 023 BMS與能源管理
● 024 RTLS與資產／人員定位
● 025 智慧病房、護理呼叫與感測
● 026 災難復原與營運持續</v>
      </c>
      <c r="AD42" s="0" t="str">
        <f aca="false">IF(AND($B42="D04",$C42="G5"),AD41&amp;IF(AD41="","",CHAR(10))&amp;$A42,AD41)</f>
        <v/>
      </c>
      <c r="AE42" s="0" t="str">
        <f aca="false">IF(AND($B42="D04",$C42="G6"),AE41&amp;IF(AE41="","",CHAR(10))&amp;$A42,AE41)</f>
        <v/>
      </c>
      <c r="AF42" s="0" t="str">
        <f aca="false">IF(AND($B42="D05",$C42="G0"),AF41&amp;IF(AF41="","",CHAR(10))&amp;$A42,AF41)</f>
        <v/>
      </c>
      <c r="AG42" s="0" t="str">
        <f aca="false">IF(AND($B42="D05",$C42="G1"),AG41&amp;IF(AG41="","",CHAR(10))&amp;$A42,AG41)</f>
        <v/>
      </c>
      <c r="AH42" s="0" t="str">
        <f aca="false">IF(AND($B42="D05",$C42="G2"),AH41&amp;IF(AH41="","",CHAR(10))&amp;$A42,AH41)</f>
        <v>◐ 027 醫材需求與設備計畫</v>
      </c>
      <c r="AI42" s="0" t="str">
        <f aca="false">IF(AND($B42="D05",$C42="G3"),AI41&amp;IF(AI41="","",CHAR(10))&amp;$A42,AI41)</f>
        <v/>
      </c>
      <c r="AJ42" s="363" t="str">
        <f aca="false">IF(AND($B42="D05",$C42="G4"),AJ41&amp;IF(AJ41="","",CHAR(10))&amp;$A42,AJ41)</f>
        <v>○ 028 影像設備、PACS與報告流程
○ 029 實驗室自動化與LIS
○ 030 手術室與重症整合
◐ 031 醫材介接與裝置身分
◐ 032 醫療工程與設備生命週期</v>
      </c>
      <c r="AK42" s="0" t="str">
        <f aca="false">IF(AND($B42="D05",$C42="G5"),AK41&amp;IF(AK41="","",CHAR(10))&amp;$A42,AK41)</f>
        <v/>
      </c>
      <c r="AL42" s="0" t="str">
        <f aca="false">IF(AND($B42="D05",$C42="G6"),AL41&amp;IF(AL41="","",CHAR(10))&amp;$A42,AL41)</f>
        <v/>
      </c>
      <c r="AM42" s="0" t="str">
        <f aca="false">IF(AND($B42="D06",$C42="G0"),AM41&amp;IF(AM41="","",CHAR(10))&amp;$A42,AM41)</f>
        <v/>
      </c>
      <c r="AN42" s="0" t="str">
        <f aca="false">IF(AND($B42="D06",$C42="G1"),AN41&amp;IF(AN41="","",CHAR(10))&amp;$A42,AN41)</f>
        <v/>
      </c>
      <c r="AO42" s="0" t="str">
        <f aca="false">IF(AND($B42="D06",$C42="G2"),AO41&amp;IF(AO41="","",CHAR(10))&amp;$A42,AO41)</f>
        <v/>
      </c>
      <c r="AP42" s="363" t="str">
        <f aca="false">IF(AND($B42="D06",$C42="G3"),AP41&amp;IF(AP41="","",CHAR(10))&amp;$A42,AP41)</f>
        <v>◐ 033 HIS／EMR核心平台
◐ 036 臨床術語與主資料治理</v>
      </c>
      <c r="AQ42" s="363" t="str">
        <f aca="false">IF(AND($B42="D06",$C42="G4"),AQ41&amp;IF(AQ41="","",CHAR(10))&amp;$A42,AQ41)</f>
        <v>◐ 034 FHIR介接與API管理
○ 035 主病人索引與身分整合
◐ 037 電子醫囑、用藥與決策支援
◐ 038 資料平台、BI與營運指揮</v>
      </c>
      <c r="AR42" s="0" t="str">
        <f aca="false">IF(AND($B42="D06",$C42="G5"),AR41&amp;IF(AR41="","",CHAR(10))&amp;$A42,AR41)</f>
        <v/>
      </c>
      <c r="AS42" s="0" t="str">
        <f aca="false">IF(AND($B42="D06",$C42="G6"),AS41&amp;IF(AS41="","",CHAR(10))&amp;$A42,AS41)</f>
        <v/>
      </c>
      <c r="AT42" s="0" t="str">
        <f aca="false">IF(AND($B42="D07",$C42="G0"),AT41&amp;IF(AT41="","",CHAR(10))&amp;$A42,AT41)</f>
        <v/>
      </c>
      <c r="AU42" s="0" t="str">
        <f aca="false">IF(AND($B42="D07",$C42="G1"),AU41&amp;IF(AU41="","",CHAR(10))&amp;$A42,AU41)</f>
        <v/>
      </c>
      <c r="AV42" s="0" t="str">
        <f aca="false">IF(AND($B42="D07",$C42="G2"),AV41&amp;IF(AV41="","",CHAR(10))&amp;$A42,AV41)</f>
        <v/>
      </c>
      <c r="AW42" s="0" t="str">
        <f aca="false">IF(AND($B42="D07",$C42="G3"),AW41&amp;IF(AW41="","",CHAR(10))&amp;$A42,AW41)</f>
        <v/>
      </c>
      <c r="AX42" s="0" t="str">
        <f aca="false">IF(AND($B42="D07",$C42="G4"),AX41&amp;IF(AX41="","",CHAR(10))&amp;$A42,AX41)</f>
        <v/>
      </c>
      <c r="AY42" s="0" t="str">
        <f aca="false">IF(AND($B42="D07",$C42="G5"),AY41&amp;IF(AY41="","",CHAR(10))&amp;$A42,AY41)</f>
        <v/>
      </c>
      <c r="AZ42" s="0" t="str">
        <f aca="false">IF(AND($B42="D07",$C42="G6"),AZ41&amp;IF(AZ41="","",CHAR(10))&amp;$A42,AZ41)</f>
        <v/>
      </c>
      <c r="BA42" s="0" t="str">
        <f aca="false">IF(AND($B42="D08",$C42="G0"),BA41&amp;IF(BA41="","",CHAR(10))&amp;$A42,BA41)</f>
        <v/>
      </c>
      <c r="BB42" s="0" t="str">
        <f aca="false">IF(AND($B42="D08",$C42="G1"),BB41&amp;IF(BB41="","",CHAR(10))&amp;$A42,BB41)</f>
        <v/>
      </c>
      <c r="BC42" s="0" t="str">
        <f aca="false">IF(AND($B42="D08",$C42="G2"),BC41&amp;IF(BC41="","",CHAR(10))&amp;$A42,BC41)</f>
        <v/>
      </c>
      <c r="BD42" s="0" t="str">
        <f aca="false">IF(AND($B42="D08",$C42="G3"),BD41&amp;IF(BD41="","",CHAR(10))&amp;$A42,BD41)</f>
        <v/>
      </c>
      <c r="BE42" s="0" t="str">
        <f aca="false">IF(AND($B42="D08",$C42="G4"),BE41&amp;IF(BE41="","",CHAR(10))&amp;$A42,BE41)</f>
        <v/>
      </c>
      <c r="BF42" s="0" t="str">
        <f aca="false">IF(AND($B42="D08",$C42="G5"),BF41&amp;IF(BF41="","",CHAR(10))&amp;$A42,BF41)</f>
        <v/>
      </c>
      <c r="BG42" s="0" t="str">
        <f aca="false">IF(AND($B42="D08",$C42="G6"),BG41&amp;IF(BG41="","",CHAR(10))&amp;$A42,BG41)</f>
        <v/>
      </c>
      <c r="BH42" s="0" t="str">
        <f aca="false">IF(AND($B42="D09",$C42="G0"),BH41&amp;IF(BH41="","",CHAR(10))&amp;$A42,BH41)</f>
        <v/>
      </c>
      <c r="BI42" s="0" t="str">
        <f aca="false">IF(AND($B42="D09",$C42="G1"),BI41&amp;IF(BI41="","",CHAR(10))&amp;$A42,BI41)</f>
        <v/>
      </c>
      <c r="BJ42" s="0" t="str">
        <f aca="false">IF(AND($B42="D09",$C42="G2"),BJ41&amp;IF(BJ41="","",CHAR(10))&amp;$A42,BJ41)</f>
        <v/>
      </c>
      <c r="BK42" s="0" t="str">
        <f aca="false">IF(AND($B42="D09",$C42="G3"),BK41&amp;IF(BK41="","",CHAR(10))&amp;$A42,BK41)</f>
        <v/>
      </c>
      <c r="BL42" s="0" t="str">
        <f aca="false">IF(AND($B42="D09",$C42="G4"),BL41&amp;IF(BL41="","",CHAR(10))&amp;$A42,BL41)</f>
        <v/>
      </c>
      <c r="BM42" s="0" t="str">
        <f aca="false">IF(AND($B42="D09",$C42="G5"),BM41&amp;IF(BM41="","",CHAR(10))&amp;$A42,BM41)</f>
        <v/>
      </c>
      <c r="BN42" s="0" t="str">
        <f aca="false">IF(AND($B42="D09",$C42="G6"),BN41&amp;IF(BN41="","",CHAR(10))&amp;$A42,BN41)</f>
        <v/>
      </c>
      <c r="BO42" s="0" t="str">
        <f aca="false">IF(AND($B42="D10",$C42="G0"),BO41&amp;IF(BO41="","",CHAR(10))&amp;$A42,BO41)</f>
        <v/>
      </c>
      <c r="BP42" s="0" t="str">
        <f aca="false">IF(AND($B42="D10",$C42="G1"),BP41&amp;IF(BP41="","",CHAR(10))&amp;$A42,BP41)</f>
        <v/>
      </c>
      <c r="BQ42" s="0" t="str">
        <f aca="false">IF(AND($B42="D10",$C42="G2"),BQ41&amp;IF(BQ41="","",CHAR(10))&amp;$A42,BQ41)</f>
        <v/>
      </c>
      <c r="BR42" s="0" t="str">
        <f aca="false">IF(AND($B42="D10",$C42="G3"),BR41&amp;IF(BR41="","",CHAR(10))&amp;$A42,BR41)</f>
        <v/>
      </c>
      <c r="BS42" s="0" t="str">
        <f aca="false">IF(AND($B42="D10",$C42="G4"),BS41&amp;IF(BS41="","",CHAR(10))&amp;$A42,BS41)</f>
        <v/>
      </c>
      <c r="BT42" s="0" t="str">
        <f aca="false">IF(AND($B42="D10",$C42="G5"),BT41&amp;IF(BT41="","",CHAR(10))&amp;$A42,BT41)</f>
        <v/>
      </c>
      <c r="BU42" s="0" t="str">
        <f aca="false">IF(AND($B42="D10",$C42="G6"),BU41&amp;IF(BU41="","",CHAR(10))&amp;$A42,BU41)</f>
        <v/>
      </c>
      <c r="BX42" s="0" t="str">
        <f aca="false">IF(AND(03_能力總表_Master!$A42&lt;&gt;"",LEFT(03_能力總表_Master!$H42,2)="缺口"),MAX($BX$4:BX41)+1,"")</f>
        <v/>
      </c>
      <c r="BY42" s="0" t="str">
        <f aca="false">IF(AND(03_能力總表_Master!$A42&lt;&gt;"",03_能力總表_Master!$J42=12_夥伴視角_PartnerView!$C$4),MAX($BY$4:BY41)+1,"")</f>
        <v/>
      </c>
      <c r="BZ42" s="0" t="n">
        <f aca="false">IF(AND(05_法規門檻_Gates!$A42&lt;&gt;"",05_法規門檻_Gates!$E42="強制",05_法規門檻_Gates!$F42="待確認"),MAX($BZ$4:BZ41)+1,"")</f>
        <v>12</v>
      </c>
      <c r="CC42" s="0" t="str">
        <f aca="false">IF(AND(03_能力總表_Master!$A42&lt;&gt;"",IFERROR(INDEX(16_能力商機矩陣_CapOppMap!$D42:$CO42,MATCH(LEFT(17_商機作戰卡_OppView!$C$4,6),16_能力商機矩陣_CapOppMap!$D$4:$CO$4,0)),"")="✓"),MAX($CC$4:CC41)+1,"")</f>
        <v/>
      </c>
    </row>
    <row r="43" customFormat="false" ht="95.5" hidden="false" customHeight="false" outlineLevel="0" collapsed="false">
      <c r="A43" s="0" t="str">
        <f aca="false">IF(03_能力總表_Master!$A43="","",IF(LEFT(03_能力總表_Master!$H43,2)="群晶","● ",IF(ISNUMBER(SEARCH("已確認",03_能力總表_Master!$H43)),"◆ ",IF(ISNUMBER(SEARCH("缺口",03_能力總表_Master!$H43)),"○ ","◐ ")))&amp;RIGHT(03_能力總表_Master!$A43,3)&amp;" "&amp;03_能力總表_Master!$E43)</f>
        <v>○ 039 病人入口、行動服務與VNeID準備</v>
      </c>
      <c r="B43" s="0" t="str">
        <f aca="false">IF(03_能力總表_Master!$A43="","",LEFT(03_能力總表_Master!$B43,3))</f>
        <v>D06</v>
      </c>
      <c r="C43" s="0" t="str">
        <f aca="false">IF(03_能力總表_Master!$A43="","",03_能力總表_Master!$C43)</f>
        <v>G5</v>
      </c>
      <c r="D43" s="363" t="str">
        <f aca="false">IF(AND($B43="D01",$C43="G0"),D42&amp;IF(D42="","",CHAR(10))&amp;$A43,D42)</f>
        <v>◐ 001 政府授權與計畫章程
◐ 002 利害關係人與權力地圖
◐ 005 聯盟治理與利益衝突</v>
      </c>
      <c r="E43" s="363" t="str">
        <f aca="false">IF(AND($B43="D01",$C43="G1"),E42&amp;IF(E42="","",CHAR(10))&amp;$A43,E42)</f>
        <v>◐ 003 交易模式選擇
◐ 004 法規與執照路徑</v>
      </c>
      <c r="F43" s="0" t="str">
        <f aca="false">IF(AND($B43="D01",$C43="G2"),F42&amp;IF(F42="","",CHAR(10))&amp;$A43,F42)</f>
        <v>◐ 006 績效契約與變更控制</v>
      </c>
      <c r="G43" s="0" t="str">
        <f aca="false">IF(AND($B43="D01",$C43="G3"),G42&amp;IF(G42="","",CHAR(10))&amp;$A43,G42)</f>
        <v/>
      </c>
      <c r="H43" s="0" t="str">
        <f aca="false">IF(AND($B43="D01",$C43="G4"),H42&amp;IF(H42="","",CHAR(10))&amp;$A43,H42)</f>
        <v/>
      </c>
      <c r="I43" s="0" t="str">
        <f aca="false">IF(AND($B43="D01",$C43="G5"),I42&amp;IF(I42="","",CHAR(10))&amp;$A43,I42)</f>
        <v/>
      </c>
      <c r="J43" s="0" t="str">
        <f aca="false">IF(AND($B43="D01",$C43="G6"),J42&amp;IF(J42="","",CHAR(10))&amp;$A43,J42)</f>
        <v/>
      </c>
      <c r="K43" s="0" t="str">
        <f aca="false">IF(AND($B43="D02",$C43="G0"),K42&amp;IF(K42="","",CHAR(10))&amp;$A43,K42)</f>
        <v/>
      </c>
      <c r="L43" s="363" t="str">
        <f aca="false">IF(AND($B43="D02",$C43="G1"),L42&amp;IF(L42="","",CHAR(10))&amp;$A43,L42)</f>
        <v>◐ 007 人口需求與病例量預測
◐ 008 醫院定位與服務組合
◐ 009 重點專科優先化
◐ 010 病人流程與容量設計
◐ 011 轉診與區域照護網絡
◐ 012 臨床治理與責任架構</v>
      </c>
      <c r="M43" s="0" t="str">
        <f aca="false">IF(AND($B43="D02",$C43="G2"),M42&amp;IF(M42="","",CHAR(10))&amp;$A43,M42)</f>
        <v/>
      </c>
      <c r="N43" s="0" t="str">
        <f aca="false">IF(AND($B43="D02",$C43="G3"),N42&amp;IF(N42="","",CHAR(10))&amp;$A43,N42)</f>
        <v/>
      </c>
      <c r="O43" s="0" t="str">
        <f aca="false">IF(AND($B43="D02",$C43="G4"),O42&amp;IF(O42="","",CHAR(10))&amp;$A43,O42)</f>
        <v/>
      </c>
      <c r="P43" s="0" t="str">
        <f aca="false">IF(AND($B43="D02",$C43="G5"),P42&amp;IF(P42="","",CHAR(10))&amp;$A43,P42)</f>
        <v/>
      </c>
      <c r="Q43" s="0" t="str">
        <f aca="false">IF(AND($B43="D02",$C43="G6"),Q42&amp;IF(Q42="","",CHAR(10))&amp;$A43,Q42)</f>
        <v/>
      </c>
      <c r="R43" s="0" t="str">
        <f aca="false">IF(AND($B43="D03",$C43="G0"),R42&amp;IF(R42="","",CHAR(10))&amp;$A43,R42)</f>
        <v/>
      </c>
      <c r="S43" s="0" t="str">
        <f aca="false">IF(AND($B43="D03",$C43="G1"),S42&amp;IF(S42="","",CHAR(10))&amp;$A43,S42)</f>
        <v>◐ 013 場址與醫院總體規劃</v>
      </c>
      <c r="T43" s="363" t="str">
        <f aca="false">IF(AND($B43="D03",$C43="G2"),T42&amp;IF(T42="","",CHAR(10))&amp;$A43,T42)</f>
        <v>◐ 014 醫療建築功能計畫
◐ 015 感染控制與潔污動線
◐ 019 綠色與氣候韌性醫院</v>
      </c>
      <c r="U43" s="363" t="str">
        <f aca="false">IF(AND($B43="D03",$C43="G3"),U42&amp;IF(U42="","",CHAR(10))&amp;$A43,U42)</f>
        <v>● 016 電力、備援與微電網
◐ 017 醫療氣體與關鍵公用系統
◐ 018 醫療廢棄物與水資源</v>
      </c>
      <c r="V43" s="0" t="str">
        <f aca="false">IF(AND($B43="D03",$C43="G4"),V42&amp;IF(V42="","",CHAR(10))&amp;$A43,V42)</f>
        <v/>
      </c>
      <c r="W43" s="0" t="str">
        <f aca="false">IF(AND($B43="D03",$C43="G5"),W42&amp;IF(W42="","",CHAR(10))&amp;$A43,W42)</f>
        <v/>
      </c>
      <c r="X43" s="0" t="str">
        <f aca="false">IF(AND($B43="D03",$C43="G6"),X42&amp;IF(X42="","",CHAR(10))&amp;$A43,X42)</f>
        <v/>
      </c>
      <c r="Y43" s="0" t="str">
        <f aca="false">IF(AND($B43="D04",$C43="G0"),Y42&amp;IF(Y42="","",CHAR(10))&amp;$A43,Y42)</f>
        <v/>
      </c>
      <c r="Z43" s="0" t="str">
        <f aca="false">IF(AND($B43="D04",$C43="G1"),Z42&amp;IF(Z42="","",CHAR(10))&amp;$A43,Z42)</f>
        <v/>
      </c>
      <c r="AA43" s="0" t="str">
        <f aca="false">IF(AND($B43="D04",$C43="G2"),AA42&amp;IF(AA42="","",CHAR(10))&amp;$A43,AA42)</f>
        <v/>
      </c>
      <c r="AB43" s="0" t="str">
        <f aca="false">IF(AND($B43="D04",$C43="G3"),AB42&amp;IF(AB42="","",CHAR(10))&amp;$A43,AB42)</f>
        <v>● 020 IDC與邊緣運算底座</v>
      </c>
      <c r="AC43" s="363" t="str">
        <f aca="false">IF(AND($B43="D04",$C43="G4"),AC42&amp;IF(AC42="","",CHAR(10))&amp;$A43,AC42)</f>
        <v>● 021 有線無線網路與分區
◐ 022 資安營運與零信任
● 023 BMS與能源管理
● 024 RTLS與資產／人員定位
● 025 智慧病房、護理呼叫與感測
● 026 災難復原與營運持續</v>
      </c>
      <c r="AD43" s="0" t="str">
        <f aca="false">IF(AND($B43="D04",$C43="G5"),AD42&amp;IF(AD42="","",CHAR(10))&amp;$A43,AD42)</f>
        <v/>
      </c>
      <c r="AE43" s="0" t="str">
        <f aca="false">IF(AND($B43="D04",$C43="G6"),AE42&amp;IF(AE42="","",CHAR(10))&amp;$A43,AE42)</f>
        <v/>
      </c>
      <c r="AF43" s="0" t="str">
        <f aca="false">IF(AND($B43="D05",$C43="G0"),AF42&amp;IF(AF42="","",CHAR(10))&amp;$A43,AF42)</f>
        <v/>
      </c>
      <c r="AG43" s="0" t="str">
        <f aca="false">IF(AND($B43="D05",$C43="G1"),AG42&amp;IF(AG42="","",CHAR(10))&amp;$A43,AG42)</f>
        <v/>
      </c>
      <c r="AH43" s="0" t="str">
        <f aca="false">IF(AND($B43="D05",$C43="G2"),AH42&amp;IF(AH42="","",CHAR(10))&amp;$A43,AH42)</f>
        <v>◐ 027 醫材需求與設備計畫</v>
      </c>
      <c r="AI43" s="0" t="str">
        <f aca="false">IF(AND($B43="D05",$C43="G3"),AI42&amp;IF(AI42="","",CHAR(10))&amp;$A43,AI42)</f>
        <v/>
      </c>
      <c r="AJ43" s="363" t="str">
        <f aca="false">IF(AND($B43="D05",$C43="G4"),AJ42&amp;IF(AJ42="","",CHAR(10))&amp;$A43,AJ42)</f>
        <v>○ 028 影像設備、PACS與報告流程
○ 029 實驗室自動化與LIS
○ 030 手術室與重症整合
◐ 031 醫材介接與裝置身分
◐ 032 醫療工程與設備生命週期</v>
      </c>
      <c r="AK43" s="0" t="str">
        <f aca="false">IF(AND($B43="D05",$C43="G5"),AK42&amp;IF(AK42="","",CHAR(10))&amp;$A43,AK42)</f>
        <v/>
      </c>
      <c r="AL43" s="0" t="str">
        <f aca="false">IF(AND($B43="D05",$C43="G6"),AL42&amp;IF(AL42="","",CHAR(10))&amp;$A43,AL42)</f>
        <v/>
      </c>
      <c r="AM43" s="0" t="str">
        <f aca="false">IF(AND($B43="D06",$C43="G0"),AM42&amp;IF(AM42="","",CHAR(10))&amp;$A43,AM42)</f>
        <v/>
      </c>
      <c r="AN43" s="0" t="str">
        <f aca="false">IF(AND($B43="D06",$C43="G1"),AN42&amp;IF(AN42="","",CHAR(10))&amp;$A43,AN42)</f>
        <v/>
      </c>
      <c r="AO43" s="0" t="str">
        <f aca="false">IF(AND($B43="D06",$C43="G2"),AO42&amp;IF(AO42="","",CHAR(10))&amp;$A43,AO42)</f>
        <v/>
      </c>
      <c r="AP43" s="363" t="str">
        <f aca="false">IF(AND($B43="D06",$C43="G3"),AP42&amp;IF(AP42="","",CHAR(10))&amp;$A43,AP42)</f>
        <v>◐ 033 HIS／EMR核心平台
◐ 036 臨床術語與主資料治理</v>
      </c>
      <c r="AQ43" s="363" t="str">
        <f aca="false">IF(AND($B43="D06",$C43="G4"),AQ42&amp;IF(AQ42="","",CHAR(10))&amp;$A43,AQ42)</f>
        <v>◐ 034 FHIR介接與API管理
○ 035 主病人索引與身分整合
◐ 037 電子醫囑、用藥與決策支援
◐ 038 資料平台、BI與營運指揮</v>
      </c>
      <c r="AR43" s="0" t="str">
        <f aca="false">IF(AND($B43="D06",$C43="G5"),AR42&amp;IF(AR42="","",CHAR(10))&amp;$A43,AR42)</f>
        <v>○ 039 病人入口、行動服務與VNeID準備</v>
      </c>
      <c r="AS43" s="0" t="str">
        <f aca="false">IF(AND($B43="D06",$C43="G6"),AS42&amp;IF(AS42="","",CHAR(10))&amp;$A43,AS42)</f>
        <v/>
      </c>
      <c r="AT43" s="0" t="str">
        <f aca="false">IF(AND($B43="D07",$C43="G0"),AT42&amp;IF(AT42="","",CHAR(10))&amp;$A43,AT42)</f>
        <v/>
      </c>
      <c r="AU43" s="0" t="str">
        <f aca="false">IF(AND($B43="D07",$C43="G1"),AU42&amp;IF(AU42="","",CHAR(10))&amp;$A43,AU42)</f>
        <v/>
      </c>
      <c r="AV43" s="0" t="str">
        <f aca="false">IF(AND($B43="D07",$C43="G2"),AV42&amp;IF(AV42="","",CHAR(10))&amp;$A43,AV42)</f>
        <v/>
      </c>
      <c r="AW43" s="0" t="str">
        <f aca="false">IF(AND($B43="D07",$C43="G3"),AW42&amp;IF(AW42="","",CHAR(10))&amp;$A43,AW42)</f>
        <v/>
      </c>
      <c r="AX43" s="0" t="str">
        <f aca="false">IF(AND($B43="D07",$C43="G4"),AX42&amp;IF(AX42="","",CHAR(10))&amp;$A43,AX42)</f>
        <v/>
      </c>
      <c r="AY43" s="0" t="str">
        <f aca="false">IF(AND($B43="D07",$C43="G5"),AY42&amp;IF(AY42="","",CHAR(10))&amp;$A43,AY42)</f>
        <v/>
      </c>
      <c r="AZ43" s="0" t="str">
        <f aca="false">IF(AND($B43="D07",$C43="G6"),AZ42&amp;IF(AZ42="","",CHAR(10))&amp;$A43,AZ42)</f>
        <v/>
      </c>
      <c r="BA43" s="0" t="str">
        <f aca="false">IF(AND($B43="D08",$C43="G0"),BA42&amp;IF(BA42="","",CHAR(10))&amp;$A43,BA42)</f>
        <v/>
      </c>
      <c r="BB43" s="0" t="str">
        <f aca="false">IF(AND($B43="D08",$C43="G1"),BB42&amp;IF(BB42="","",CHAR(10))&amp;$A43,BB42)</f>
        <v/>
      </c>
      <c r="BC43" s="0" t="str">
        <f aca="false">IF(AND($B43="D08",$C43="G2"),BC42&amp;IF(BC42="","",CHAR(10))&amp;$A43,BC42)</f>
        <v/>
      </c>
      <c r="BD43" s="0" t="str">
        <f aca="false">IF(AND($B43="D08",$C43="G3"),BD42&amp;IF(BD42="","",CHAR(10))&amp;$A43,BD42)</f>
        <v/>
      </c>
      <c r="BE43" s="0" t="str">
        <f aca="false">IF(AND($B43="D08",$C43="G4"),BE42&amp;IF(BE42="","",CHAR(10))&amp;$A43,BE42)</f>
        <v/>
      </c>
      <c r="BF43" s="0" t="str">
        <f aca="false">IF(AND($B43="D08",$C43="G5"),BF42&amp;IF(BF42="","",CHAR(10))&amp;$A43,BF42)</f>
        <v/>
      </c>
      <c r="BG43" s="0" t="str">
        <f aca="false">IF(AND($B43="D08",$C43="G6"),BG42&amp;IF(BG42="","",CHAR(10))&amp;$A43,BG42)</f>
        <v/>
      </c>
      <c r="BH43" s="0" t="str">
        <f aca="false">IF(AND($B43="D09",$C43="G0"),BH42&amp;IF(BH42="","",CHAR(10))&amp;$A43,BH42)</f>
        <v/>
      </c>
      <c r="BI43" s="0" t="str">
        <f aca="false">IF(AND($B43="D09",$C43="G1"),BI42&amp;IF(BI42="","",CHAR(10))&amp;$A43,BI42)</f>
        <v/>
      </c>
      <c r="BJ43" s="0" t="str">
        <f aca="false">IF(AND($B43="D09",$C43="G2"),BJ42&amp;IF(BJ42="","",CHAR(10))&amp;$A43,BJ42)</f>
        <v/>
      </c>
      <c r="BK43" s="0" t="str">
        <f aca="false">IF(AND($B43="D09",$C43="G3"),BK42&amp;IF(BK42="","",CHAR(10))&amp;$A43,BK42)</f>
        <v/>
      </c>
      <c r="BL43" s="0" t="str">
        <f aca="false">IF(AND($B43="D09",$C43="G4"),BL42&amp;IF(BL42="","",CHAR(10))&amp;$A43,BL42)</f>
        <v/>
      </c>
      <c r="BM43" s="0" t="str">
        <f aca="false">IF(AND($B43="D09",$C43="G5"),BM42&amp;IF(BM42="","",CHAR(10))&amp;$A43,BM42)</f>
        <v/>
      </c>
      <c r="BN43" s="0" t="str">
        <f aca="false">IF(AND($B43="D09",$C43="G6"),BN42&amp;IF(BN42="","",CHAR(10))&amp;$A43,BN42)</f>
        <v/>
      </c>
      <c r="BO43" s="0" t="str">
        <f aca="false">IF(AND($B43="D10",$C43="G0"),BO42&amp;IF(BO42="","",CHAR(10))&amp;$A43,BO42)</f>
        <v/>
      </c>
      <c r="BP43" s="0" t="str">
        <f aca="false">IF(AND($B43="D10",$C43="G1"),BP42&amp;IF(BP42="","",CHAR(10))&amp;$A43,BP42)</f>
        <v/>
      </c>
      <c r="BQ43" s="0" t="str">
        <f aca="false">IF(AND($B43="D10",$C43="G2"),BQ42&amp;IF(BQ42="","",CHAR(10))&amp;$A43,BQ42)</f>
        <v/>
      </c>
      <c r="BR43" s="0" t="str">
        <f aca="false">IF(AND($B43="D10",$C43="G3"),BR42&amp;IF(BR42="","",CHAR(10))&amp;$A43,BR42)</f>
        <v/>
      </c>
      <c r="BS43" s="0" t="str">
        <f aca="false">IF(AND($B43="D10",$C43="G4"),BS42&amp;IF(BS42="","",CHAR(10))&amp;$A43,BS42)</f>
        <v/>
      </c>
      <c r="BT43" s="0" t="str">
        <f aca="false">IF(AND($B43="D10",$C43="G5"),BT42&amp;IF(BT42="","",CHAR(10))&amp;$A43,BT42)</f>
        <v/>
      </c>
      <c r="BU43" s="0" t="str">
        <f aca="false">IF(AND($B43="D10",$C43="G6"),BU42&amp;IF(BU42="","",CHAR(10))&amp;$A43,BU42)</f>
        <v/>
      </c>
      <c r="BX43" s="0" t="n">
        <f aca="false">IF(AND(03_能力總表_Master!$A43&lt;&gt;"",LEFT(03_能力總表_Master!$H43,2)="缺口"),MAX($BX$4:BX42)+1,"")</f>
        <v>5</v>
      </c>
      <c r="BY43" s="0" t="str">
        <f aca="false">IF(AND(03_能力總表_Master!$A43&lt;&gt;"",03_能力總表_Master!$J43=12_夥伴視角_PartnerView!$C$4),MAX($BY$4:BY42)+1,"")</f>
        <v/>
      </c>
      <c r="BZ43" s="0" t="n">
        <f aca="false">IF(AND(05_法規門檻_Gates!$A43&lt;&gt;"",05_法規門檻_Gates!$E43="強制",05_法規門檻_Gates!$F43="待確認"),MAX($BZ$4:BZ42)+1,"")</f>
        <v>13</v>
      </c>
      <c r="CC43" s="0" t="str">
        <f aca="false">IF(AND(03_能力總表_Master!$A43&lt;&gt;"",IFERROR(INDEX(16_能力商機矩陣_CapOppMap!$D43:$CO43,MATCH(LEFT(17_商機作戰卡_OppView!$C$4,6),16_能力商機矩陣_CapOppMap!$D$4:$CO$4,0)),"")="✓"),MAX($CC$4:CC42)+1,"")</f>
        <v/>
      </c>
    </row>
    <row r="44" customFormat="false" ht="95.5" hidden="false" customHeight="false" outlineLevel="0" collapsed="false">
      <c r="A44" s="0" t="str">
        <f aca="false">IF(03_能力總表_Master!$A44="","",IF(LEFT(03_能力總表_Master!$H44,2)="群晶","● ",IF(ISNUMBER(SEARCH("已確認",03_能力總表_Master!$H44)),"◆ ",IF(ISNUMBER(SEARCH("缺口",03_能力總表_Master!$H44)),"○ ","◐ ")))&amp;RIGHT(03_能力總表_Master!$A44,3)&amp;" "&amp;03_能力總表_Master!$E44)</f>
        <v>◐ 040 品質管理與JCI路線圖</v>
      </c>
      <c r="B44" s="0" t="str">
        <f aca="false">IF(03_能力總表_Master!$A44="","",LEFT(03_能力總表_Master!$B44,3))</f>
        <v>D07</v>
      </c>
      <c r="C44" s="0" t="str">
        <f aca="false">IF(03_能力總表_Master!$A44="","",03_能力總表_Master!$C44)</f>
        <v>G2</v>
      </c>
      <c r="D44" s="363" t="str">
        <f aca="false">IF(AND($B44="D01",$C44="G0"),D43&amp;IF(D43="","",CHAR(10))&amp;$A44,D43)</f>
        <v>◐ 001 政府授權與計畫章程
◐ 002 利害關係人與權力地圖
◐ 005 聯盟治理與利益衝突</v>
      </c>
      <c r="E44" s="363" t="str">
        <f aca="false">IF(AND($B44="D01",$C44="G1"),E43&amp;IF(E43="","",CHAR(10))&amp;$A44,E43)</f>
        <v>◐ 003 交易模式選擇
◐ 004 法規與執照路徑</v>
      </c>
      <c r="F44" s="0" t="str">
        <f aca="false">IF(AND($B44="D01",$C44="G2"),F43&amp;IF(F43="","",CHAR(10))&amp;$A44,F43)</f>
        <v>◐ 006 績效契約與變更控制</v>
      </c>
      <c r="G44" s="0" t="str">
        <f aca="false">IF(AND($B44="D01",$C44="G3"),G43&amp;IF(G43="","",CHAR(10))&amp;$A44,G43)</f>
        <v/>
      </c>
      <c r="H44" s="0" t="str">
        <f aca="false">IF(AND($B44="D01",$C44="G4"),H43&amp;IF(H43="","",CHAR(10))&amp;$A44,H43)</f>
        <v/>
      </c>
      <c r="I44" s="0" t="str">
        <f aca="false">IF(AND($B44="D01",$C44="G5"),I43&amp;IF(I43="","",CHAR(10))&amp;$A44,I43)</f>
        <v/>
      </c>
      <c r="J44" s="0" t="str">
        <f aca="false">IF(AND($B44="D01",$C44="G6"),J43&amp;IF(J43="","",CHAR(10))&amp;$A44,J43)</f>
        <v/>
      </c>
      <c r="K44" s="0" t="str">
        <f aca="false">IF(AND($B44="D02",$C44="G0"),K43&amp;IF(K43="","",CHAR(10))&amp;$A44,K43)</f>
        <v/>
      </c>
      <c r="L44" s="363" t="str">
        <f aca="false">IF(AND($B44="D02",$C44="G1"),L43&amp;IF(L43="","",CHAR(10))&amp;$A44,L43)</f>
        <v>◐ 007 人口需求與病例量預測
◐ 008 醫院定位與服務組合
◐ 009 重點專科優先化
◐ 010 病人流程與容量設計
◐ 011 轉診與區域照護網絡
◐ 012 臨床治理與責任架構</v>
      </c>
      <c r="M44" s="0" t="str">
        <f aca="false">IF(AND($B44="D02",$C44="G2"),M43&amp;IF(M43="","",CHAR(10))&amp;$A44,M43)</f>
        <v/>
      </c>
      <c r="N44" s="0" t="str">
        <f aca="false">IF(AND($B44="D02",$C44="G3"),N43&amp;IF(N43="","",CHAR(10))&amp;$A44,N43)</f>
        <v/>
      </c>
      <c r="O44" s="0" t="str">
        <f aca="false">IF(AND($B44="D02",$C44="G4"),O43&amp;IF(O43="","",CHAR(10))&amp;$A44,O43)</f>
        <v/>
      </c>
      <c r="P44" s="0" t="str">
        <f aca="false">IF(AND($B44="D02",$C44="G5"),P43&amp;IF(P43="","",CHAR(10))&amp;$A44,P43)</f>
        <v/>
      </c>
      <c r="Q44" s="0" t="str">
        <f aca="false">IF(AND($B44="D02",$C44="G6"),Q43&amp;IF(Q43="","",CHAR(10))&amp;$A44,Q43)</f>
        <v/>
      </c>
      <c r="R44" s="0" t="str">
        <f aca="false">IF(AND($B44="D03",$C44="G0"),R43&amp;IF(R43="","",CHAR(10))&amp;$A44,R43)</f>
        <v/>
      </c>
      <c r="S44" s="0" t="str">
        <f aca="false">IF(AND($B44="D03",$C44="G1"),S43&amp;IF(S43="","",CHAR(10))&amp;$A44,S43)</f>
        <v>◐ 013 場址與醫院總體規劃</v>
      </c>
      <c r="T44" s="363" t="str">
        <f aca="false">IF(AND($B44="D03",$C44="G2"),T43&amp;IF(T43="","",CHAR(10))&amp;$A44,T43)</f>
        <v>◐ 014 醫療建築功能計畫
◐ 015 感染控制與潔污動線
◐ 019 綠色與氣候韌性醫院</v>
      </c>
      <c r="U44" s="363" t="str">
        <f aca="false">IF(AND($B44="D03",$C44="G3"),U43&amp;IF(U43="","",CHAR(10))&amp;$A44,U43)</f>
        <v>● 016 電力、備援與微電網
◐ 017 醫療氣體與關鍵公用系統
◐ 018 醫療廢棄物與水資源</v>
      </c>
      <c r="V44" s="0" t="str">
        <f aca="false">IF(AND($B44="D03",$C44="G4"),V43&amp;IF(V43="","",CHAR(10))&amp;$A44,V43)</f>
        <v/>
      </c>
      <c r="W44" s="0" t="str">
        <f aca="false">IF(AND($B44="D03",$C44="G5"),W43&amp;IF(W43="","",CHAR(10))&amp;$A44,W43)</f>
        <v/>
      </c>
      <c r="X44" s="0" t="str">
        <f aca="false">IF(AND($B44="D03",$C44="G6"),X43&amp;IF(X43="","",CHAR(10))&amp;$A44,X43)</f>
        <v/>
      </c>
      <c r="Y44" s="0" t="str">
        <f aca="false">IF(AND($B44="D04",$C44="G0"),Y43&amp;IF(Y43="","",CHAR(10))&amp;$A44,Y43)</f>
        <v/>
      </c>
      <c r="Z44" s="0" t="str">
        <f aca="false">IF(AND($B44="D04",$C44="G1"),Z43&amp;IF(Z43="","",CHAR(10))&amp;$A44,Z43)</f>
        <v/>
      </c>
      <c r="AA44" s="0" t="str">
        <f aca="false">IF(AND($B44="D04",$C44="G2"),AA43&amp;IF(AA43="","",CHAR(10))&amp;$A44,AA43)</f>
        <v/>
      </c>
      <c r="AB44" s="0" t="str">
        <f aca="false">IF(AND($B44="D04",$C44="G3"),AB43&amp;IF(AB43="","",CHAR(10))&amp;$A44,AB43)</f>
        <v>● 020 IDC與邊緣運算底座</v>
      </c>
      <c r="AC44" s="363" t="str">
        <f aca="false">IF(AND($B44="D04",$C44="G4"),AC43&amp;IF(AC43="","",CHAR(10))&amp;$A44,AC43)</f>
        <v>● 021 有線無線網路與分區
◐ 022 資安營運與零信任
● 023 BMS與能源管理
● 024 RTLS與資產／人員定位
● 025 智慧病房、護理呼叫與感測
● 026 災難復原與營運持續</v>
      </c>
      <c r="AD44" s="0" t="str">
        <f aca="false">IF(AND($B44="D04",$C44="G5"),AD43&amp;IF(AD43="","",CHAR(10))&amp;$A44,AD43)</f>
        <v/>
      </c>
      <c r="AE44" s="0" t="str">
        <f aca="false">IF(AND($B44="D04",$C44="G6"),AE43&amp;IF(AE43="","",CHAR(10))&amp;$A44,AE43)</f>
        <v/>
      </c>
      <c r="AF44" s="0" t="str">
        <f aca="false">IF(AND($B44="D05",$C44="G0"),AF43&amp;IF(AF43="","",CHAR(10))&amp;$A44,AF43)</f>
        <v/>
      </c>
      <c r="AG44" s="0" t="str">
        <f aca="false">IF(AND($B44="D05",$C44="G1"),AG43&amp;IF(AG43="","",CHAR(10))&amp;$A44,AG43)</f>
        <v/>
      </c>
      <c r="AH44" s="0" t="str">
        <f aca="false">IF(AND($B44="D05",$C44="G2"),AH43&amp;IF(AH43="","",CHAR(10))&amp;$A44,AH43)</f>
        <v>◐ 027 醫材需求與設備計畫</v>
      </c>
      <c r="AI44" s="0" t="str">
        <f aca="false">IF(AND($B44="D05",$C44="G3"),AI43&amp;IF(AI43="","",CHAR(10))&amp;$A44,AI43)</f>
        <v/>
      </c>
      <c r="AJ44" s="363" t="str">
        <f aca="false">IF(AND($B44="D05",$C44="G4"),AJ43&amp;IF(AJ43="","",CHAR(10))&amp;$A44,AJ43)</f>
        <v>○ 028 影像設備、PACS與報告流程
○ 029 實驗室自動化與LIS
○ 030 手術室與重症整合
◐ 031 醫材介接與裝置身分
◐ 032 醫療工程與設備生命週期</v>
      </c>
      <c r="AK44" s="0" t="str">
        <f aca="false">IF(AND($B44="D05",$C44="G5"),AK43&amp;IF(AK43="","",CHAR(10))&amp;$A44,AK43)</f>
        <v/>
      </c>
      <c r="AL44" s="0" t="str">
        <f aca="false">IF(AND($B44="D05",$C44="G6"),AL43&amp;IF(AL43="","",CHAR(10))&amp;$A44,AL43)</f>
        <v/>
      </c>
      <c r="AM44" s="0" t="str">
        <f aca="false">IF(AND($B44="D06",$C44="G0"),AM43&amp;IF(AM43="","",CHAR(10))&amp;$A44,AM43)</f>
        <v/>
      </c>
      <c r="AN44" s="0" t="str">
        <f aca="false">IF(AND($B44="D06",$C44="G1"),AN43&amp;IF(AN43="","",CHAR(10))&amp;$A44,AN43)</f>
        <v/>
      </c>
      <c r="AO44" s="0" t="str">
        <f aca="false">IF(AND($B44="D06",$C44="G2"),AO43&amp;IF(AO43="","",CHAR(10))&amp;$A44,AO43)</f>
        <v/>
      </c>
      <c r="AP44" s="363" t="str">
        <f aca="false">IF(AND($B44="D06",$C44="G3"),AP43&amp;IF(AP43="","",CHAR(10))&amp;$A44,AP43)</f>
        <v>◐ 033 HIS／EMR核心平台
◐ 036 臨床術語與主資料治理</v>
      </c>
      <c r="AQ44" s="363" t="str">
        <f aca="false">IF(AND($B44="D06",$C44="G4"),AQ43&amp;IF(AQ43="","",CHAR(10))&amp;$A44,AQ43)</f>
        <v>◐ 034 FHIR介接與API管理
○ 035 主病人索引與身分整合
◐ 037 電子醫囑、用藥與決策支援
◐ 038 資料平台、BI與營運指揮</v>
      </c>
      <c r="AR44" s="0" t="str">
        <f aca="false">IF(AND($B44="D06",$C44="G5"),AR43&amp;IF(AR43="","",CHAR(10))&amp;$A44,AR43)</f>
        <v>○ 039 病人入口、行動服務與VNeID準備</v>
      </c>
      <c r="AS44" s="0" t="str">
        <f aca="false">IF(AND($B44="D06",$C44="G6"),AS43&amp;IF(AS43="","",CHAR(10))&amp;$A44,AS43)</f>
        <v/>
      </c>
      <c r="AT44" s="0" t="str">
        <f aca="false">IF(AND($B44="D07",$C44="G0"),AT43&amp;IF(AT43="","",CHAR(10))&amp;$A44,AT43)</f>
        <v/>
      </c>
      <c r="AU44" s="0" t="str">
        <f aca="false">IF(AND($B44="D07",$C44="G1"),AU43&amp;IF(AU43="","",CHAR(10))&amp;$A44,AU43)</f>
        <v/>
      </c>
      <c r="AV44" s="0" t="str">
        <f aca="false">IF(AND($B44="D07",$C44="G2"),AV43&amp;IF(AV43="","",CHAR(10))&amp;$A44,AV43)</f>
        <v>◐ 040 品質管理與JCI路線圖</v>
      </c>
      <c r="AW44" s="0" t="str">
        <f aca="false">IF(AND($B44="D07",$C44="G3"),AW43&amp;IF(AW43="","",CHAR(10))&amp;$A44,AW43)</f>
        <v/>
      </c>
      <c r="AX44" s="0" t="str">
        <f aca="false">IF(AND($B44="D07",$C44="G4"),AX43&amp;IF(AX43="","",CHAR(10))&amp;$A44,AX43)</f>
        <v/>
      </c>
      <c r="AY44" s="0" t="str">
        <f aca="false">IF(AND($B44="D07",$C44="G5"),AY43&amp;IF(AY43="","",CHAR(10))&amp;$A44,AY43)</f>
        <v/>
      </c>
      <c r="AZ44" s="0" t="str">
        <f aca="false">IF(AND($B44="D07",$C44="G6"),AZ43&amp;IF(AZ43="","",CHAR(10))&amp;$A44,AZ43)</f>
        <v/>
      </c>
      <c r="BA44" s="0" t="str">
        <f aca="false">IF(AND($B44="D08",$C44="G0"),BA43&amp;IF(BA43="","",CHAR(10))&amp;$A44,BA43)</f>
        <v/>
      </c>
      <c r="BB44" s="0" t="str">
        <f aca="false">IF(AND($B44="D08",$C44="G1"),BB43&amp;IF(BB43="","",CHAR(10))&amp;$A44,BB43)</f>
        <v/>
      </c>
      <c r="BC44" s="0" t="str">
        <f aca="false">IF(AND($B44="D08",$C44="G2"),BC43&amp;IF(BC43="","",CHAR(10))&amp;$A44,BC43)</f>
        <v/>
      </c>
      <c r="BD44" s="0" t="str">
        <f aca="false">IF(AND($B44="D08",$C44="G3"),BD43&amp;IF(BD43="","",CHAR(10))&amp;$A44,BD43)</f>
        <v/>
      </c>
      <c r="BE44" s="0" t="str">
        <f aca="false">IF(AND($B44="D08",$C44="G4"),BE43&amp;IF(BE43="","",CHAR(10))&amp;$A44,BE43)</f>
        <v/>
      </c>
      <c r="BF44" s="0" t="str">
        <f aca="false">IF(AND($B44="D08",$C44="G5"),BF43&amp;IF(BF43="","",CHAR(10))&amp;$A44,BF43)</f>
        <v/>
      </c>
      <c r="BG44" s="0" t="str">
        <f aca="false">IF(AND($B44="D08",$C44="G6"),BG43&amp;IF(BG43="","",CHAR(10))&amp;$A44,BG43)</f>
        <v/>
      </c>
      <c r="BH44" s="0" t="str">
        <f aca="false">IF(AND($B44="D09",$C44="G0"),BH43&amp;IF(BH43="","",CHAR(10))&amp;$A44,BH43)</f>
        <v/>
      </c>
      <c r="BI44" s="0" t="str">
        <f aca="false">IF(AND($B44="D09",$C44="G1"),BI43&amp;IF(BI43="","",CHAR(10))&amp;$A44,BI43)</f>
        <v/>
      </c>
      <c r="BJ44" s="0" t="str">
        <f aca="false">IF(AND($B44="D09",$C44="G2"),BJ43&amp;IF(BJ43="","",CHAR(10))&amp;$A44,BJ43)</f>
        <v/>
      </c>
      <c r="BK44" s="0" t="str">
        <f aca="false">IF(AND($B44="D09",$C44="G3"),BK43&amp;IF(BK43="","",CHAR(10))&amp;$A44,BK43)</f>
        <v/>
      </c>
      <c r="BL44" s="0" t="str">
        <f aca="false">IF(AND($B44="D09",$C44="G4"),BL43&amp;IF(BL43="","",CHAR(10))&amp;$A44,BL43)</f>
        <v/>
      </c>
      <c r="BM44" s="0" t="str">
        <f aca="false">IF(AND($B44="D09",$C44="G5"),BM43&amp;IF(BM43="","",CHAR(10))&amp;$A44,BM43)</f>
        <v/>
      </c>
      <c r="BN44" s="0" t="str">
        <f aca="false">IF(AND($B44="D09",$C44="G6"),BN43&amp;IF(BN43="","",CHAR(10))&amp;$A44,BN43)</f>
        <v/>
      </c>
      <c r="BO44" s="0" t="str">
        <f aca="false">IF(AND($B44="D10",$C44="G0"),BO43&amp;IF(BO43="","",CHAR(10))&amp;$A44,BO43)</f>
        <v/>
      </c>
      <c r="BP44" s="0" t="str">
        <f aca="false">IF(AND($B44="D10",$C44="G1"),BP43&amp;IF(BP43="","",CHAR(10))&amp;$A44,BP43)</f>
        <v/>
      </c>
      <c r="BQ44" s="0" t="str">
        <f aca="false">IF(AND($B44="D10",$C44="G2"),BQ43&amp;IF(BQ43="","",CHAR(10))&amp;$A44,BQ43)</f>
        <v/>
      </c>
      <c r="BR44" s="0" t="str">
        <f aca="false">IF(AND($B44="D10",$C44="G3"),BR43&amp;IF(BR43="","",CHAR(10))&amp;$A44,BR43)</f>
        <v/>
      </c>
      <c r="BS44" s="0" t="str">
        <f aca="false">IF(AND($B44="D10",$C44="G4"),BS43&amp;IF(BS43="","",CHAR(10))&amp;$A44,BS43)</f>
        <v/>
      </c>
      <c r="BT44" s="0" t="str">
        <f aca="false">IF(AND($B44="D10",$C44="G5"),BT43&amp;IF(BT43="","",CHAR(10))&amp;$A44,BT43)</f>
        <v/>
      </c>
      <c r="BU44" s="0" t="str">
        <f aca="false">IF(AND($B44="D10",$C44="G6"),BU43&amp;IF(BU43="","",CHAR(10))&amp;$A44,BU43)</f>
        <v/>
      </c>
      <c r="BX44" s="0" t="str">
        <f aca="false">IF(AND(03_能力總表_Master!$A44&lt;&gt;"",LEFT(03_能力總表_Master!$H44,2)="缺口"),MAX($BX$4:BX43)+1,"")</f>
        <v/>
      </c>
      <c r="BY44" s="0" t="str">
        <f aca="false">IF(AND(03_能力總表_Master!$A44&lt;&gt;"",03_能力總表_Master!$J44=12_夥伴視角_PartnerView!$C$4),MAX($BY$4:BY43)+1,"")</f>
        <v/>
      </c>
      <c r="BZ44" s="0" t="str">
        <f aca="false">IF(AND(05_法規門檻_Gates!$A44&lt;&gt;"",05_法規門檻_Gates!$E44="強制",05_法規門檻_Gates!$F44="待確認"),MAX($BZ$4:BZ43)+1,"")</f>
        <v/>
      </c>
      <c r="CC44" s="0" t="str">
        <f aca="false">IF(AND(03_能力總表_Master!$A44&lt;&gt;"",IFERROR(INDEX(16_能力商機矩陣_CapOppMap!$D44:$CO44,MATCH(LEFT(17_商機作戰卡_OppView!$C$4,6),16_能力商機矩陣_CapOppMap!$D$4:$CO$4,0)),"")="✓"),MAX($CC$4:CC43)+1,"")</f>
        <v/>
      </c>
    </row>
    <row r="45" customFormat="false" ht="95.5" hidden="false" customHeight="false" outlineLevel="0" collapsed="false">
      <c r="A45" s="0" t="str">
        <f aca="false">IF(03_能力總表_Master!$A45="","",IF(LEFT(03_能力總表_Master!$H45,2)="群晶","● ",IF(ISNUMBER(SEARCH("已確認",03_能力總表_Master!$H45)),"◆ ",IF(ISNUMBER(SEARCH("缺口",03_能力總表_Master!$H45)),"○ ","◐ ")))&amp;RIGHT(03_能力總表_Master!$A45,3)&amp;" "&amp;03_能力總表_Master!$E45)</f>
        <v>◐ 041 感染預防與控制制度</v>
      </c>
      <c r="B45" s="0" t="str">
        <f aca="false">IF(03_能力總表_Master!$A45="","",LEFT(03_能力總表_Master!$B45,3))</f>
        <v>D07</v>
      </c>
      <c r="C45" s="0" t="str">
        <f aca="false">IF(03_能力總表_Master!$A45="","",03_能力總表_Master!$C45)</f>
        <v>G3</v>
      </c>
      <c r="D45" s="363" t="str">
        <f aca="false">IF(AND($B45="D01",$C45="G0"),D44&amp;IF(D44="","",CHAR(10))&amp;$A45,D44)</f>
        <v>◐ 001 政府授權與計畫章程
◐ 002 利害關係人與權力地圖
◐ 005 聯盟治理與利益衝突</v>
      </c>
      <c r="E45" s="363" t="str">
        <f aca="false">IF(AND($B45="D01",$C45="G1"),E44&amp;IF(E44="","",CHAR(10))&amp;$A45,E44)</f>
        <v>◐ 003 交易模式選擇
◐ 004 法規與執照路徑</v>
      </c>
      <c r="F45" s="0" t="str">
        <f aca="false">IF(AND($B45="D01",$C45="G2"),F44&amp;IF(F44="","",CHAR(10))&amp;$A45,F44)</f>
        <v>◐ 006 績效契約與變更控制</v>
      </c>
      <c r="G45" s="0" t="str">
        <f aca="false">IF(AND($B45="D01",$C45="G3"),G44&amp;IF(G44="","",CHAR(10))&amp;$A45,G44)</f>
        <v/>
      </c>
      <c r="H45" s="0" t="str">
        <f aca="false">IF(AND($B45="D01",$C45="G4"),H44&amp;IF(H44="","",CHAR(10))&amp;$A45,H44)</f>
        <v/>
      </c>
      <c r="I45" s="0" t="str">
        <f aca="false">IF(AND($B45="D01",$C45="G5"),I44&amp;IF(I44="","",CHAR(10))&amp;$A45,I44)</f>
        <v/>
      </c>
      <c r="J45" s="0" t="str">
        <f aca="false">IF(AND($B45="D01",$C45="G6"),J44&amp;IF(J44="","",CHAR(10))&amp;$A45,J44)</f>
        <v/>
      </c>
      <c r="K45" s="0" t="str">
        <f aca="false">IF(AND($B45="D02",$C45="G0"),K44&amp;IF(K44="","",CHAR(10))&amp;$A45,K44)</f>
        <v/>
      </c>
      <c r="L45" s="363" t="str">
        <f aca="false">IF(AND($B45="D02",$C45="G1"),L44&amp;IF(L44="","",CHAR(10))&amp;$A45,L44)</f>
        <v>◐ 007 人口需求與病例量預測
◐ 008 醫院定位與服務組合
◐ 009 重點專科優先化
◐ 010 病人流程與容量設計
◐ 011 轉診與區域照護網絡
◐ 012 臨床治理與責任架構</v>
      </c>
      <c r="M45" s="0" t="str">
        <f aca="false">IF(AND($B45="D02",$C45="G2"),M44&amp;IF(M44="","",CHAR(10))&amp;$A45,M44)</f>
        <v/>
      </c>
      <c r="N45" s="0" t="str">
        <f aca="false">IF(AND($B45="D02",$C45="G3"),N44&amp;IF(N44="","",CHAR(10))&amp;$A45,N44)</f>
        <v/>
      </c>
      <c r="O45" s="0" t="str">
        <f aca="false">IF(AND($B45="D02",$C45="G4"),O44&amp;IF(O44="","",CHAR(10))&amp;$A45,O44)</f>
        <v/>
      </c>
      <c r="P45" s="0" t="str">
        <f aca="false">IF(AND($B45="D02",$C45="G5"),P44&amp;IF(P44="","",CHAR(10))&amp;$A45,P44)</f>
        <v/>
      </c>
      <c r="Q45" s="0" t="str">
        <f aca="false">IF(AND($B45="D02",$C45="G6"),Q44&amp;IF(Q44="","",CHAR(10))&amp;$A45,Q44)</f>
        <v/>
      </c>
      <c r="R45" s="0" t="str">
        <f aca="false">IF(AND($B45="D03",$C45="G0"),R44&amp;IF(R44="","",CHAR(10))&amp;$A45,R44)</f>
        <v/>
      </c>
      <c r="S45" s="0" t="str">
        <f aca="false">IF(AND($B45="D03",$C45="G1"),S44&amp;IF(S44="","",CHAR(10))&amp;$A45,S44)</f>
        <v>◐ 013 場址與醫院總體規劃</v>
      </c>
      <c r="T45" s="363" t="str">
        <f aca="false">IF(AND($B45="D03",$C45="G2"),T44&amp;IF(T44="","",CHAR(10))&amp;$A45,T44)</f>
        <v>◐ 014 醫療建築功能計畫
◐ 015 感染控制與潔污動線
◐ 019 綠色與氣候韌性醫院</v>
      </c>
      <c r="U45" s="363" t="str">
        <f aca="false">IF(AND($B45="D03",$C45="G3"),U44&amp;IF(U44="","",CHAR(10))&amp;$A45,U44)</f>
        <v>● 016 電力、備援與微電網
◐ 017 醫療氣體與關鍵公用系統
◐ 018 醫療廢棄物與水資源</v>
      </c>
      <c r="V45" s="0" t="str">
        <f aca="false">IF(AND($B45="D03",$C45="G4"),V44&amp;IF(V44="","",CHAR(10))&amp;$A45,V44)</f>
        <v/>
      </c>
      <c r="W45" s="0" t="str">
        <f aca="false">IF(AND($B45="D03",$C45="G5"),W44&amp;IF(W44="","",CHAR(10))&amp;$A45,W44)</f>
        <v/>
      </c>
      <c r="X45" s="0" t="str">
        <f aca="false">IF(AND($B45="D03",$C45="G6"),X44&amp;IF(X44="","",CHAR(10))&amp;$A45,X44)</f>
        <v/>
      </c>
      <c r="Y45" s="0" t="str">
        <f aca="false">IF(AND($B45="D04",$C45="G0"),Y44&amp;IF(Y44="","",CHAR(10))&amp;$A45,Y44)</f>
        <v/>
      </c>
      <c r="Z45" s="0" t="str">
        <f aca="false">IF(AND($B45="D04",$C45="G1"),Z44&amp;IF(Z44="","",CHAR(10))&amp;$A45,Z44)</f>
        <v/>
      </c>
      <c r="AA45" s="0" t="str">
        <f aca="false">IF(AND($B45="D04",$C45="G2"),AA44&amp;IF(AA44="","",CHAR(10))&amp;$A45,AA44)</f>
        <v/>
      </c>
      <c r="AB45" s="0" t="str">
        <f aca="false">IF(AND($B45="D04",$C45="G3"),AB44&amp;IF(AB44="","",CHAR(10))&amp;$A45,AB44)</f>
        <v>● 020 IDC與邊緣運算底座</v>
      </c>
      <c r="AC45" s="363" t="str">
        <f aca="false">IF(AND($B45="D04",$C45="G4"),AC44&amp;IF(AC44="","",CHAR(10))&amp;$A45,AC44)</f>
        <v>● 021 有線無線網路與分區
◐ 022 資安營運與零信任
● 023 BMS與能源管理
● 024 RTLS與資產／人員定位
● 025 智慧病房、護理呼叫與感測
● 026 災難復原與營運持續</v>
      </c>
      <c r="AD45" s="0" t="str">
        <f aca="false">IF(AND($B45="D04",$C45="G5"),AD44&amp;IF(AD44="","",CHAR(10))&amp;$A45,AD44)</f>
        <v/>
      </c>
      <c r="AE45" s="0" t="str">
        <f aca="false">IF(AND($B45="D04",$C45="G6"),AE44&amp;IF(AE44="","",CHAR(10))&amp;$A45,AE44)</f>
        <v/>
      </c>
      <c r="AF45" s="0" t="str">
        <f aca="false">IF(AND($B45="D05",$C45="G0"),AF44&amp;IF(AF44="","",CHAR(10))&amp;$A45,AF44)</f>
        <v/>
      </c>
      <c r="AG45" s="0" t="str">
        <f aca="false">IF(AND($B45="D05",$C45="G1"),AG44&amp;IF(AG44="","",CHAR(10))&amp;$A45,AG44)</f>
        <v/>
      </c>
      <c r="AH45" s="0" t="str">
        <f aca="false">IF(AND($B45="D05",$C45="G2"),AH44&amp;IF(AH44="","",CHAR(10))&amp;$A45,AH44)</f>
        <v>◐ 027 醫材需求與設備計畫</v>
      </c>
      <c r="AI45" s="0" t="str">
        <f aca="false">IF(AND($B45="D05",$C45="G3"),AI44&amp;IF(AI44="","",CHAR(10))&amp;$A45,AI44)</f>
        <v/>
      </c>
      <c r="AJ45" s="363" t="str">
        <f aca="false">IF(AND($B45="D05",$C45="G4"),AJ44&amp;IF(AJ44="","",CHAR(10))&amp;$A45,AJ44)</f>
        <v>○ 028 影像設備、PACS與報告流程
○ 029 實驗室自動化與LIS
○ 030 手術室與重症整合
◐ 031 醫材介接與裝置身分
◐ 032 醫療工程與設備生命週期</v>
      </c>
      <c r="AK45" s="0" t="str">
        <f aca="false">IF(AND($B45="D05",$C45="G5"),AK44&amp;IF(AK44="","",CHAR(10))&amp;$A45,AK44)</f>
        <v/>
      </c>
      <c r="AL45" s="0" t="str">
        <f aca="false">IF(AND($B45="D05",$C45="G6"),AL44&amp;IF(AL44="","",CHAR(10))&amp;$A45,AL44)</f>
        <v/>
      </c>
      <c r="AM45" s="0" t="str">
        <f aca="false">IF(AND($B45="D06",$C45="G0"),AM44&amp;IF(AM44="","",CHAR(10))&amp;$A45,AM44)</f>
        <v/>
      </c>
      <c r="AN45" s="0" t="str">
        <f aca="false">IF(AND($B45="D06",$C45="G1"),AN44&amp;IF(AN44="","",CHAR(10))&amp;$A45,AN44)</f>
        <v/>
      </c>
      <c r="AO45" s="0" t="str">
        <f aca="false">IF(AND($B45="D06",$C45="G2"),AO44&amp;IF(AO44="","",CHAR(10))&amp;$A45,AO44)</f>
        <v/>
      </c>
      <c r="AP45" s="363" t="str">
        <f aca="false">IF(AND($B45="D06",$C45="G3"),AP44&amp;IF(AP44="","",CHAR(10))&amp;$A45,AP44)</f>
        <v>◐ 033 HIS／EMR核心平台
◐ 036 臨床術語與主資料治理</v>
      </c>
      <c r="AQ45" s="363" t="str">
        <f aca="false">IF(AND($B45="D06",$C45="G4"),AQ44&amp;IF(AQ44="","",CHAR(10))&amp;$A45,AQ44)</f>
        <v>◐ 034 FHIR介接與API管理
○ 035 主病人索引與身分整合
◐ 037 電子醫囑、用藥與決策支援
◐ 038 資料平台、BI與營運指揮</v>
      </c>
      <c r="AR45" s="0" t="str">
        <f aca="false">IF(AND($B45="D06",$C45="G5"),AR44&amp;IF(AR44="","",CHAR(10))&amp;$A45,AR44)</f>
        <v>○ 039 病人入口、行動服務與VNeID準備</v>
      </c>
      <c r="AS45" s="0" t="str">
        <f aca="false">IF(AND($B45="D06",$C45="G6"),AS44&amp;IF(AS44="","",CHAR(10))&amp;$A45,AS44)</f>
        <v/>
      </c>
      <c r="AT45" s="0" t="str">
        <f aca="false">IF(AND($B45="D07",$C45="G0"),AT44&amp;IF(AT44="","",CHAR(10))&amp;$A45,AT44)</f>
        <v/>
      </c>
      <c r="AU45" s="0" t="str">
        <f aca="false">IF(AND($B45="D07",$C45="G1"),AU44&amp;IF(AU44="","",CHAR(10))&amp;$A45,AU44)</f>
        <v/>
      </c>
      <c r="AV45" s="0" t="str">
        <f aca="false">IF(AND($B45="D07",$C45="G2"),AV44&amp;IF(AV44="","",CHAR(10))&amp;$A45,AV44)</f>
        <v>◐ 040 品質管理與JCI路線圖</v>
      </c>
      <c r="AW45" s="0" t="str">
        <f aca="false">IF(AND($B45="D07",$C45="G3"),AW44&amp;IF(AW44="","",CHAR(10))&amp;$A45,AW44)</f>
        <v>◐ 041 感染預防與控制制度</v>
      </c>
      <c r="AX45" s="0" t="str">
        <f aca="false">IF(AND($B45="D07",$C45="G4"),AX44&amp;IF(AX44="","",CHAR(10))&amp;$A45,AX44)</f>
        <v/>
      </c>
      <c r="AY45" s="0" t="str">
        <f aca="false">IF(AND($B45="D07",$C45="G5"),AY44&amp;IF(AY44="","",CHAR(10))&amp;$A45,AY44)</f>
        <v/>
      </c>
      <c r="AZ45" s="0" t="str">
        <f aca="false">IF(AND($B45="D07",$C45="G6"),AZ44&amp;IF(AZ44="","",CHAR(10))&amp;$A45,AZ44)</f>
        <v/>
      </c>
      <c r="BA45" s="0" t="str">
        <f aca="false">IF(AND($B45="D08",$C45="G0"),BA44&amp;IF(BA44="","",CHAR(10))&amp;$A45,BA44)</f>
        <v/>
      </c>
      <c r="BB45" s="0" t="str">
        <f aca="false">IF(AND($B45="D08",$C45="G1"),BB44&amp;IF(BB44="","",CHAR(10))&amp;$A45,BB44)</f>
        <v/>
      </c>
      <c r="BC45" s="0" t="str">
        <f aca="false">IF(AND($B45="D08",$C45="G2"),BC44&amp;IF(BC44="","",CHAR(10))&amp;$A45,BC44)</f>
        <v/>
      </c>
      <c r="BD45" s="0" t="str">
        <f aca="false">IF(AND($B45="D08",$C45="G3"),BD44&amp;IF(BD44="","",CHAR(10))&amp;$A45,BD44)</f>
        <v/>
      </c>
      <c r="BE45" s="0" t="str">
        <f aca="false">IF(AND($B45="D08",$C45="G4"),BE44&amp;IF(BE44="","",CHAR(10))&amp;$A45,BE44)</f>
        <v/>
      </c>
      <c r="BF45" s="0" t="str">
        <f aca="false">IF(AND($B45="D08",$C45="G5"),BF44&amp;IF(BF44="","",CHAR(10))&amp;$A45,BF44)</f>
        <v/>
      </c>
      <c r="BG45" s="0" t="str">
        <f aca="false">IF(AND($B45="D08",$C45="G6"),BG44&amp;IF(BG44="","",CHAR(10))&amp;$A45,BG44)</f>
        <v/>
      </c>
      <c r="BH45" s="0" t="str">
        <f aca="false">IF(AND($B45="D09",$C45="G0"),BH44&amp;IF(BH44="","",CHAR(10))&amp;$A45,BH44)</f>
        <v/>
      </c>
      <c r="BI45" s="0" t="str">
        <f aca="false">IF(AND($B45="D09",$C45="G1"),BI44&amp;IF(BI44="","",CHAR(10))&amp;$A45,BI44)</f>
        <v/>
      </c>
      <c r="BJ45" s="0" t="str">
        <f aca="false">IF(AND($B45="D09",$C45="G2"),BJ44&amp;IF(BJ44="","",CHAR(10))&amp;$A45,BJ44)</f>
        <v/>
      </c>
      <c r="BK45" s="0" t="str">
        <f aca="false">IF(AND($B45="D09",$C45="G3"),BK44&amp;IF(BK44="","",CHAR(10))&amp;$A45,BK44)</f>
        <v/>
      </c>
      <c r="BL45" s="0" t="str">
        <f aca="false">IF(AND($B45="D09",$C45="G4"),BL44&amp;IF(BL44="","",CHAR(10))&amp;$A45,BL44)</f>
        <v/>
      </c>
      <c r="BM45" s="0" t="str">
        <f aca="false">IF(AND($B45="D09",$C45="G5"),BM44&amp;IF(BM44="","",CHAR(10))&amp;$A45,BM44)</f>
        <v/>
      </c>
      <c r="BN45" s="0" t="str">
        <f aca="false">IF(AND($B45="D09",$C45="G6"),BN44&amp;IF(BN44="","",CHAR(10))&amp;$A45,BN44)</f>
        <v/>
      </c>
      <c r="BO45" s="0" t="str">
        <f aca="false">IF(AND($B45="D10",$C45="G0"),BO44&amp;IF(BO44="","",CHAR(10))&amp;$A45,BO44)</f>
        <v/>
      </c>
      <c r="BP45" s="0" t="str">
        <f aca="false">IF(AND($B45="D10",$C45="G1"),BP44&amp;IF(BP44="","",CHAR(10))&amp;$A45,BP44)</f>
        <v/>
      </c>
      <c r="BQ45" s="0" t="str">
        <f aca="false">IF(AND($B45="D10",$C45="G2"),BQ44&amp;IF(BQ44="","",CHAR(10))&amp;$A45,BQ44)</f>
        <v/>
      </c>
      <c r="BR45" s="0" t="str">
        <f aca="false">IF(AND($B45="D10",$C45="G3"),BR44&amp;IF(BR44="","",CHAR(10))&amp;$A45,BR44)</f>
        <v/>
      </c>
      <c r="BS45" s="0" t="str">
        <f aca="false">IF(AND($B45="D10",$C45="G4"),BS44&amp;IF(BS44="","",CHAR(10))&amp;$A45,BS44)</f>
        <v/>
      </c>
      <c r="BT45" s="0" t="str">
        <f aca="false">IF(AND($B45="D10",$C45="G5"),BT44&amp;IF(BT44="","",CHAR(10))&amp;$A45,BT44)</f>
        <v/>
      </c>
      <c r="BU45" s="0" t="str">
        <f aca="false">IF(AND($B45="D10",$C45="G6"),BU44&amp;IF(BU44="","",CHAR(10))&amp;$A45,BU44)</f>
        <v/>
      </c>
      <c r="BX45" s="0" t="str">
        <f aca="false">IF(AND(03_能力總表_Master!$A45&lt;&gt;"",LEFT(03_能力總表_Master!$H45,2)="缺口"),MAX($BX$4:BX44)+1,"")</f>
        <v/>
      </c>
      <c r="BY45" s="0" t="str">
        <f aca="false">IF(AND(03_能力總表_Master!$A45&lt;&gt;"",03_能力總表_Master!$J45=12_夥伴視角_PartnerView!$C$4),MAX($BY$4:BY44)+1,"")</f>
        <v/>
      </c>
      <c r="BZ45" s="0" t="n">
        <f aca="false">IF(AND(05_法規門檻_Gates!$A45&lt;&gt;"",05_法規門檻_Gates!$E45="強制",05_法規門檻_Gates!$F45="待確認"),MAX($BZ$4:BZ44)+1,"")</f>
        <v>14</v>
      </c>
      <c r="CC45" s="0" t="str">
        <f aca="false">IF(AND(03_能力總表_Master!$A45&lt;&gt;"",IFERROR(INDEX(16_能力商機矩陣_CapOppMap!$D45:$CO45,MATCH(LEFT(17_商機作戰卡_OppView!$C$4,6),16_能力商機矩陣_CapOppMap!$D$4:$CO$4,0)),"")="✓"),MAX($CC$4:CC44)+1,"")</f>
        <v/>
      </c>
    </row>
    <row r="46" customFormat="false" ht="95.5" hidden="false" customHeight="false" outlineLevel="0" collapsed="false">
      <c r="A46" s="0" t="str">
        <f aca="false">IF(03_能力總表_Master!$A46="","",IF(LEFT(03_能力總表_Master!$H46,2)="群晶","● ",IF(ISNUMBER(SEARCH("已確認",03_能力總表_Master!$H46)),"◆ ",IF(ISNUMBER(SEARCH("缺口",03_能力總表_Master!$H46)),"○ ","◐ ")))&amp;RIGHT(03_能力總表_Master!$A46,3)&amp;" "&amp;03_能力總表_Master!$E46)</f>
        <v>◐ 042 用藥安全閉環</v>
      </c>
      <c r="B46" s="0" t="str">
        <f aca="false">IF(03_能力總表_Master!$A46="","",LEFT(03_能力總表_Master!$B46,3))</f>
        <v>D07</v>
      </c>
      <c r="C46" s="0" t="str">
        <f aca="false">IF(03_能力總表_Master!$A46="","",03_能力總表_Master!$C46)</f>
        <v>G4</v>
      </c>
      <c r="D46" s="363" t="str">
        <f aca="false">IF(AND($B46="D01",$C46="G0"),D45&amp;IF(D45="","",CHAR(10))&amp;$A46,D45)</f>
        <v>◐ 001 政府授權與計畫章程
◐ 002 利害關係人與權力地圖
◐ 005 聯盟治理與利益衝突</v>
      </c>
      <c r="E46" s="363" t="str">
        <f aca="false">IF(AND($B46="D01",$C46="G1"),E45&amp;IF(E45="","",CHAR(10))&amp;$A46,E45)</f>
        <v>◐ 003 交易模式選擇
◐ 004 法規與執照路徑</v>
      </c>
      <c r="F46" s="0" t="str">
        <f aca="false">IF(AND($B46="D01",$C46="G2"),F45&amp;IF(F45="","",CHAR(10))&amp;$A46,F45)</f>
        <v>◐ 006 績效契約與變更控制</v>
      </c>
      <c r="G46" s="0" t="str">
        <f aca="false">IF(AND($B46="D01",$C46="G3"),G45&amp;IF(G45="","",CHAR(10))&amp;$A46,G45)</f>
        <v/>
      </c>
      <c r="H46" s="0" t="str">
        <f aca="false">IF(AND($B46="D01",$C46="G4"),H45&amp;IF(H45="","",CHAR(10))&amp;$A46,H45)</f>
        <v/>
      </c>
      <c r="I46" s="0" t="str">
        <f aca="false">IF(AND($B46="D01",$C46="G5"),I45&amp;IF(I45="","",CHAR(10))&amp;$A46,I45)</f>
        <v/>
      </c>
      <c r="J46" s="0" t="str">
        <f aca="false">IF(AND($B46="D01",$C46="G6"),J45&amp;IF(J45="","",CHAR(10))&amp;$A46,J45)</f>
        <v/>
      </c>
      <c r="K46" s="0" t="str">
        <f aca="false">IF(AND($B46="D02",$C46="G0"),K45&amp;IF(K45="","",CHAR(10))&amp;$A46,K45)</f>
        <v/>
      </c>
      <c r="L46" s="363" t="str">
        <f aca="false">IF(AND($B46="D02",$C46="G1"),L45&amp;IF(L45="","",CHAR(10))&amp;$A46,L45)</f>
        <v>◐ 007 人口需求與病例量預測
◐ 008 醫院定位與服務組合
◐ 009 重點專科優先化
◐ 010 病人流程與容量設計
◐ 011 轉診與區域照護網絡
◐ 012 臨床治理與責任架構</v>
      </c>
      <c r="M46" s="0" t="str">
        <f aca="false">IF(AND($B46="D02",$C46="G2"),M45&amp;IF(M45="","",CHAR(10))&amp;$A46,M45)</f>
        <v/>
      </c>
      <c r="N46" s="0" t="str">
        <f aca="false">IF(AND($B46="D02",$C46="G3"),N45&amp;IF(N45="","",CHAR(10))&amp;$A46,N45)</f>
        <v/>
      </c>
      <c r="O46" s="0" t="str">
        <f aca="false">IF(AND($B46="D02",$C46="G4"),O45&amp;IF(O45="","",CHAR(10))&amp;$A46,O45)</f>
        <v/>
      </c>
      <c r="P46" s="0" t="str">
        <f aca="false">IF(AND($B46="D02",$C46="G5"),P45&amp;IF(P45="","",CHAR(10))&amp;$A46,P45)</f>
        <v/>
      </c>
      <c r="Q46" s="0" t="str">
        <f aca="false">IF(AND($B46="D02",$C46="G6"),Q45&amp;IF(Q45="","",CHAR(10))&amp;$A46,Q45)</f>
        <v/>
      </c>
      <c r="R46" s="0" t="str">
        <f aca="false">IF(AND($B46="D03",$C46="G0"),R45&amp;IF(R45="","",CHAR(10))&amp;$A46,R45)</f>
        <v/>
      </c>
      <c r="S46" s="0" t="str">
        <f aca="false">IF(AND($B46="D03",$C46="G1"),S45&amp;IF(S45="","",CHAR(10))&amp;$A46,S45)</f>
        <v>◐ 013 場址與醫院總體規劃</v>
      </c>
      <c r="T46" s="363" t="str">
        <f aca="false">IF(AND($B46="D03",$C46="G2"),T45&amp;IF(T45="","",CHAR(10))&amp;$A46,T45)</f>
        <v>◐ 014 醫療建築功能計畫
◐ 015 感染控制與潔污動線
◐ 019 綠色與氣候韌性醫院</v>
      </c>
      <c r="U46" s="363" t="str">
        <f aca="false">IF(AND($B46="D03",$C46="G3"),U45&amp;IF(U45="","",CHAR(10))&amp;$A46,U45)</f>
        <v>● 016 電力、備援與微電網
◐ 017 醫療氣體與關鍵公用系統
◐ 018 醫療廢棄物與水資源</v>
      </c>
      <c r="V46" s="0" t="str">
        <f aca="false">IF(AND($B46="D03",$C46="G4"),V45&amp;IF(V45="","",CHAR(10))&amp;$A46,V45)</f>
        <v/>
      </c>
      <c r="W46" s="0" t="str">
        <f aca="false">IF(AND($B46="D03",$C46="G5"),W45&amp;IF(W45="","",CHAR(10))&amp;$A46,W45)</f>
        <v/>
      </c>
      <c r="X46" s="0" t="str">
        <f aca="false">IF(AND($B46="D03",$C46="G6"),X45&amp;IF(X45="","",CHAR(10))&amp;$A46,X45)</f>
        <v/>
      </c>
      <c r="Y46" s="0" t="str">
        <f aca="false">IF(AND($B46="D04",$C46="G0"),Y45&amp;IF(Y45="","",CHAR(10))&amp;$A46,Y45)</f>
        <v/>
      </c>
      <c r="Z46" s="0" t="str">
        <f aca="false">IF(AND($B46="D04",$C46="G1"),Z45&amp;IF(Z45="","",CHAR(10))&amp;$A46,Z45)</f>
        <v/>
      </c>
      <c r="AA46" s="0" t="str">
        <f aca="false">IF(AND($B46="D04",$C46="G2"),AA45&amp;IF(AA45="","",CHAR(10))&amp;$A46,AA45)</f>
        <v/>
      </c>
      <c r="AB46" s="0" t="str">
        <f aca="false">IF(AND($B46="D04",$C46="G3"),AB45&amp;IF(AB45="","",CHAR(10))&amp;$A46,AB45)</f>
        <v>● 020 IDC與邊緣運算底座</v>
      </c>
      <c r="AC46" s="363" t="str">
        <f aca="false">IF(AND($B46="D04",$C46="G4"),AC45&amp;IF(AC45="","",CHAR(10))&amp;$A46,AC45)</f>
        <v>● 021 有線無線網路與分區
◐ 022 資安營運與零信任
● 023 BMS與能源管理
● 024 RTLS與資產／人員定位
● 025 智慧病房、護理呼叫與感測
● 026 災難復原與營運持續</v>
      </c>
      <c r="AD46" s="0" t="str">
        <f aca="false">IF(AND($B46="D04",$C46="G5"),AD45&amp;IF(AD45="","",CHAR(10))&amp;$A46,AD45)</f>
        <v/>
      </c>
      <c r="AE46" s="0" t="str">
        <f aca="false">IF(AND($B46="D04",$C46="G6"),AE45&amp;IF(AE45="","",CHAR(10))&amp;$A46,AE45)</f>
        <v/>
      </c>
      <c r="AF46" s="0" t="str">
        <f aca="false">IF(AND($B46="D05",$C46="G0"),AF45&amp;IF(AF45="","",CHAR(10))&amp;$A46,AF45)</f>
        <v/>
      </c>
      <c r="AG46" s="0" t="str">
        <f aca="false">IF(AND($B46="D05",$C46="G1"),AG45&amp;IF(AG45="","",CHAR(10))&amp;$A46,AG45)</f>
        <v/>
      </c>
      <c r="AH46" s="0" t="str">
        <f aca="false">IF(AND($B46="D05",$C46="G2"),AH45&amp;IF(AH45="","",CHAR(10))&amp;$A46,AH45)</f>
        <v>◐ 027 醫材需求與設備計畫</v>
      </c>
      <c r="AI46" s="0" t="str">
        <f aca="false">IF(AND($B46="D05",$C46="G3"),AI45&amp;IF(AI45="","",CHAR(10))&amp;$A46,AI45)</f>
        <v/>
      </c>
      <c r="AJ46" s="363" t="str">
        <f aca="false">IF(AND($B46="D05",$C46="G4"),AJ45&amp;IF(AJ45="","",CHAR(10))&amp;$A46,AJ45)</f>
        <v>○ 028 影像設備、PACS與報告流程
○ 029 實驗室自動化與LIS
○ 030 手術室與重症整合
◐ 031 醫材介接與裝置身分
◐ 032 醫療工程與設備生命週期</v>
      </c>
      <c r="AK46" s="0" t="str">
        <f aca="false">IF(AND($B46="D05",$C46="G5"),AK45&amp;IF(AK45="","",CHAR(10))&amp;$A46,AK45)</f>
        <v/>
      </c>
      <c r="AL46" s="0" t="str">
        <f aca="false">IF(AND($B46="D05",$C46="G6"),AL45&amp;IF(AL45="","",CHAR(10))&amp;$A46,AL45)</f>
        <v/>
      </c>
      <c r="AM46" s="0" t="str">
        <f aca="false">IF(AND($B46="D06",$C46="G0"),AM45&amp;IF(AM45="","",CHAR(10))&amp;$A46,AM45)</f>
        <v/>
      </c>
      <c r="AN46" s="0" t="str">
        <f aca="false">IF(AND($B46="D06",$C46="G1"),AN45&amp;IF(AN45="","",CHAR(10))&amp;$A46,AN45)</f>
        <v/>
      </c>
      <c r="AO46" s="0" t="str">
        <f aca="false">IF(AND($B46="D06",$C46="G2"),AO45&amp;IF(AO45="","",CHAR(10))&amp;$A46,AO45)</f>
        <v/>
      </c>
      <c r="AP46" s="363" t="str">
        <f aca="false">IF(AND($B46="D06",$C46="G3"),AP45&amp;IF(AP45="","",CHAR(10))&amp;$A46,AP45)</f>
        <v>◐ 033 HIS／EMR核心平台
◐ 036 臨床術語與主資料治理</v>
      </c>
      <c r="AQ46" s="363" t="str">
        <f aca="false">IF(AND($B46="D06",$C46="G4"),AQ45&amp;IF(AQ45="","",CHAR(10))&amp;$A46,AQ45)</f>
        <v>◐ 034 FHIR介接與API管理
○ 035 主病人索引與身分整合
◐ 037 電子醫囑、用藥與決策支援
◐ 038 資料平台、BI與營運指揮</v>
      </c>
      <c r="AR46" s="0" t="str">
        <f aca="false">IF(AND($B46="D06",$C46="G5"),AR45&amp;IF(AR45="","",CHAR(10))&amp;$A46,AR45)</f>
        <v>○ 039 病人入口、行動服務與VNeID準備</v>
      </c>
      <c r="AS46" s="0" t="str">
        <f aca="false">IF(AND($B46="D06",$C46="G6"),AS45&amp;IF(AS45="","",CHAR(10))&amp;$A46,AS45)</f>
        <v/>
      </c>
      <c r="AT46" s="0" t="str">
        <f aca="false">IF(AND($B46="D07",$C46="G0"),AT45&amp;IF(AT45="","",CHAR(10))&amp;$A46,AT45)</f>
        <v/>
      </c>
      <c r="AU46" s="0" t="str">
        <f aca="false">IF(AND($B46="D07",$C46="G1"),AU45&amp;IF(AU45="","",CHAR(10))&amp;$A46,AU45)</f>
        <v/>
      </c>
      <c r="AV46" s="0" t="str">
        <f aca="false">IF(AND($B46="D07",$C46="G2"),AV45&amp;IF(AV45="","",CHAR(10))&amp;$A46,AV45)</f>
        <v>◐ 040 品質管理與JCI路線圖</v>
      </c>
      <c r="AW46" s="0" t="str">
        <f aca="false">IF(AND($B46="D07",$C46="G3"),AW45&amp;IF(AW45="","",CHAR(10))&amp;$A46,AW45)</f>
        <v>◐ 041 感染預防與控制制度</v>
      </c>
      <c r="AX46" s="0" t="str">
        <f aca="false">IF(AND($B46="D07",$C46="G4"),AX45&amp;IF(AX45="","",CHAR(10))&amp;$A46,AX45)</f>
        <v>◐ 042 用藥安全閉環</v>
      </c>
      <c r="AY46" s="0" t="str">
        <f aca="false">IF(AND($B46="D07",$C46="G5"),AY45&amp;IF(AY45="","",CHAR(10))&amp;$A46,AY45)</f>
        <v/>
      </c>
      <c r="AZ46" s="0" t="str">
        <f aca="false">IF(AND($B46="D07",$C46="G6"),AZ45&amp;IF(AZ45="","",CHAR(10))&amp;$A46,AZ45)</f>
        <v/>
      </c>
      <c r="BA46" s="0" t="str">
        <f aca="false">IF(AND($B46="D08",$C46="G0"),BA45&amp;IF(BA45="","",CHAR(10))&amp;$A46,BA45)</f>
        <v/>
      </c>
      <c r="BB46" s="0" t="str">
        <f aca="false">IF(AND($B46="D08",$C46="G1"),BB45&amp;IF(BB45="","",CHAR(10))&amp;$A46,BB45)</f>
        <v/>
      </c>
      <c r="BC46" s="0" t="str">
        <f aca="false">IF(AND($B46="D08",$C46="G2"),BC45&amp;IF(BC45="","",CHAR(10))&amp;$A46,BC45)</f>
        <v/>
      </c>
      <c r="BD46" s="0" t="str">
        <f aca="false">IF(AND($B46="D08",$C46="G3"),BD45&amp;IF(BD45="","",CHAR(10))&amp;$A46,BD45)</f>
        <v/>
      </c>
      <c r="BE46" s="0" t="str">
        <f aca="false">IF(AND($B46="D08",$C46="G4"),BE45&amp;IF(BE45="","",CHAR(10))&amp;$A46,BE45)</f>
        <v/>
      </c>
      <c r="BF46" s="0" t="str">
        <f aca="false">IF(AND($B46="D08",$C46="G5"),BF45&amp;IF(BF45="","",CHAR(10))&amp;$A46,BF45)</f>
        <v/>
      </c>
      <c r="BG46" s="0" t="str">
        <f aca="false">IF(AND($B46="D08",$C46="G6"),BG45&amp;IF(BG45="","",CHAR(10))&amp;$A46,BG45)</f>
        <v/>
      </c>
      <c r="BH46" s="0" t="str">
        <f aca="false">IF(AND($B46="D09",$C46="G0"),BH45&amp;IF(BH45="","",CHAR(10))&amp;$A46,BH45)</f>
        <v/>
      </c>
      <c r="BI46" s="0" t="str">
        <f aca="false">IF(AND($B46="D09",$C46="G1"),BI45&amp;IF(BI45="","",CHAR(10))&amp;$A46,BI45)</f>
        <v/>
      </c>
      <c r="BJ46" s="0" t="str">
        <f aca="false">IF(AND($B46="D09",$C46="G2"),BJ45&amp;IF(BJ45="","",CHAR(10))&amp;$A46,BJ45)</f>
        <v/>
      </c>
      <c r="BK46" s="0" t="str">
        <f aca="false">IF(AND($B46="D09",$C46="G3"),BK45&amp;IF(BK45="","",CHAR(10))&amp;$A46,BK45)</f>
        <v/>
      </c>
      <c r="BL46" s="0" t="str">
        <f aca="false">IF(AND($B46="D09",$C46="G4"),BL45&amp;IF(BL45="","",CHAR(10))&amp;$A46,BL45)</f>
        <v/>
      </c>
      <c r="BM46" s="0" t="str">
        <f aca="false">IF(AND($B46="D09",$C46="G5"),BM45&amp;IF(BM45="","",CHAR(10))&amp;$A46,BM45)</f>
        <v/>
      </c>
      <c r="BN46" s="0" t="str">
        <f aca="false">IF(AND($B46="D09",$C46="G6"),BN45&amp;IF(BN45="","",CHAR(10))&amp;$A46,BN45)</f>
        <v/>
      </c>
      <c r="BO46" s="0" t="str">
        <f aca="false">IF(AND($B46="D10",$C46="G0"),BO45&amp;IF(BO45="","",CHAR(10))&amp;$A46,BO45)</f>
        <v/>
      </c>
      <c r="BP46" s="0" t="str">
        <f aca="false">IF(AND($B46="D10",$C46="G1"),BP45&amp;IF(BP45="","",CHAR(10))&amp;$A46,BP45)</f>
        <v/>
      </c>
      <c r="BQ46" s="0" t="str">
        <f aca="false">IF(AND($B46="D10",$C46="G2"),BQ45&amp;IF(BQ45="","",CHAR(10))&amp;$A46,BQ45)</f>
        <v/>
      </c>
      <c r="BR46" s="0" t="str">
        <f aca="false">IF(AND($B46="D10",$C46="G3"),BR45&amp;IF(BR45="","",CHAR(10))&amp;$A46,BR45)</f>
        <v/>
      </c>
      <c r="BS46" s="0" t="str">
        <f aca="false">IF(AND($B46="D10",$C46="G4"),BS45&amp;IF(BS45="","",CHAR(10))&amp;$A46,BS45)</f>
        <v/>
      </c>
      <c r="BT46" s="0" t="str">
        <f aca="false">IF(AND($B46="D10",$C46="G5"),BT45&amp;IF(BT45="","",CHAR(10))&amp;$A46,BT45)</f>
        <v/>
      </c>
      <c r="BU46" s="0" t="str">
        <f aca="false">IF(AND($B46="D10",$C46="G6"),BU45&amp;IF(BU45="","",CHAR(10))&amp;$A46,BU45)</f>
        <v/>
      </c>
      <c r="BX46" s="0" t="str">
        <f aca="false">IF(AND(03_能力總表_Master!$A46&lt;&gt;"",LEFT(03_能力總表_Master!$H46,2)="缺口"),MAX($BX$4:BX45)+1,"")</f>
        <v/>
      </c>
      <c r="BY46" s="0" t="str">
        <f aca="false">IF(AND(03_能力總表_Master!$A46&lt;&gt;"",03_能力總表_Master!$J46=12_夥伴視角_PartnerView!$C$4),MAX($BY$4:BY45)+1,"")</f>
        <v/>
      </c>
      <c r="BZ46" s="0" t="n">
        <f aca="false">IF(AND(05_法規門檻_Gates!$A46&lt;&gt;"",05_法規門檻_Gates!$E46="強制",05_法規門檻_Gates!$F46="待確認"),MAX($BZ$4:BZ45)+1,"")</f>
        <v>15</v>
      </c>
      <c r="CC46" s="0" t="str">
        <f aca="false">IF(AND(03_能力總表_Master!$A46&lt;&gt;"",IFERROR(INDEX(16_能力商機矩陣_CapOppMap!$D46:$CO46,MATCH(LEFT(17_商機作戰卡_OppView!$C$4,6),16_能力商機矩陣_CapOppMap!$D$4:$CO$4,0)),"")="✓"),MAX($CC$4:CC45)+1,"")</f>
        <v/>
      </c>
    </row>
    <row r="47" customFormat="false" ht="95.5" hidden="false" customHeight="false" outlineLevel="0" collapsed="false">
      <c r="A47" s="0" t="str">
        <f aca="false">IF(03_能力總表_Master!$A47="","",IF(LEFT(03_能力總表_Master!$H47,2)="群晶","● ",IF(ISNUMBER(SEARCH("已確認",03_能力總表_Master!$H47)),"◆ ",IF(ISNUMBER(SEARCH("缺口",03_能力總表_Master!$H47)),"○ ","◐ ")))&amp;RIGHT(03_能力總表_Master!$A47,3)&amp;" "&amp;03_能力總表_Master!$E47)</f>
        <v>◐ 043 事件通報與根因改善</v>
      </c>
      <c r="B47" s="0" t="str">
        <f aca="false">IF(03_能力總表_Master!$A47="","",LEFT(03_能力總表_Master!$B47,3))</f>
        <v>D07</v>
      </c>
      <c r="C47" s="0" t="str">
        <f aca="false">IF(03_能力總表_Master!$A47="","",03_能力總表_Master!$C47)</f>
        <v>G3</v>
      </c>
      <c r="D47" s="363" t="str">
        <f aca="false">IF(AND($B47="D01",$C47="G0"),D46&amp;IF(D46="","",CHAR(10))&amp;$A47,D46)</f>
        <v>◐ 001 政府授權與計畫章程
◐ 002 利害關係人與權力地圖
◐ 005 聯盟治理與利益衝突</v>
      </c>
      <c r="E47" s="363" t="str">
        <f aca="false">IF(AND($B47="D01",$C47="G1"),E46&amp;IF(E46="","",CHAR(10))&amp;$A47,E46)</f>
        <v>◐ 003 交易模式選擇
◐ 004 法規與執照路徑</v>
      </c>
      <c r="F47" s="0" t="str">
        <f aca="false">IF(AND($B47="D01",$C47="G2"),F46&amp;IF(F46="","",CHAR(10))&amp;$A47,F46)</f>
        <v>◐ 006 績效契約與變更控制</v>
      </c>
      <c r="G47" s="0" t="str">
        <f aca="false">IF(AND($B47="D01",$C47="G3"),G46&amp;IF(G46="","",CHAR(10))&amp;$A47,G46)</f>
        <v/>
      </c>
      <c r="H47" s="0" t="str">
        <f aca="false">IF(AND($B47="D01",$C47="G4"),H46&amp;IF(H46="","",CHAR(10))&amp;$A47,H46)</f>
        <v/>
      </c>
      <c r="I47" s="0" t="str">
        <f aca="false">IF(AND($B47="D01",$C47="G5"),I46&amp;IF(I46="","",CHAR(10))&amp;$A47,I46)</f>
        <v/>
      </c>
      <c r="J47" s="0" t="str">
        <f aca="false">IF(AND($B47="D01",$C47="G6"),J46&amp;IF(J46="","",CHAR(10))&amp;$A47,J46)</f>
        <v/>
      </c>
      <c r="K47" s="0" t="str">
        <f aca="false">IF(AND($B47="D02",$C47="G0"),K46&amp;IF(K46="","",CHAR(10))&amp;$A47,K46)</f>
        <v/>
      </c>
      <c r="L47" s="363" t="str">
        <f aca="false">IF(AND($B47="D02",$C47="G1"),L46&amp;IF(L46="","",CHAR(10))&amp;$A47,L46)</f>
        <v>◐ 007 人口需求與病例量預測
◐ 008 醫院定位與服務組合
◐ 009 重點專科優先化
◐ 010 病人流程與容量設計
◐ 011 轉診與區域照護網絡
◐ 012 臨床治理與責任架構</v>
      </c>
      <c r="M47" s="0" t="str">
        <f aca="false">IF(AND($B47="D02",$C47="G2"),M46&amp;IF(M46="","",CHAR(10))&amp;$A47,M46)</f>
        <v/>
      </c>
      <c r="N47" s="0" t="str">
        <f aca="false">IF(AND($B47="D02",$C47="G3"),N46&amp;IF(N46="","",CHAR(10))&amp;$A47,N46)</f>
        <v/>
      </c>
      <c r="O47" s="0" t="str">
        <f aca="false">IF(AND($B47="D02",$C47="G4"),O46&amp;IF(O46="","",CHAR(10))&amp;$A47,O46)</f>
        <v/>
      </c>
      <c r="P47" s="0" t="str">
        <f aca="false">IF(AND($B47="D02",$C47="G5"),P46&amp;IF(P46="","",CHAR(10))&amp;$A47,P46)</f>
        <v/>
      </c>
      <c r="Q47" s="0" t="str">
        <f aca="false">IF(AND($B47="D02",$C47="G6"),Q46&amp;IF(Q46="","",CHAR(10))&amp;$A47,Q46)</f>
        <v/>
      </c>
      <c r="R47" s="0" t="str">
        <f aca="false">IF(AND($B47="D03",$C47="G0"),R46&amp;IF(R46="","",CHAR(10))&amp;$A47,R46)</f>
        <v/>
      </c>
      <c r="S47" s="0" t="str">
        <f aca="false">IF(AND($B47="D03",$C47="G1"),S46&amp;IF(S46="","",CHAR(10))&amp;$A47,S46)</f>
        <v>◐ 013 場址與醫院總體規劃</v>
      </c>
      <c r="T47" s="363" t="str">
        <f aca="false">IF(AND($B47="D03",$C47="G2"),T46&amp;IF(T46="","",CHAR(10))&amp;$A47,T46)</f>
        <v>◐ 014 醫療建築功能計畫
◐ 015 感染控制與潔污動線
◐ 019 綠色與氣候韌性醫院</v>
      </c>
      <c r="U47" s="363" t="str">
        <f aca="false">IF(AND($B47="D03",$C47="G3"),U46&amp;IF(U46="","",CHAR(10))&amp;$A47,U46)</f>
        <v>● 016 電力、備援與微電網
◐ 017 醫療氣體與關鍵公用系統
◐ 018 醫療廢棄物與水資源</v>
      </c>
      <c r="V47" s="0" t="str">
        <f aca="false">IF(AND($B47="D03",$C47="G4"),V46&amp;IF(V46="","",CHAR(10))&amp;$A47,V46)</f>
        <v/>
      </c>
      <c r="W47" s="0" t="str">
        <f aca="false">IF(AND($B47="D03",$C47="G5"),W46&amp;IF(W46="","",CHAR(10))&amp;$A47,W46)</f>
        <v/>
      </c>
      <c r="X47" s="0" t="str">
        <f aca="false">IF(AND($B47="D03",$C47="G6"),X46&amp;IF(X46="","",CHAR(10))&amp;$A47,X46)</f>
        <v/>
      </c>
      <c r="Y47" s="0" t="str">
        <f aca="false">IF(AND($B47="D04",$C47="G0"),Y46&amp;IF(Y46="","",CHAR(10))&amp;$A47,Y46)</f>
        <v/>
      </c>
      <c r="Z47" s="0" t="str">
        <f aca="false">IF(AND($B47="D04",$C47="G1"),Z46&amp;IF(Z46="","",CHAR(10))&amp;$A47,Z46)</f>
        <v/>
      </c>
      <c r="AA47" s="0" t="str">
        <f aca="false">IF(AND($B47="D04",$C47="G2"),AA46&amp;IF(AA46="","",CHAR(10))&amp;$A47,AA46)</f>
        <v/>
      </c>
      <c r="AB47" s="0" t="str">
        <f aca="false">IF(AND($B47="D04",$C47="G3"),AB46&amp;IF(AB46="","",CHAR(10))&amp;$A47,AB46)</f>
        <v>● 020 IDC與邊緣運算底座</v>
      </c>
      <c r="AC47" s="363" t="str">
        <f aca="false">IF(AND($B47="D04",$C47="G4"),AC46&amp;IF(AC46="","",CHAR(10))&amp;$A47,AC46)</f>
        <v>● 021 有線無線網路與分區
◐ 022 資安營運與零信任
● 023 BMS與能源管理
● 024 RTLS與資產／人員定位
● 025 智慧病房、護理呼叫與感測
● 026 災難復原與營運持續</v>
      </c>
      <c r="AD47" s="0" t="str">
        <f aca="false">IF(AND($B47="D04",$C47="G5"),AD46&amp;IF(AD46="","",CHAR(10))&amp;$A47,AD46)</f>
        <v/>
      </c>
      <c r="AE47" s="0" t="str">
        <f aca="false">IF(AND($B47="D04",$C47="G6"),AE46&amp;IF(AE46="","",CHAR(10))&amp;$A47,AE46)</f>
        <v/>
      </c>
      <c r="AF47" s="0" t="str">
        <f aca="false">IF(AND($B47="D05",$C47="G0"),AF46&amp;IF(AF46="","",CHAR(10))&amp;$A47,AF46)</f>
        <v/>
      </c>
      <c r="AG47" s="0" t="str">
        <f aca="false">IF(AND($B47="D05",$C47="G1"),AG46&amp;IF(AG46="","",CHAR(10))&amp;$A47,AG46)</f>
        <v/>
      </c>
      <c r="AH47" s="0" t="str">
        <f aca="false">IF(AND($B47="D05",$C47="G2"),AH46&amp;IF(AH46="","",CHAR(10))&amp;$A47,AH46)</f>
        <v>◐ 027 醫材需求與設備計畫</v>
      </c>
      <c r="AI47" s="0" t="str">
        <f aca="false">IF(AND($B47="D05",$C47="G3"),AI46&amp;IF(AI46="","",CHAR(10))&amp;$A47,AI46)</f>
        <v/>
      </c>
      <c r="AJ47" s="363" t="str">
        <f aca="false">IF(AND($B47="D05",$C47="G4"),AJ46&amp;IF(AJ46="","",CHAR(10))&amp;$A47,AJ46)</f>
        <v>○ 028 影像設備、PACS與報告流程
○ 029 實驗室自動化與LIS
○ 030 手術室與重症整合
◐ 031 醫材介接與裝置身分
◐ 032 醫療工程與設備生命週期</v>
      </c>
      <c r="AK47" s="0" t="str">
        <f aca="false">IF(AND($B47="D05",$C47="G5"),AK46&amp;IF(AK46="","",CHAR(10))&amp;$A47,AK46)</f>
        <v/>
      </c>
      <c r="AL47" s="0" t="str">
        <f aca="false">IF(AND($B47="D05",$C47="G6"),AL46&amp;IF(AL46="","",CHAR(10))&amp;$A47,AL46)</f>
        <v/>
      </c>
      <c r="AM47" s="0" t="str">
        <f aca="false">IF(AND($B47="D06",$C47="G0"),AM46&amp;IF(AM46="","",CHAR(10))&amp;$A47,AM46)</f>
        <v/>
      </c>
      <c r="AN47" s="0" t="str">
        <f aca="false">IF(AND($B47="D06",$C47="G1"),AN46&amp;IF(AN46="","",CHAR(10))&amp;$A47,AN46)</f>
        <v/>
      </c>
      <c r="AO47" s="0" t="str">
        <f aca="false">IF(AND($B47="D06",$C47="G2"),AO46&amp;IF(AO46="","",CHAR(10))&amp;$A47,AO46)</f>
        <v/>
      </c>
      <c r="AP47" s="363" t="str">
        <f aca="false">IF(AND($B47="D06",$C47="G3"),AP46&amp;IF(AP46="","",CHAR(10))&amp;$A47,AP46)</f>
        <v>◐ 033 HIS／EMR核心平台
◐ 036 臨床術語與主資料治理</v>
      </c>
      <c r="AQ47" s="363" t="str">
        <f aca="false">IF(AND($B47="D06",$C47="G4"),AQ46&amp;IF(AQ46="","",CHAR(10))&amp;$A47,AQ46)</f>
        <v>◐ 034 FHIR介接與API管理
○ 035 主病人索引與身分整合
◐ 037 電子醫囑、用藥與決策支援
◐ 038 資料平台、BI與營運指揮</v>
      </c>
      <c r="AR47" s="0" t="str">
        <f aca="false">IF(AND($B47="D06",$C47="G5"),AR46&amp;IF(AR46="","",CHAR(10))&amp;$A47,AR46)</f>
        <v>○ 039 病人入口、行動服務與VNeID準備</v>
      </c>
      <c r="AS47" s="0" t="str">
        <f aca="false">IF(AND($B47="D06",$C47="G6"),AS46&amp;IF(AS46="","",CHAR(10))&amp;$A47,AS46)</f>
        <v/>
      </c>
      <c r="AT47" s="0" t="str">
        <f aca="false">IF(AND($B47="D07",$C47="G0"),AT46&amp;IF(AT46="","",CHAR(10))&amp;$A47,AT46)</f>
        <v/>
      </c>
      <c r="AU47" s="0" t="str">
        <f aca="false">IF(AND($B47="D07",$C47="G1"),AU46&amp;IF(AU46="","",CHAR(10))&amp;$A47,AU46)</f>
        <v/>
      </c>
      <c r="AV47" s="0" t="str">
        <f aca="false">IF(AND($B47="D07",$C47="G2"),AV46&amp;IF(AV46="","",CHAR(10))&amp;$A47,AV46)</f>
        <v>◐ 040 品質管理與JCI路線圖</v>
      </c>
      <c r="AW47" s="363" t="str">
        <f aca="false">IF(AND($B47="D07",$C47="G3"),AW46&amp;IF(AW46="","",CHAR(10))&amp;$A47,AW46)</f>
        <v>◐ 041 感染預防與控制制度
◐ 043 事件通報與根因改善</v>
      </c>
      <c r="AX47" s="0" t="str">
        <f aca="false">IF(AND($B47="D07",$C47="G4"),AX46&amp;IF(AX46="","",CHAR(10))&amp;$A47,AX46)</f>
        <v>◐ 042 用藥安全閉環</v>
      </c>
      <c r="AY47" s="0" t="str">
        <f aca="false">IF(AND($B47="D07",$C47="G5"),AY46&amp;IF(AY46="","",CHAR(10))&amp;$A47,AY46)</f>
        <v/>
      </c>
      <c r="AZ47" s="0" t="str">
        <f aca="false">IF(AND($B47="D07",$C47="G6"),AZ46&amp;IF(AZ46="","",CHAR(10))&amp;$A47,AZ46)</f>
        <v/>
      </c>
      <c r="BA47" s="0" t="str">
        <f aca="false">IF(AND($B47="D08",$C47="G0"),BA46&amp;IF(BA46="","",CHAR(10))&amp;$A47,BA46)</f>
        <v/>
      </c>
      <c r="BB47" s="0" t="str">
        <f aca="false">IF(AND($B47="D08",$C47="G1"),BB46&amp;IF(BB46="","",CHAR(10))&amp;$A47,BB46)</f>
        <v/>
      </c>
      <c r="BC47" s="0" t="str">
        <f aca="false">IF(AND($B47="D08",$C47="G2"),BC46&amp;IF(BC46="","",CHAR(10))&amp;$A47,BC46)</f>
        <v/>
      </c>
      <c r="BD47" s="0" t="str">
        <f aca="false">IF(AND($B47="D08",$C47="G3"),BD46&amp;IF(BD46="","",CHAR(10))&amp;$A47,BD46)</f>
        <v/>
      </c>
      <c r="BE47" s="0" t="str">
        <f aca="false">IF(AND($B47="D08",$C47="G4"),BE46&amp;IF(BE46="","",CHAR(10))&amp;$A47,BE46)</f>
        <v/>
      </c>
      <c r="BF47" s="0" t="str">
        <f aca="false">IF(AND($B47="D08",$C47="G5"),BF46&amp;IF(BF46="","",CHAR(10))&amp;$A47,BF46)</f>
        <v/>
      </c>
      <c r="BG47" s="0" t="str">
        <f aca="false">IF(AND($B47="D08",$C47="G6"),BG46&amp;IF(BG46="","",CHAR(10))&amp;$A47,BG46)</f>
        <v/>
      </c>
      <c r="BH47" s="0" t="str">
        <f aca="false">IF(AND($B47="D09",$C47="G0"),BH46&amp;IF(BH46="","",CHAR(10))&amp;$A47,BH46)</f>
        <v/>
      </c>
      <c r="BI47" s="0" t="str">
        <f aca="false">IF(AND($B47="D09",$C47="G1"),BI46&amp;IF(BI46="","",CHAR(10))&amp;$A47,BI46)</f>
        <v/>
      </c>
      <c r="BJ47" s="0" t="str">
        <f aca="false">IF(AND($B47="D09",$C47="G2"),BJ46&amp;IF(BJ46="","",CHAR(10))&amp;$A47,BJ46)</f>
        <v/>
      </c>
      <c r="BK47" s="0" t="str">
        <f aca="false">IF(AND($B47="D09",$C47="G3"),BK46&amp;IF(BK46="","",CHAR(10))&amp;$A47,BK46)</f>
        <v/>
      </c>
      <c r="BL47" s="0" t="str">
        <f aca="false">IF(AND($B47="D09",$C47="G4"),BL46&amp;IF(BL46="","",CHAR(10))&amp;$A47,BL46)</f>
        <v/>
      </c>
      <c r="BM47" s="0" t="str">
        <f aca="false">IF(AND($B47="D09",$C47="G5"),BM46&amp;IF(BM46="","",CHAR(10))&amp;$A47,BM46)</f>
        <v/>
      </c>
      <c r="BN47" s="0" t="str">
        <f aca="false">IF(AND($B47="D09",$C47="G6"),BN46&amp;IF(BN46="","",CHAR(10))&amp;$A47,BN46)</f>
        <v/>
      </c>
      <c r="BO47" s="0" t="str">
        <f aca="false">IF(AND($B47="D10",$C47="G0"),BO46&amp;IF(BO46="","",CHAR(10))&amp;$A47,BO46)</f>
        <v/>
      </c>
      <c r="BP47" s="0" t="str">
        <f aca="false">IF(AND($B47="D10",$C47="G1"),BP46&amp;IF(BP46="","",CHAR(10))&amp;$A47,BP46)</f>
        <v/>
      </c>
      <c r="BQ47" s="0" t="str">
        <f aca="false">IF(AND($B47="D10",$C47="G2"),BQ46&amp;IF(BQ46="","",CHAR(10))&amp;$A47,BQ46)</f>
        <v/>
      </c>
      <c r="BR47" s="0" t="str">
        <f aca="false">IF(AND($B47="D10",$C47="G3"),BR46&amp;IF(BR46="","",CHAR(10))&amp;$A47,BR46)</f>
        <v/>
      </c>
      <c r="BS47" s="0" t="str">
        <f aca="false">IF(AND($B47="D10",$C47="G4"),BS46&amp;IF(BS46="","",CHAR(10))&amp;$A47,BS46)</f>
        <v/>
      </c>
      <c r="BT47" s="0" t="str">
        <f aca="false">IF(AND($B47="D10",$C47="G5"),BT46&amp;IF(BT46="","",CHAR(10))&amp;$A47,BT46)</f>
        <v/>
      </c>
      <c r="BU47" s="0" t="str">
        <f aca="false">IF(AND($B47="D10",$C47="G6"),BU46&amp;IF(BU46="","",CHAR(10))&amp;$A47,BU46)</f>
        <v/>
      </c>
      <c r="BX47" s="0" t="str">
        <f aca="false">IF(AND(03_能力總表_Master!$A47&lt;&gt;"",LEFT(03_能力總表_Master!$H47,2)="缺口"),MAX($BX$4:BX46)+1,"")</f>
        <v/>
      </c>
      <c r="BY47" s="0" t="str">
        <f aca="false">IF(AND(03_能力總表_Master!$A47&lt;&gt;"",03_能力總表_Master!$J47=12_夥伴視角_PartnerView!$C$4),MAX($BY$4:BY46)+1,"")</f>
        <v/>
      </c>
      <c r="BZ47" s="0" t="n">
        <f aca="false">IF(AND(05_法規門檻_Gates!$A47&lt;&gt;"",05_法規門檻_Gates!$E47="強制",05_法規門檻_Gates!$F47="待確認"),MAX($BZ$4:BZ46)+1,"")</f>
        <v>16</v>
      </c>
      <c r="CC47" s="0" t="str">
        <f aca="false">IF(AND(03_能力總表_Master!$A47&lt;&gt;"",IFERROR(INDEX(16_能力商機矩陣_CapOppMap!$D47:$CO47,MATCH(LEFT(17_商機作戰卡_OppView!$C$4,6),16_能力商機矩陣_CapOppMap!$D$4:$CO$4,0)),"")="✓"),MAX($CC$4:CC46)+1,"")</f>
        <v/>
      </c>
    </row>
    <row r="48" customFormat="false" ht="95.5" hidden="false" customHeight="false" outlineLevel="0" collapsed="false">
      <c r="A48" s="0" t="str">
        <f aca="false">IF(03_能力總表_Master!$A48="","",IF(LEFT(03_能力總表_Master!$H48,2)="群晶","● ",IF(ISNUMBER(SEARCH("已確認",03_能力總表_Master!$H48)),"◆ ",IF(ISNUMBER(SEARCH("缺口",03_能力總表_Master!$H48)),"○ ","◐ ")))&amp;RIGHT(03_能力總表_Master!$A48,3)&amp;" "&amp;03_能力總表_Master!$E48)</f>
        <v>◐ 044 開院臨床安全驗證</v>
      </c>
      <c r="B48" s="0" t="str">
        <f aca="false">IF(03_能力總表_Master!$A48="","",LEFT(03_能力總表_Master!$B48,3))</f>
        <v>D07</v>
      </c>
      <c r="C48" s="0" t="str">
        <f aca="false">IF(03_能力總表_Master!$A48="","",03_能力總表_Master!$C48)</f>
        <v>G5</v>
      </c>
      <c r="D48" s="363" t="str">
        <f aca="false">IF(AND($B48="D01",$C48="G0"),D47&amp;IF(D47="","",CHAR(10))&amp;$A48,D47)</f>
        <v>◐ 001 政府授權與計畫章程
◐ 002 利害關係人與權力地圖
◐ 005 聯盟治理與利益衝突</v>
      </c>
      <c r="E48" s="363" t="str">
        <f aca="false">IF(AND($B48="D01",$C48="G1"),E47&amp;IF(E47="","",CHAR(10))&amp;$A48,E47)</f>
        <v>◐ 003 交易模式選擇
◐ 004 法規與執照路徑</v>
      </c>
      <c r="F48" s="0" t="str">
        <f aca="false">IF(AND($B48="D01",$C48="G2"),F47&amp;IF(F47="","",CHAR(10))&amp;$A48,F47)</f>
        <v>◐ 006 績效契約與變更控制</v>
      </c>
      <c r="G48" s="0" t="str">
        <f aca="false">IF(AND($B48="D01",$C48="G3"),G47&amp;IF(G47="","",CHAR(10))&amp;$A48,G47)</f>
        <v/>
      </c>
      <c r="H48" s="0" t="str">
        <f aca="false">IF(AND($B48="D01",$C48="G4"),H47&amp;IF(H47="","",CHAR(10))&amp;$A48,H47)</f>
        <v/>
      </c>
      <c r="I48" s="0" t="str">
        <f aca="false">IF(AND($B48="D01",$C48="G5"),I47&amp;IF(I47="","",CHAR(10))&amp;$A48,I47)</f>
        <v/>
      </c>
      <c r="J48" s="0" t="str">
        <f aca="false">IF(AND($B48="D01",$C48="G6"),J47&amp;IF(J47="","",CHAR(10))&amp;$A48,J47)</f>
        <v/>
      </c>
      <c r="K48" s="0" t="str">
        <f aca="false">IF(AND($B48="D02",$C48="G0"),K47&amp;IF(K47="","",CHAR(10))&amp;$A48,K47)</f>
        <v/>
      </c>
      <c r="L48" s="363" t="str">
        <f aca="false">IF(AND($B48="D02",$C48="G1"),L47&amp;IF(L47="","",CHAR(10))&amp;$A48,L47)</f>
        <v>◐ 007 人口需求與病例量預測
◐ 008 醫院定位與服務組合
◐ 009 重點專科優先化
◐ 010 病人流程與容量設計
◐ 011 轉診與區域照護網絡
◐ 012 臨床治理與責任架構</v>
      </c>
      <c r="M48" s="0" t="str">
        <f aca="false">IF(AND($B48="D02",$C48="G2"),M47&amp;IF(M47="","",CHAR(10))&amp;$A48,M47)</f>
        <v/>
      </c>
      <c r="N48" s="0" t="str">
        <f aca="false">IF(AND($B48="D02",$C48="G3"),N47&amp;IF(N47="","",CHAR(10))&amp;$A48,N47)</f>
        <v/>
      </c>
      <c r="O48" s="0" t="str">
        <f aca="false">IF(AND($B48="D02",$C48="G4"),O47&amp;IF(O47="","",CHAR(10))&amp;$A48,O47)</f>
        <v/>
      </c>
      <c r="P48" s="0" t="str">
        <f aca="false">IF(AND($B48="D02",$C48="G5"),P47&amp;IF(P47="","",CHAR(10))&amp;$A48,P47)</f>
        <v/>
      </c>
      <c r="Q48" s="0" t="str">
        <f aca="false">IF(AND($B48="D02",$C48="G6"),Q47&amp;IF(Q47="","",CHAR(10))&amp;$A48,Q47)</f>
        <v/>
      </c>
      <c r="R48" s="0" t="str">
        <f aca="false">IF(AND($B48="D03",$C48="G0"),R47&amp;IF(R47="","",CHAR(10))&amp;$A48,R47)</f>
        <v/>
      </c>
      <c r="S48" s="0" t="str">
        <f aca="false">IF(AND($B48="D03",$C48="G1"),S47&amp;IF(S47="","",CHAR(10))&amp;$A48,S47)</f>
        <v>◐ 013 場址與醫院總體規劃</v>
      </c>
      <c r="T48" s="363" t="str">
        <f aca="false">IF(AND($B48="D03",$C48="G2"),T47&amp;IF(T47="","",CHAR(10))&amp;$A48,T47)</f>
        <v>◐ 014 醫療建築功能計畫
◐ 015 感染控制與潔污動線
◐ 019 綠色與氣候韌性醫院</v>
      </c>
      <c r="U48" s="363" t="str">
        <f aca="false">IF(AND($B48="D03",$C48="G3"),U47&amp;IF(U47="","",CHAR(10))&amp;$A48,U47)</f>
        <v>● 016 電力、備援與微電網
◐ 017 醫療氣體與關鍵公用系統
◐ 018 醫療廢棄物與水資源</v>
      </c>
      <c r="V48" s="0" t="str">
        <f aca="false">IF(AND($B48="D03",$C48="G4"),V47&amp;IF(V47="","",CHAR(10))&amp;$A48,V47)</f>
        <v/>
      </c>
      <c r="W48" s="0" t="str">
        <f aca="false">IF(AND($B48="D03",$C48="G5"),W47&amp;IF(W47="","",CHAR(10))&amp;$A48,W47)</f>
        <v/>
      </c>
      <c r="X48" s="0" t="str">
        <f aca="false">IF(AND($B48="D03",$C48="G6"),X47&amp;IF(X47="","",CHAR(10))&amp;$A48,X47)</f>
        <v/>
      </c>
      <c r="Y48" s="0" t="str">
        <f aca="false">IF(AND($B48="D04",$C48="G0"),Y47&amp;IF(Y47="","",CHAR(10))&amp;$A48,Y47)</f>
        <v/>
      </c>
      <c r="Z48" s="0" t="str">
        <f aca="false">IF(AND($B48="D04",$C48="G1"),Z47&amp;IF(Z47="","",CHAR(10))&amp;$A48,Z47)</f>
        <v/>
      </c>
      <c r="AA48" s="0" t="str">
        <f aca="false">IF(AND($B48="D04",$C48="G2"),AA47&amp;IF(AA47="","",CHAR(10))&amp;$A48,AA47)</f>
        <v/>
      </c>
      <c r="AB48" s="0" t="str">
        <f aca="false">IF(AND($B48="D04",$C48="G3"),AB47&amp;IF(AB47="","",CHAR(10))&amp;$A48,AB47)</f>
        <v>● 020 IDC與邊緣運算底座</v>
      </c>
      <c r="AC48" s="363" t="str">
        <f aca="false">IF(AND($B48="D04",$C48="G4"),AC47&amp;IF(AC47="","",CHAR(10))&amp;$A48,AC47)</f>
        <v>● 021 有線無線網路與分區
◐ 022 資安營運與零信任
● 023 BMS與能源管理
● 024 RTLS與資產／人員定位
● 025 智慧病房、護理呼叫與感測
● 026 災難復原與營運持續</v>
      </c>
      <c r="AD48" s="0" t="str">
        <f aca="false">IF(AND($B48="D04",$C48="G5"),AD47&amp;IF(AD47="","",CHAR(10))&amp;$A48,AD47)</f>
        <v/>
      </c>
      <c r="AE48" s="0" t="str">
        <f aca="false">IF(AND($B48="D04",$C48="G6"),AE47&amp;IF(AE47="","",CHAR(10))&amp;$A48,AE47)</f>
        <v/>
      </c>
      <c r="AF48" s="0" t="str">
        <f aca="false">IF(AND($B48="D05",$C48="G0"),AF47&amp;IF(AF47="","",CHAR(10))&amp;$A48,AF47)</f>
        <v/>
      </c>
      <c r="AG48" s="0" t="str">
        <f aca="false">IF(AND($B48="D05",$C48="G1"),AG47&amp;IF(AG47="","",CHAR(10))&amp;$A48,AG47)</f>
        <v/>
      </c>
      <c r="AH48" s="0" t="str">
        <f aca="false">IF(AND($B48="D05",$C48="G2"),AH47&amp;IF(AH47="","",CHAR(10))&amp;$A48,AH47)</f>
        <v>◐ 027 醫材需求與設備計畫</v>
      </c>
      <c r="AI48" s="0" t="str">
        <f aca="false">IF(AND($B48="D05",$C48="G3"),AI47&amp;IF(AI47="","",CHAR(10))&amp;$A48,AI47)</f>
        <v/>
      </c>
      <c r="AJ48" s="363" t="str">
        <f aca="false">IF(AND($B48="D05",$C48="G4"),AJ47&amp;IF(AJ47="","",CHAR(10))&amp;$A48,AJ47)</f>
        <v>○ 028 影像設備、PACS與報告流程
○ 029 實驗室自動化與LIS
○ 030 手術室與重症整合
◐ 031 醫材介接與裝置身分
◐ 032 醫療工程與設備生命週期</v>
      </c>
      <c r="AK48" s="0" t="str">
        <f aca="false">IF(AND($B48="D05",$C48="G5"),AK47&amp;IF(AK47="","",CHAR(10))&amp;$A48,AK47)</f>
        <v/>
      </c>
      <c r="AL48" s="0" t="str">
        <f aca="false">IF(AND($B48="D05",$C48="G6"),AL47&amp;IF(AL47="","",CHAR(10))&amp;$A48,AL47)</f>
        <v/>
      </c>
      <c r="AM48" s="0" t="str">
        <f aca="false">IF(AND($B48="D06",$C48="G0"),AM47&amp;IF(AM47="","",CHAR(10))&amp;$A48,AM47)</f>
        <v/>
      </c>
      <c r="AN48" s="0" t="str">
        <f aca="false">IF(AND($B48="D06",$C48="G1"),AN47&amp;IF(AN47="","",CHAR(10))&amp;$A48,AN47)</f>
        <v/>
      </c>
      <c r="AO48" s="0" t="str">
        <f aca="false">IF(AND($B48="D06",$C48="G2"),AO47&amp;IF(AO47="","",CHAR(10))&amp;$A48,AO47)</f>
        <v/>
      </c>
      <c r="AP48" s="363" t="str">
        <f aca="false">IF(AND($B48="D06",$C48="G3"),AP47&amp;IF(AP47="","",CHAR(10))&amp;$A48,AP47)</f>
        <v>◐ 033 HIS／EMR核心平台
◐ 036 臨床術語與主資料治理</v>
      </c>
      <c r="AQ48" s="363" t="str">
        <f aca="false">IF(AND($B48="D06",$C48="G4"),AQ47&amp;IF(AQ47="","",CHAR(10))&amp;$A48,AQ47)</f>
        <v>◐ 034 FHIR介接與API管理
○ 035 主病人索引與身分整合
◐ 037 電子醫囑、用藥與決策支援
◐ 038 資料平台、BI與營運指揮</v>
      </c>
      <c r="AR48" s="0" t="str">
        <f aca="false">IF(AND($B48="D06",$C48="G5"),AR47&amp;IF(AR47="","",CHAR(10))&amp;$A48,AR47)</f>
        <v>○ 039 病人入口、行動服務與VNeID準備</v>
      </c>
      <c r="AS48" s="0" t="str">
        <f aca="false">IF(AND($B48="D06",$C48="G6"),AS47&amp;IF(AS47="","",CHAR(10))&amp;$A48,AS47)</f>
        <v/>
      </c>
      <c r="AT48" s="0" t="str">
        <f aca="false">IF(AND($B48="D07",$C48="G0"),AT47&amp;IF(AT47="","",CHAR(10))&amp;$A48,AT47)</f>
        <v/>
      </c>
      <c r="AU48" s="0" t="str">
        <f aca="false">IF(AND($B48="D07",$C48="G1"),AU47&amp;IF(AU47="","",CHAR(10))&amp;$A48,AU47)</f>
        <v/>
      </c>
      <c r="AV48" s="0" t="str">
        <f aca="false">IF(AND($B48="D07",$C48="G2"),AV47&amp;IF(AV47="","",CHAR(10))&amp;$A48,AV47)</f>
        <v>◐ 040 品質管理與JCI路線圖</v>
      </c>
      <c r="AW48" s="363" t="str">
        <f aca="false">IF(AND($B48="D07",$C48="G3"),AW47&amp;IF(AW47="","",CHAR(10))&amp;$A48,AW47)</f>
        <v>◐ 041 感染預防與控制制度
◐ 043 事件通報與根因改善</v>
      </c>
      <c r="AX48" s="0" t="str">
        <f aca="false">IF(AND($B48="D07",$C48="G4"),AX47&amp;IF(AX47="","",CHAR(10))&amp;$A48,AX47)</f>
        <v>◐ 042 用藥安全閉環</v>
      </c>
      <c r="AY48" s="0" t="str">
        <f aca="false">IF(AND($B48="D07",$C48="G5"),AY47&amp;IF(AY47="","",CHAR(10))&amp;$A48,AY47)</f>
        <v>◐ 044 開院臨床安全驗證</v>
      </c>
      <c r="AZ48" s="0" t="str">
        <f aca="false">IF(AND($B48="D07",$C48="G6"),AZ47&amp;IF(AZ47="","",CHAR(10))&amp;$A48,AZ47)</f>
        <v/>
      </c>
      <c r="BA48" s="0" t="str">
        <f aca="false">IF(AND($B48="D08",$C48="G0"),BA47&amp;IF(BA47="","",CHAR(10))&amp;$A48,BA47)</f>
        <v/>
      </c>
      <c r="BB48" s="0" t="str">
        <f aca="false">IF(AND($B48="D08",$C48="G1"),BB47&amp;IF(BB47="","",CHAR(10))&amp;$A48,BB47)</f>
        <v/>
      </c>
      <c r="BC48" s="0" t="str">
        <f aca="false">IF(AND($B48="D08",$C48="G2"),BC47&amp;IF(BC47="","",CHAR(10))&amp;$A48,BC47)</f>
        <v/>
      </c>
      <c r="BD48" s="0" t="str">
        <f aca="false">IF(AND($B48="D08",$C48="G3"),BD47&amp;IF(BD47="","",CHAR(10))&amp;$A48,BD47)</f>
        <v/>
      </c>
      <c r="BE48" s="0" t="str">
        <f aca="false">IF(AND($B48="D08",$C48="G4"),BE47&amp;IF(BE47="","",CHAR(10))&amp;$A48,BE47)</f>
        <v/>
      </c>
      <c r="BF48" s="0" t="str">
        <f aca="false">IF(AND($B48="D08",$C48="G5"),BF47&amp;IF(BF47="","",CHAR(10))&amp;$A48,BF47)</f>
        <v/>
      </c>
      <c r="BG48" s="0" t="str">
        <f aca="false">IF(AND($B48="D08",$C48="G6"),BG47&amp;IF(BG47="","",CHAR(10))&amp;$A48,BG47)</f>
        <v/>
      </c>
      <c r="BH48" s="0" t="str">
        <f aca="false">IF(AND($B48="D09",$C48="G0"),BH47&amp;IF(BH47="","",CHAR(10))&amp;$A48,BH47)</f>
        <v/>
      </c>
      <c r="BI48" s="0" t="str">
        <f aca="false">IF(AND($B48="D09",$C48="G1"),BI47&amp;IF(BI47="","",CHAR(10))&amp;$A48,BI47)</f>
        <v/>
      </c>
      <c r="BJ48" s="0" t="str">
        <f aca="false">IF(AND($B48="D09",$C48="G2"),BJ47&amp;IF(BJ47="","",CHAR(10))&amp;$A48,BJ47)</f>
        <v/>
      </c>
      <c r="BK48" s="0" t="str">
        <f aca="false">IF(AND($B48="D09",$C48="G3"),BK47&amp;IF(BK47="","",CHAR(10))&amp;$A48,BK47)</f>
        <v/>
      </c>
      <c r="BL48" s="0" t="str">
        <f aca="false">IF(AND($B48="D09",$C48="G4"),BL47&amp;IF(BL47="","",CHAR(10))&amp;$A48,BL47)</f>
        <v/>
      </c>
      <c r="BM48" s="0" t="str">
        <f aca="false">IF(AND($B48="D09",$C48="G5"),BM47&amp;IF(BM47="","",CHAR(10))&amp;$A48,BM47)</f>
        <v/>
      </c>
      <c r="BN48" s="0" t="str">
        <f aca="false">IF(AND($B48="D09",$C48="G6"),BN47&amp;IF(BN47="","",CHAR(10))&amp;$A48,BN47)</f>
        <v/>
      </c>
      <c r="BO48" s="0" t="str">
        <f aca="false">IF(AND($B48="D10",$C48="G0"),BO47&amp;IF(BO47="","",CHAR(10))&amp;$A48,BO47)</f>
        <v/>
      </c>
      <c r="BP48" s="0" t="str">
        <f aca="false">IF(AND($B48="D10",$C48="G1"),BP47&amp;IF(BP47="","",CHAR(10))&amp;$A48,BP47)</f>
        <v/>
      </c>
      <c r="BQ48" s="0" t="str">
        <f aca="false">IF(AND($B48="D10",$C48="G2"),BQ47&amp;IF(BQ47="","",CHAR(10))&amp;$A48,BQ47)</f>
        <v/>
      </c>
      <c r="BR48" s="0" t="str">
        <f aca="false">IF(AND($B48="D10",$C48="G3"),BR47&amp;IF(BR47="","",CHAR(10))&amp;$A48,BR47)</f>
        <v/>
      </c>
      <c r="BS48" s="0" t="str">
        <f aca="false">IF(AND($B48="D10",$C48="G4"),BS47&amp;IF(BS47="","",CHAR(10))&amp;$A48,BS47)</f>
        <v/>
      </c>
      <c r="BT48" s="0" t="str">
        <f aca="false">IF(AND($B48="D10",$C48="G5"),BT47&amp;IF(BT47="","",CHAR(10))&amp;$A48,BT47)</f>
        <v/>
      </c>
      <c r="BU48" s="0" t="str">
        <f aca="false">IF(AND($B48="D10",$C48="G6"),BU47&amp;IF(BU47="","",CHAR(10))&amp;$A48,BU47)</f>
        <v/>
      </c>
      <c r="BX48" s="0" t="str">
        <f aca="false">IF(AND(03_能力總表_Master!$A48&lt;&gt;"",LEFT(03_能力總表_Master!$H48,2)="缺口"),MAX($BX$4:BX47)+1,"")</f>
        <v/>
      </c>
      <c r="BY48" s="0" t="str">
        <f aca="false">IF(AND(03_能力總表_Master!$A48&lt;&gt;"",03_能力總表_Master!$J48=12_夥伴視角_PartnerView!$C$4),MAX($BY$4:BY47)+1,"")</f>
        <v/>
      </c>
      <c r="BZ48" s="0" t="str">
        <f aca="false">IF(AND(05_法規門檻_Gates!$A48&lt;&gt;"",05_法規門檻_Gates!$E48="強制",05_法規門檻_Gates!$F48="待確認"),MAX($BZ$4:BZ47)+1,"")</f>
        <v/>
      </c>
      <c r="CC48" s="0" t="str">
        <f aca="false">IF(AND(03_能力總表_Master!$A48&lt;&gt;"",IFERROR(INDEX(16_能力商機矩陣_CapOppMap!$D48:$CO48,MATCH(LEFT(17_商機作戰卡_OppView!$C$4,6),16_能力商機矩陣_CapOppMap!$D$4:$CO$4,0)),"")="✓"),MAX($CC$4:CC47)+1,"")</f>
        <v/>
      </c>
    </row>
    <row r="49" customFormat="false" ht="95.5" hidden="false" customHeight="false" outlineLevel="0" collapsed="false">
      <c r="A49" s="0" t="str">
        <f aca="false">IF(03_能力總表_Master!$A49="","",IF(LEFT(03_能力總表_Master!$H49,2)="群晶","● ",IF(ISNUMBER(SEARCH("已確認",03_能力總表_Master!$H49)),"◆ ",IF(ISNUMBER(SEARCH("缺口",03_能力總表_Master!$H49)),"○ ","◐ ")))&amp;RIGHT(03_能力總表_Master!$A49,3)&amp;" "&amp;03_能力總表_Master!$E49)</f>
        <v>○ 045 人力與輪班模型</v>
      </c>
      <c r="B49" s="0" t="str">
        <f aca="false">IF(03_能力總表_Master!$A49="","",LEFT(03_能力總表_Master!$B49,3))</f>
        <v>D08</v>
      </c>
      <c r="C49" s="0" t="str">
        <f aca="false">IF(03_能力總表_Master!$A49="","",03_能力總表_Master!$C49)</f>
        <v>G2</v>
      </c>
      <c r="D49" s="363" t="str">
        <f aca="false">IF(AND($B49="D01",$C49="G0"),D48&amp;IF(D48="","",CHAR(10))&amp;$A49,D48)</f>
        <v>◐ 001 政府授權與計畫章程
◐ 002 利害關係人與權力地圖
◐ 005 聯盟治理與利益衝突</v>
      </c>
      <c r="E49" s="363" t="str">
        <f aca="false">IF(AND($B49="D01",$C49="G1"),E48&amp;IF(E48="","",CHAR(10))&amp;$A49,E48)</f>
        <v>◐ 003 交易模式選擇
◐ 004 法規與執照路徑</v>
      </c>
      <c r="F49" s="0" t="str">
        <f aca="false">IF(AND($B49="D01",$C49="G2"),F48&amp;IF(F48="","",CHAR(10))&amp;$A49,F48)</f>
        <v>◐ 006 績效契約與變更控制</v>
      </c>
      <c r="G49" s="0" t="str">
        <f aca="false">IF(AND($B49="D01",$C49="G3"),G48&amp;IF(G48="","",CHAR(10))&amp;$A49,G48)</f>
        <v/>
      </c>
      <c r="H49" s="0" t="str">
        <f aca="false">IF(AND($B49="D01",$C49="G4"),H48&amp;IF(H48="","",CHAR(10))&amp;$A49,H48)</f>
        <v/>
      </c>
      <c r="I49" s="0" t="str">
        <f aca="false">IF(AND($B49="D01",$C49="G5"),I48&amp;IF(I48="","",CHAR(10))&amp;$A49,I48)</f>
        <v/>
      </c>
      <c r="J49" s="0" t="str">
        <f aca="false">IF(AND($B49="D01",$C49="G6"),J48&amp;IF(J48="","",CHAR(10))&amp;$A49,J48)</f>
        <v/>
      </c>
      <c r="K49" s="0" t="str">
        <f aca="false">IF(AND($B49="D02",$C49="G0"),K48&amp;IF(K48="","",CHAR(10))&amp;$A49,K48)</f>
        <v/>
      </c>
      <c r="L49" s="363" t="str">
        <f aca="false">IF(AND($B49="D02",$C49="G1"),L48&amp;IF(L48="","",CHAR(10))&amp;$A49,L48)</f>
        <v>◐ 007 人口需求與病例量預測
◐ 008 醫院定位與服務組合
◐ 009 重點專科優先化
◐ 010 病人流程與容量設計
◐ 011 轉診與區域照護網絡
◐ 012 臨床治理與責任架構</v>
      </c>
      <c r="M49" s="0" t="str">
        <f aca="false">IF(AND($B49="D02",$C49="G2"),M48&amp;IF(M48="","",CHAR(10))&amp;$A49,M48)</f>
        <v/>
      </c>
      <c r="N49" s="0" t="str">
        <f aca="false">IF(AND($B49="D02",$C49="G3"),N48&amp;IF(N48="","",CHAR(10))&amp;$A49,N48)</f>
        <v/>
      </c>
      <c r="O49" s="0" t="str">
        <f aca="false">IF(AND($B49="D02",$C49="G4"),O48&amp;IF(O48="","",CHAR(10))&amp;$A49,O48)</f>
        <v/>
      </c>
      <c r="P49" s="0" t="str">
        <f aca="false">IF(AND($B49="D02",$C49="G5"),P48&amp;IF(P48="","",CHAR(10))&amp;$A49,P48)</f>
        <v/>
      </c>
      <c r="Q49" s="0" t="str">
        <f aca="false">IF(AND($B49="D02",$C49="G6"),Q48&amp;IF(Q48="","",CHAR(10))&amp;$A49,Q48)</f>
        <v/>
      </c>
      <c r="R49" s="0" t="str">
        <f aca="false">IF(AND($B49="D03",$C49="G0"),R48&amp;IF(R48="","",CHAR(10))&amp;$A49,R48)</f>
        <v/>
      </c>
      <c r="S49" s="0" t="str">
        <f aca="false">IF(AND($B49="D03",$C49="G1"),S48&amp;IF(S48="","",CHAR(10))&amp;$A49,S48)</f>
        <v>◐ 013 場址與醫院總體規劃</v>
      </c>
      <c r="T49" s="363" t="str">
        <f aca="false">IF(AND($B49="D03",$C49="G2"),T48&amp;IF(T48="","",CHAR(10))&amp;$A49,T48)</f>
        <v>◐ 014 醫療建築功能計畫
◐ 015 感染控制與潔污動線
◐ 019 綠色與氣候韌性醫院</v>
      </c>
      <c r="U49" s="363" t="str">
        <f aca="false">IF(AND($B49="D03",$C49="G3"),U48&amp;IF(U48="","",CHAR(10))&amp;$A49,U48)</f>
        <v>● 016 電力、備援與微電網
◐ 017 醫療氣體與關鍵公用系統
◐ 018 醫療廢棄物與水資源</v>
      </c>
      <c r="V49" s="0" t="str">
        <f aca="false">IF(AND($B49="D03",$C49="G4"),V48&amp;IF(V48="","",CHAR(10))&amp;$A49,V48)</f>
        <v/>
      </c>
      <c r="W49" s="0" t="str">
        <f aca="false">IF(AND($B49="D03",$C49="G5"),W48&amp;IF(W48="","",CHAR(10))&amp;$A49,W48)</f>
        <v/>
      </c>
      <c r="X49" s="0" t="str">
        <f aca="false">IF(AND($B49="D03",$C49="G6"),X48&amp;IF(X48="","",CHAR(10))&amp;$A49,X48)</f>
        <v/>
      </c>
      <c r="Y49" s="0" t="str">
        <f aca="false">IF(AND($B49="D04",$C49="G0"),Y48&amp;IF(Y48="","",CHAR(10))&amp;$A49,Y48)</f>
        <v/>
      </c>
      <c r="Z49" s="0" t="str">
        <f aca="false">IF(AND($B49="D04",$C49="G1"),Z48&amp;IF(Z48="","",CHAR(10))&amp;$A49,Z48)</f>
        <v/>
      </c>
      <c r="AA49" s="0" t="str">
        <f aca="false">IF(AND($B49="D04",$C49="G2"),AA48&amp;IF(AA48="","",CHAR(10))&amp;$A49,AA48)</f>
        <v/>
      </c>
      <c r="AB49" s="0" t="str">
        <f aca="false">IF(AND($B49="D04",$C49="G3"),AB48&amp;IF(AB48="","",CHAR(10))&amp;$A49,AB48)</f>
        <v>● 020 IDC與邊緣運算底座</v>
      </c>
      <c r="AC49" s="363" t="str">
        <f aca="false">IF(AND($B49="D04",$C49="G4"),AC48&amp;IF(AC48="","",CHAR(10))&amp;$A49,AC48)</f>
        <v>● 021 有線無線網路與分區
◐ 022 資安營運與零信任
● 023 BMS與能源管理
● 024 RTLS與資產／人員定位
● 025 智慧病房、護理呼叫與感測
● 026 災難復原與營運持續</v>
      </c>
      <c r="AD49" s="0" t="str">
        <f aca="false">IF(AND($B49="D04",$C49="G5"),AD48&amp;IF(AD48="","",CHAR(10))&amp;$A49,AD48)</f>
        <v/>
      </c>
      <c r="AE49" s="0" t="str">
        <f aca="false">IF(AND($B49="D04",$C49="G6"),AE48&amp;IF(AE48="","",CHAR(10))&amp;$A49,AE48)</f>
        <v/>
      </c>
      <c r="AF49" s="0" t="str">
        <f aca="false">IF(AND($B49="D05",$C49="G0"),AF48&amp;IF(AF48="","",CHAR(10))&amp;$A49,AF48)</f>
        <v/>
      </c>
      <c r="AG49" s="0" t="str">
        <f aca="false">IF(AND($B49="D05",$C49="G1"),AG48&amp;IF(AG48="","",CHAR(10))&amp;$A49,AG48)</f>
        <v/>
      </c>
      <c r="AH49" s="0" t="str">
        <f aca="false">IF(AND($B49="D05",$C49="G2"),AH48&amp;IF(AH48="","",CHAR(10))&amp;$A49,AH48)</f>
        <v>◐ 027 醫材需求與設備計畫</v>
      </c>
      <c r="AI49" s="0" t="str">
        <f aca="false">IF(AND($B49="D05",$C49="G3"),AI48&amp;IF(AI48="","",CHAR(10))&amp;$A49,AI48)</f>
        <v/>
      </c>
      <c r="AJ49" s="363" t="str">
        <f aca="false">IF(AND($B49="D05",$C49="G4"),AJ48&amp;IF(AJ48="","",CHAR(10))&amp;$A49,AJ48)</f>
        <v>○ 028 影像設備、PACS與報告流程
○ 029 實驗室自動化與LIS
○ 030 手術室與重症整合
◐ 031 醫材介接與裝置身分
◐ 032 醫療工程與設備生命週期</v>
      </c>
      <c r="AK49" s="0" t="str">
        <f aca="false">IF(AND($B49="D05",$C49="G5"),AK48&amp;IF(AK48="","",CHAR(10))&amp;$A49,AK48)</f>
        <v/>
      </c>
      <c r="AL49" s="0" t="str">
        <f aca="false">IF(AND($B49="D05",$C49="G6"),AL48&amp;IF(AL48="","",CHAR(10))&amp;$A49,AL48)</f>
        <v/>
      </c>
      <c r="AM49" s="0" t="str">
        <f aca="false">IF(AND($B49="D06",$C49="G0"),AM48&amp;IF(AM48="","",CHAR(10))&amp;$A49,AM48)</f>
        <v/>
      </c>
      <c r="AN49" s="0" t="str">
        <f aca="false">IF(AND($B49="D06",$C49="G1"),AN48&amp;IF(AN48="","",CHAR(10))&amp;$A49,AN48)</f>
        <v/>
      </c>
      <c r="AO49" s="0" t="str">
        <f aca="false">IF(AND($B49="D06",$C49="G2"),AO48&amp;IF(AO48="","",CHAR(10))&amp;$A49,AO48)</f>
        <v/>
      </c>
      <c r="AP49" s="363" t="str">
        <f aca="false">IF(AND($B49="D06",$C49="G3"),AP48&amp;IF(AP48="","",CHAR(10))&amp;$A49,AP48)</f>
        <v>◐ 033 HIS／EMR核心平台
◐ 036 臨床術語與主資料治理</v>
      </c>
      <c r="AQ49" s="363" t="str">
        <f aca="false">IF(AND($B49="D06",$C49="G4"),AQ48&amp;IF(AQ48="","",CHAR(10))&amp;$A49,AQ48)</f>
        <v>◐ 034 FHIR介接與API管理
○ 035 主病人索引與身分整合
◐ 037 電子醫囑、用藥與決策支援
◐ 038 資料平台、BI與營運指揮</v>
      </c>
      <c r="AR49" s="0" t="str">
        <f aca="false">IF(AND($B49="D06",$C49="G5"),AR48&amp;IF(AR48="","",CHAR(10))&amp;$A49,AR48)</f>
        <v>○ 039 病人入口、行動服務與VNeID準備</v>
      </c>
      <c r="AS49" s="0" t="str">
        <f aca="false">IF(AND($B49="D06",$C49="G6"),AS48&amp;IF(AS48="","",CHAR(10))&amp;$A49,AS48)</f>
        <v/>
      </c>
      <c r="AT49" s="0" t="str">
        <f aca="false">IF(AND($B49="D07",$C49="G0"),AT48&amp;IF(AT48="","",CHAR(10))&amp;$A49,AT48)</f>
        <v/>
      </c>
      <c r="AU49" s="0" t="str">
        <f aca="false">IF(AND($B49="D07",$C49="G1"),AU48&amp;IF(AU48="","",CHAR(10))&amp;$A49,AU48)</f>
        <v/>
      </c>
      <c r="AV49" s="0" t="str">
        <f aca="false">IF(AND($B49="D07",$C49="G2"),AV48&amp;IF(AV48="","",CHAR(10))&amp;$A49,AV48)</f>
        <v>◐ 040 品質管理與JCI路線圖</v>
      </c>
      <c r="AW49" s="363" t="str">
        <f aca="false">IF(AND($B49="D07",$C49="G3"),AW48&amp;IF(AW48="","",CHAR(10))&amp;$A49,AW48)</f>
        <v>◐ 041 感染預防與控制制度
◐ 043 事件通報與根因改善</v>
      </c>
      <c r="AX49" s="0" t="str">
        <f aca="false">IF(AND($B49="D07",$C49="G4"),AX48&amp;IF(AX48="","",CHAR(10))&amp;$A49,AX48)</f>
        <v>◐ 042 用藥安全閉環</v>
      </c>
      <c r="AY49" s="0" t="str">
        <f aca="false">IF(AND($B49="D07",$C49="G5"),AY48&amp;IF(AY48="","",CHAR(10))&amp;$A49,AY48)</f>
        <v>◐ 044 開院臨床安全驗證</v>
      </c>
      <c r="AZ49" s="0" t="str">
        <f aca="false">IF(AND($B49="D07",$C49="G6"),AZ48&amp;IF(AZ48="","",CHAR(10))&amp;$A49,AZ48)</f>
        <v/>
      </c>
      <c r="BA49" s="0" t="str">
        <f aca="false">IF(AND($B49="D08",$C49="G0"),BA48&amp;IF(BA48="","",CHAR(10))&amp;$A49,BA48)</f>
        <v/>
      </c>
      <c r="BB49" s="0" t="str">
        <f aca="false">IF(AND($B49="D08",$C49="G1"),BB48&amp;IF(BB48="","",CHAR(10))&amp;$A49,BB48)</f>
        <v/>
      </c>
      <c r="BC49" s="0" t="str">
        <f aca="false">IF(AND($B49="D08",$C49="G2"),BC48&amp;IF(BC48="","",CHAR(10))&amp;$A49,BC48)</f>
        <v>○ 045 人力與輪班模型</v>
      </c>
      <c r="BD49" s="0" t="str">
        <f aca="false">IF(AND($B49="D08",$C49="G3"),BD48&amp;IF(BD48="","",CHAR(10))&amp;$A49,BD48)</f>
        <v/>
      </c>
      <c r="BE49" s="0" t="str">
        <f aca="false">IF(AND($B49="D08",$C49="G4"),BE48&amp;IF(BE48="","",CHAR(10))&amp;$A49,BE48)</f>
        <v/>
      </c>
      <c r="BF49" s="0" t="str">
        <f aca="false">IF(AND($B49="D08",$C49="G5"),BF48&amp;IF(BF48="","",CHAR(10))&amp;$A49,BF48)</f>
        <v/>
      </c>
      <c r="BG49" s="0" t="str">
        <f aca="false">IF(AND($B49="D08",$C49="G6"),BG48&amp;IF(BG48="","",CHAR(10))&amp;$A49,BG48)</f>
        <v/>
      </c>
      <c r="BH49" s="0" t="str">
        <f aca="false">IF(AND($B49="D09",$C49="G0"),BH48&amp;IF(BH48="","",CHAR(10))&amp;$A49,BH48)</f>
        <v/>
      </c>
      <c r="BI49" s="0" t="str">
        <f aca="false">IF(AND($B49="D09",$C49="G1"),BI48&amp;IF(BI48="","",CHAR(10))&amp;$A49,BI48)</f>
        <v/>
      </c>
      <c r="BJ49" s="0" t="str">
        <f aca="false">IF(AND($B49="D09",$C49="G2"),BJ48&amp;IF(BJ48="","",CHAR(10))&amp;$A49,BJ48)</f>
        <v/>
      </c>
      <c r="BK49" s="0" t="str">
        <f aca="false">IF(AND($B49="D09",$C49="G3"),BK48&amp;IF(BK48="","",CHAR(10))&amp;$A49,BK48)</f>
        <v/>
      </c>
      <c r="BL49" s="0" t="str">
        <f aca="false">IF(AND($B49="D09",$C49="G4"),BL48&amp;IF(BL48="","",CHAR(10))&amp;$A49,BL48)</f>
        <v/>
      </c>
      <c r="BM49" s="0" t="str">
        <f aca="false">IF(AND($B49="D09",$C49="G5"),BM48&amp;IF(BM48="","",CHAR(10))&amp;$A49,BM48)</f>
        <v/>
      </c>
      <c r="BN49" s="0" t="str">
        <f aca="false">IF(AND($B49="D09",$C49="G6"),BN48&amp;IF(BN48="","",CHAR(10))&amp;$A49,BN48)</f>
        <v/>
      </c>
      <c r="BO49" s="0" t="str">
        <f aca="false">IF(AND($B49="D10",$C49="G0"),BO48&amp;IF(BO48="","",CHAR(10))&amp;$A49,BO48)</f>
        <v/>
      </c>
      <c r="BP49" s="0" t="str">
        <f aca="false">IF(AND($B49="D10",$C49="G1"),BP48&amp;IF(BP48="","",CHAR(10))&amp;$A49,BP48)</f>
        <v/>
      </c>
      <c r="BQ49" s="0" t="str">
        <f aca="false">IF(AND($B49="D10",$C49="G2"),BQ48&amp;IF(BQ48="","",CHAR(10))&amp;$A49,BQ48)</f>
        <v/>
      </c>
      <c r="BR49" s="0" t="str">
        <f aca="false">IF(AND($B49="D10",$C49="G3"),BR48&amp;IF(BR48="","",CHAR(10))&amp;$A49,BR48)</f>
        <v/>
      </c>
      <c r="BS49" s="0" t="str">
        <f aca="false">IF(AND($B49="D10",$C49="G4"),BS48&amp;IF(BS48="","",CHAR(10))&amp;$A49,BS48)</f>
        <v/>
      </c>
      <c r="BT49" s="0" t="str">
        <f aca="false">IF(AND($B49="D10",$C49="G5"),BT48&amp;IF(BT48="","",CHAR(10))&amp;$A49,BT48)</f>
        <v/>
      </c>
      <c r="BU49" s="0" t="str">
        <f aca="false">IF(AND($B49="D10",$C49="G6"),BU48&amp;IF(BU48="","",CHAR(10))&amp;$A49,BU48)</f>
        <v/>
      </c>
      <c r="BX49" s="0" t="n">
        <f aca="false">IF(AND(03_能力總表_Master!$A49&lt;&gt;"",LEFT(03_能力總表_Master!$H49,2)="缺口"),MAX($BX$4:BX48)+1,"")</f>
        <v>6</v>
      </c>
      <c r="BY49" s="0" t="str">
        <f aca="false">IF(AND(03_能力總表_Master!$A49&lt;&gt;"",03_能力總表_Master!$J49=12_夥伴視角_PartnerView!$C$4),MAX($BY$4:BY48)+1,"")</f>
        <v/>
      </c>
      <c r="BZ49" s="0" t="str">
        <f aca="false">IF(AND(05_法規門檻_Gates!$A49&lt;&gt;"",05_法規門檻_Gates!$E49="強制",05_法規門檻_Gates!$F49="待確認"),MAX($BZ$4:BZ48)+1,"")</f>
        <v/>
      </c>
      <c r="CC49" s="0" t="str">
        <f aca="false">IF(AND(03_能力總表_Master!$A49&lt;&gt;"",IFERROR(INDEX(16_能力商機矩陣_CapOppMap!$D49:$CO49,MATCH(LEFT(17_商機作戰卡_OppView!$C$4,6),16_能力商機矩陣_CapOppMap!$D$4:$CO$4,0)),"")="✓"),MAX($CC$4:CC48)+1,"")</f>
        <v/>
      </c>
    </row>
    <row r="50" customFormat="false" ht="95.5" hidden="false" customHeight="false" outlineLevel="0" collapsed="false">
      <c r="A50" s="0" t="str">
        <f aca="false">IF(03_能力總表_Master!$A50="","",IF(LEFT(03_能力總表_Master!$H50,2)="群晶","● ",IF(ISNUMBER(SEARCH("已確認",03_能力總表_Master!$H50)),"◆ ",IF(ISNUMBER(SEARCH("缺口",03_能力總表_Master!$H50)),"○ ","◐ ")))&amp;RIGHT(03_能力總表_Master!$A50,3)&amp;" "&amp;03_能力總表_Master!$E50)</f>
        <v>◐ 046 職能矩陣與授權</v>
      </c>
      <c r="B50" s="0" t="str">
        <f aca="false">IF(03_能力總表_Master!$A50="","",LEFT(03_能力總表_Master!$B50,3))</f>
        <v>D08</v>
      </c>
      <c r="C50" s="0" t="str">
        <f aca="false">IF(03_能力總表_Master!$A50="","",03_能力總表_Master!$C50)</f>
        <v>G3</v>
      </c>
      <c r="D50" s="363" t="str">
        <f aca="false">IF(AND($B50="D01",$C50="G0"),D49&amp;IF(D49="","",CHAR(10))&amp;$A50,D49)</f>
        <v>◐ 001 政府授權與計畫章程
◐ 002 利害關係人與權力地圖
◐ 005 聯盟治理與利益衝突</v>
      </c>
      <c r="E50" s="363" t="str">
        <f aca="false">IF(AND($B50="D01",$C50="G1"),E49&amp;IF(E49="","",CHAR(10))&amp;$A50,E49)</f>
        <v>◐ 003 交易模式選擇
◐ 004 法規與執照路徑</v>
      </c>
      <c r="F50" s="0" t="str">
        <f aca="false">IF(AND($B50="D01",$C50="G2"),F49&amp;IF(F49="","",CHAR(10))&amp;$A50,F49)</f>
        <v>◐ 006 績效契約與變更控制</v>
      </c>
      <c r="G50" s="0" t="str">
        <f aca="false">IF(AND($B50="D01",$C50="G3"),G49&amp;IF(G49="","",CHAR(10))&amp;$A50,G49)</f>
        <v/>
      </c>
      <c r="H50" s="0" t="str">
        <f aca="false">IF(AND($B50="D01",$C50="G4"),H49&amp;IF(H49="","",CHAR(10))&amp;$A50,H49)</f>
        <v/>
      </c>
      <c r="I50" s="0" t="str">
        <f aca="false">IF(AND($B50="D01",$C50="G5"),I49&amp;IF(I49="","",CHAR(10))&amp;$A50,I49)</f>
        <v/>
      </c>
      <c r="J50" s="0" t="str">
        <f aca="false">IF(AND($B50="D01",$C50="G6"),J49&amp;IF(J49="","",CHAR(10))&amp;$A50,J49)</f>
        <v/>
      </c>
      <c r="K50" s="0" t="str">
        <f aca="false">IF(AND($B50="D02",$C50="G0"),K49&amp;IF(K49="","",CHAR(10))&amp;$A50,K49)</f>
        <v/>
      </c>
      <c r="L50" s="363" t="str">
        <f aca="false">IF(AND($B50="D02",$C50="G1"),L49&amp;IF(L49="","",CHAR(10))&amp;$A50,L49)</f>
        <v>◐ 007 人口需求與病例量預測
◐ 008 醫院定位與服務組合
◐ 009 重點專科優先化
◐ 010 病人流程與容量設計
◐ 011 轉診與區域照護網絡
◐ 012 臨床治理與責任架構</v>
      </c>
      <c r="M50" s="0" t="str">
        <f aca="false">IF(AND($B50="D02",$C50="G2"),M49&amp;IF(M49="","",CHAR(10))&amp;$A50,M49)</f>
        <v/>
      </c>
      <c r="N50" s="0" t="str">
        <f aca="false">IF(AND($B50="D02",$C50="G3"),N49&amp;IF(N49="","",CHAR(10))&amp;$A50,N49)</f>
        <v/>
      </c>
      <c r="O50" s="0" t="str">
        <f aca="false">IF(AND($B50="D02",$C50="G4"),O49&amp;IF(O49="","",CHAR(10))&amp;$A50,O49)</f>
        <v/>
      </c>
      <c r="P50" s="0" t="str">
        <f aca="false">IF(AND($B50="D02",$C50="G5"),P49&amp;IF(P49="","",CHAR(10))&amp;$A50,P49)</f>
        <v/>
      </c>
      <c r="Q50" s="0" t="str">
        <f aca="false">IF(AND($B50="D02",$C50="G6"),Q49&amp;IF(Q49="","",CHAR(10))&amp;$A50,Q49)</f>
        <v/>
      </c>
      <c r="R50" s="0" t="str">
        <f aca="false">IF(AND($B50="D03",$C50="G0"),R49&amp;IF(R49="","",CHAR(10))&amp;$A50,R49)</f>
        <v/>
      </c>
      <c r="S50" s="0" t="str">
        <f aca="false">IF(AND($B50="D03",$C50="G1"),S49&amp;IF(S49="","",CHAR(10))&amp;$A50,S49)</f>
        <v>◐ 013 場址與醫院總體規劃</v>
      </c>
      <c r="T50" s="363" t="str">
        <f aca="false">IF(AND($B50="D03",$C50="G2"),T49&amp;IF(T49="","",CHAR(10))&amp;$A50,T49)</f>
        <v>◐ 014 醫療建築功能計畫
◐ 015 感染控制與潔污動線
◐ 019 綠色與氣候韌性醫院</v>
      </c>
      <c r="U50" s="363" t="str">
        <f aca="false">IF(AND($B50="D03",$C50="G3"),U49&amp;IF(U49="","",CHAR(10))&amp;$A50,U49)</f>
        <v>● 016 電力、備援與微電網
◐ 017 醫療氣體與關鍵公用系統
◐ 018 醫療廢棄物與水資源</v>
      </c>
      <c r="V50" s="0" t="str">
        <f aca="false">IF(AND($B50="D03",$C50="G4"),V49&amp;IF(V49="","",CHAR(10))&amp;$A50,V49)</f>
        <v/>
      </c>
      <c r="W50" s="0" t="str">
        <f aca="false">IF(AND($B50="D03",$C50="G5"),W49&amp;IF(W49="","",CHAR(10))&amp;$A50,W49)</f>
        <v/>
      </c>
      <c r="X50" s="0" t="str">
        <f aca="false">IF(AND($B50="D03",$C50="G6"),X49&amp;IF(X49="","",CHAR(10))&amp;$A50,X49)</f>
        <v/>
      </c>
      <c r="Y50" s="0" t="str">
        <f aca="false">IF(AND($B50="D04",$C50="G0"),Y49&amp;IF(Y49="","",CHAR(10))&amp;$A50,Y49)</f>
        <v/>
      </c>
      <c r="Z50" s="0" t="str">
        <f aca="false">IF(AND($B50="D04",$C50="G1"),Z49&amp;IF(Z49="","",CHAR(10))&amp;$A50,Z49)</f>
        <v/>
      </c>
      <c r="AA50" s="0" t="str">
        <f aca="false">IF(AND($B50="D04",$C50="G2"),AA49&amp;IF(AA49="","",CHAR(10))&amp;$A50,AA49)</f>
        <v/>
      </c>
      <c r="AB50" s="0" t="str">
        <f aca="false">IF(AND($B50="D04",$C50="G3"),AB49&amp;IF(AB49="","",CHAR(10))&amp;$A50,AB49)</f>
        <v>● 020 IDC與邊緣運算底座</v>
      </c>
      <c r="AC50" s="363" t="str">
        <f aca="false">IF(AND($B50="D04",$C50="G4"),AC49&amp;IF(AC49="","",CHAR(10))&amp;$A50,AC49)</f>
        <v>● 021 有線無線網路與分區
◐ 022 資安營運與零信任
● 023 BMS與能源管理
● 024 RTLS與資產／人員定位
● 025 智慧病房、護理呼叫與感測
● 026 災難復原與營運持續</v>
      </c>
      <c r="AD50" s="0" t="str">
        <f aca="false">IF(AND($B50="D04",$C50="G5"),AD49&amp;IF(AD49="","",CHAR(10))&amp;$A50,AD49)</f>
        <v/>
      </c>
      <c r="AE50" s="0" t="str">
        <f aca="false">IF(AND($B50="D04",$C50="G6"),AE49&amp;IF(AE49="","",CHAR(10))&amp;$A50,AE49)</f>
        <v/>
      </c>
      <c r="AF50" s="0" t="str">
        <f aca="false">IF(AND($B50="D05",$C50="G0"),AF49&amp;IF(AF49="","",CHAR(10))&amp;$A50,AF49)</f>
        <v/>
      </c>
      <c r="AG50" s="0" t="str">
        <f aca="false">IF(AND($B50="D05",$C50="G1"),AG49&amp;IF(AG49="","",CHAR(10))&amp;$A50,AG49)</f>
        <v/>
      </c>
      <c r="AH50" s="0" t="str">
        <f aca="false">IF(AND($B50="D05",$C50="G2"),AH49&amp;IF(AH49="","",CHAR(10))&amp;$A50,AH49)</f>
        <v>◐ 027 醫材需求與設備計畫</v>
      </c>
      <c r="AI50" s="0" t="str">
        <f aca="false">IF(AND($B50="D05",$C50="G3"),AI49&amp;IF(AI49="","",CHAR(10))&amp;$A50,AI49)</f>
        <v/>
      </c>
      <c r="AJ50" s="363" t="str">
        <f aca="false">IF(AND($B50="D05",$C50="G4"),AJ49&amp;IF(AJ49="","",CHAR(10))&amp;$A50,AJ49)</f>
        <v>○ 028 影像設備、PACS與報告流程
○ 029 實驗室自動化與LIS
○ 030 手術室與重症整合
◐ 031 醫材介接與裝置身分
◐ 032 醫療工程與設備生命週期</v>
      </c>
      <c r="AK50" s="0" t="str">
        <f aca="false">IF(AND($B50="D05",$C50="G5"),AK49&amp;IF(AK49="","",CHAR(10))&amp;$A50,AK49)</f>
        <v/>
      </c>
      <c r="AL50" s="0" t="str">
        <f aca="false">IF(AND($B50="D05",$C50="G6"),AL49&amp;IF(AL49="","",CHAR(10))&amp;$A50,AL49)</f>
        <v/>
      </c>
      <c r="AM50" s="0" t="str">
        <f aca="false">IF(AND($B50="D06",$C50="G0"),AM49&amp;IF(AM49="","",CHAR(10))&amp;$A50,AM49)</f>
        <v/>
      </c>
      <c r="AN50" s="0" t="str">
        <f aca="false">IF(AND($B50="D06",$C50="G1"),AN49&amp;IF(AN49="","",CHAR(10))&amp;$A50,AN49)</f>
        <v/>
      </c>
      <c r="AO50" s="0" t="str">
        <f aca="false">IF(AND($B50="D06",$C50="G2"),AO49&amp;IF(AO49="","",CHAR(10))&amp;$A50,AO49)</f>
        <v/>
      </c>
      <c r="AP50" s="363" t="str">
        <f aca="false">IF(AND($B50="D06",$C50="G3"),AP49&amp;IF(AP49="","",CHAR(10))&amp;$A50,AP49)</f>
        <v>◐ 033 HIS／EMR核心平台
◐ 036 臨床術語與主資料治理</v>
      </c>
      <c r="AQ50" s="363" t="str">
        <f aca="false">IF(AND($B50="D06",$C50="G4"),AQ49&amp;IF(AQ49="","",CHAR(10))&amp;$A50,AQ49)</f>
        <v>◐ 034 FHIR介接與API管理
○ 035 主病人索引與身分整合
◐ 037 電子醫囑、用藥與決策支援
◐ 038 資料平台、BI與營運指揮</v>
      </c>
      <c r="AR50" s="0" t="str">
        <f aca="false">IF(AND($B50="D06",$C50="G5"),AR49&amp;IF(AR49="","",CHAR(10))&amp;$A50,AR49)</f>
        <v>○ 039 病人入口、行動服務與VNeID準備</v>
      </c>
      <c r="AS50" s="0" t="str">
        <f aca="false">IF(AND($B50="D06",$C50="G6"),AS49&amp;IF(AS49="","",CHAR(10))&amp;$A50,AS49)</f>
        <v/>
      </c>
      <c r="AT50" s="0" t="str">
        <f aca="false">IF(AND($B50="D07",$C50="G0"),AT49&amp;IF(AT49="","",CHAR(10))&amp;$A50,AT49)</f>
        <v/>
      </c>
      <c r="AU50" s="0" t="str">
        <f aca="false">IF(AND($B50="D07",$C50="G1"),AU49&amp;IF(AU49="","",CHAR(10))&amp;$A50,AU49)</f>
        <v/>
      </c>
      <c r="AV50" s="0" t="str">
        <f aca="false">IF(AND($B50="D07",$C50="G2"),AV49&amp;IF(AV49="","",CHAR(10))&amp;$A50,AV49)</f>
        <v>◐ 040 品質管理與JCI路線圖</v>
      </c>
      <c r="AW50" s="363" t="str">
        <f aca="false">IF(AND($B50="D07",$C50="G3"),AW49&amp;IF(AW49="","",CHAR(10))&amp;$A50,AW49)</f>
        <v>◐ 041 感染預防與控制制度
◐ 043 事件通報與根因改善</v>
      </c>
      <c r="AX50" s="0" t="str">
        <f aca="false">IF(AND($B50="D07",$C50="G4"),AX49&amp;IF(AX49="","",CHAR(10))&amp;$A50,AX49)</f>
        <v>◐ 042 用藥安全閉環</v>
      </c>
      <c r="AY50" s="0" t="str">
        <f aca="false">IF(AND($B50="D07",$C50="G5"),AY49&amp;IF(AY49="","",CHAR(10))&amp;$A50,AY49)</f>
        <v>◐ 044 開院臨床安全驗證</v>
      </c>
      <c r="AZ50" s="0" t="str">
        <f aca="false">IF(AND($B50="D07",$C50="G6"),AZ49&amp;IF(AZ49="","",CHAR(10))&amp;$A50,AZ49)</f>
        <v/>
      </c>
      <c r="BA50" s="0" t="str">
        <f aca="false">IF(AND($B50="D08",$C50="G0"),BA49&amp;IF(BA49="","",CHAR(10))&amp;$A50,BA49)</f>
        <v/>
      </c>
      <c r="BB50" s="0" t="str">
        <f aca="false">IF(AND($B50="D08",$C50="G1"),BB49&amp;IF(BB49="","",CHAR(10))&amp;$A50,BB49)</f>
        <v/>
      </c>
      <c r="BC50" s="0" t="str">
        <f aca="false">IF(AND($B50="D08",$C50="G2"),BC49&amp;IF(BC49="","",CHAR(10))&amp;$A50,BC49)</f>
        <v>○ 045 人力與輪班模型</v>
      </c>
      <c r="BD50" s="0" t="str">
        <f aca="false">IF(AND($B50="D08",$C50="G3"),BD49&amp;IF(BD49="","",CHAR(10))&amp;$A50,BD49)</f>
        <v>◐ 046 職能矩陣與授權</v>
      </c>
      <c r="BE50" s="0" t="str">
        <f aca="false">IF(AND($B50="D08",$C50="G4"),BE49&amp;IF(BE49="","",CHAR(10))&amp;$A50,BE49)</f>
        <v/>
      </c>
      <c r="BF50" s="0" t="str">
        <f aca="false">IF(AND($B50="D08",$C50="G5"),BF49&amp;IF(BF49="","",CHAR(10))&amp;$A50,BF49)</f>
        <v/>
      </c>
      <c r="BG50" s="0" t="str">
        <f aca="false">IF(AND($B50="D08",$C50="G6"),BG49&amp;IF(BG49="","",CHAR(10))&amp;$A50,BG49)</f>
        <v/>
      </c>
      <c r="BH50" s="0" t="str">
        <f aca="false">IF(AND($B50="D09",$C50="G0"),BH49&amp;IF(BH49="","",CHAR(10))&amp;$A50,BH49)</f>
        <v/>
      </c>
      <c r="BI50" s="0" t="str">
        <f aca="false">IF(AND($B50="D09",$C50="G1"),BI49&amp;IF(BI49="","",CHAR(10))&amp;$A50,BI49)</f>
        <v/>
      </c>
      <c r="BJ50" s="0" t="str">
        <f aca="false">IF(AND($B50="D09",$C50="G2"),BJ49&amp;IF(BJ49="","",CHAR(10))&amp;$A50,BJ49)</f>
        <v/>
      </c>
      <c r="BK50" s="0" t="str">
        <f aca="false">IF(AND($B50="D09",$C50="G3"),BK49&amp;IF(BK49="","",CHAR(10))&amp;$A50,BK49)</f>
        <v/>
      </c>
      <c r="BL50" s="0" t="str">
        <f aca="false">IF(AND($B50="D09",$C50="G4"),BL49&amp;IF(BL49="","",CHAR(10))&amp;$A50,BL49)</f>
        <v/>
      </c>
      <c r="BM50" s="0" t="str">
        <f aca="false">IF(AND($B50="D09",$C50="G5"),BM49&amp;IF(BM49="","",CHAR(10))&amp;$A50,BM49)</f>
        <v/>
      </c>
      <c r="BN50" s="0" t="str">
        <f aca="false">IF(AND($B50="D09",$C50="G6"),BN49&amp;IF(BN49="","",CHAR(10))&amp;$A50,BN49)</f>
        <v/>
      </c>
      <c r="BO50" s="0" t="str">
        <f aca="false">IF(AND($B50="D10",$C50="G0"),BO49&amp;IF(BO49="","",CHAR(10))&amp;$A50,BO49)</f>
        <v/>
      </c>
      <c r="BP50" s="0" t="str">
        <f aca="false">IF(AND($B50="D10",$C50="G1"),BP49&amp;IF(BP49="","",CHAR(10))&amp;$A50,BP49)</f>
        <v/>
      </c>
      <c r="BQ50" s="0" t="str">
        <f aca="false">IF(AND($B50="D10",$C50="G2"),BQ49&amp;IF(BQ49="","",CHAR(10))&amp;$A50,BQ49)</f>
        <v/>
      </c>
      <c r="BR50" s="0" t="str">
        <f aca="false">IF(AND($B50="D10",$C50="G3"),BR49&amp;IF(BR49="","",CHAR(10))&amp;$A50,BR49)</f>
        <v/>
      </c>
      <c r="BS50" s="0" t="str">
        <f aca="false">IF(AND($B50="D10",$C50="G4"),BS49&amp;IF(BS49="","",CHAR(10))&amp;$A50,BS49)</f>
        <v/>
      </c>
      <c r="BT50" s="0" t="str">
        <f aca="false">IF(AND($B50="D10",$C50="G5"),BT49&amp;IF(BT49="","",CHAR(10))&amp;$A50,BT49)</f>
        <v/>
      </c>
      <c r="BU50" s="0" t="str">
        <f aca="false">IF(AND($B50="D10",$C50="G6"),BU49&amp;IF(BU49="","",CHAR(10))&amp;$A50,BU49)</f>
        <v/>
      </c>
      <c r="BX50" s="0" t="str">
        <f aca="false">IF(AND(03_能力總表_Master!$A50&lt;&gt;"",LEFT(03_能力總表_Master!$H50,2)="缺口"),MAX($BX$4:BX49)+1,"")</f>
        <v/>
      </c>
      <c r="BY50" s="0" t="str">
        <f aca="false">IF(AND(03_能力總表_Master!$A50&lt;&gt;"",03_能力總表_Master!$J50=12_夥伴視角_PartnerView!$C$4),MAX($BY$4:BY49)+1,"")</f>
        <v/>
      </c>
      <c r="BZ50" s="0" t="str">
        <f aca="false">IF(AND(05_法規門檻_Gates!$A50&lt;&gt;"",05_法規門檻_Gates!$E50="強制",05_法規門檻_Gates!$F50="待確認"),MAX($BZ$4:BZ49)+1,"")</f>
        <v/>
      </c>
      <c r="CC50" s="0" t="str">
        <f aca="false">IF(AND(03_能力總表_Master!$A50&lt;&gt;"",IFERROR(INDEX(16_能力商機矩陣_CapOppMap!$D50:$CO50,MATCH(LEFT(17_商機作戰卡_OppView!$C$4,6),16_能力商機矩陣_CapOppMap!$D$4:$CO$4,0)),"")="✓"),MAX($CC$4:CC49)+1,"")</f>
        <v/>
      </c>
    </row>
    <row r="51" customFormat="false" ht="95.5" hidden="false" customHeight="false" outlineLevel="0" collapsed="false">
      <c r="A51" s="0" t="str">
        <f aca="false">IF(03_能力總表_Master!$A51="","",IF(LEFT(03_能力總表_Master!$H51,2)="群晶","● ",IF(ISNUMBER(SEARCH("已確認",03_能力總表_Master!$H51)),"◆ ",IF(ISNUMBER(SEARCH("缺口",03_能力總表_Master!$H51)),"○ ","◐ ")))&amp;RIGHT(03_能力總表_Master!$A51,3)&amp;" "&amp;03_能力總表_Master!$E51)</f>
        <v>◐ 047 種子教師與技術移轉</v>
      </c>
      <c r="B51" s="0" t="str">
        <f aca="false">IF(03_能力總表_Master!$A51="","",LEFT(03_能力總表_Master!$B51,3))</f>
        <v>D08</v>
      </c>
      <c r="C51" s="0" t="str">
        <f aca="false">IF(03_能力總表_Master!$A51="","",03_能力總表_Master!$C51)</f>
        <v>G4</v>
      </c>
      <c r="D51" s="363" t="str">
        <f aca="false">IF(AND($B51="D01",$C51="G0"),D50&amp;IF(D50="","",CHAR(10))&amp;$A51,D50)</f>
        <v>◐ 001 政府授權與計畫章程
◐ 002 利害關係人與權力地圖
◐ 005 聯盟治理與利益衝突</v>
      </c>
      <c r="E51" s="363" t="str">
        <f aca="false">IF(AND($B51="D01",$C51="G1"),E50&amp;IF(E50="","",CHAR(10))&amp;$A51,E50)</f>
        <v>◐ 003 交易模式選擇
◐ 004 法規與執照路徑</v>
      </c>
      <c r="F51" s="0" t="str">
        <f aca="false">IF(AND($B51="D01",$C51="G2"),F50&amp;IF(F50="","",CHAR(10))&amp;$A51,F50)</f>
        <v>◐ 006 績效契約與變更控制</v>
      </c>
      <c r="G51" s="0" t="str">
        <f aca="false">IF(AND($B51="D01",$C51="G3"),G50&amp;IF(G50="","",CHAR(10))&amp;$A51,G50)</f>
        <v/>
      </c>
      <c r="H51" s="0" t="str">
        <f aca="false">IF(AND($B51="D01",$C51="G4"),H50&amp;IF(H50="","",CHAR(10))&amp;$A51,H50)</f>
        <v/>
      </c>
      <c r="I51" s="0" t="str">
        <f aca="false">IF(AND($B51="D01",$C51="G5"),I50&amp;IF(I50="","",CHAR(10))&amp;$A51,I50)</f>
        <v/>
      </c>
      <c r="J51" s="0" t="str">
        <f aca="false">IF(AND($B51="D01",$C51="G6"),J50&amp;IF(J50="","",CHAR(10))&amp;$A51,J50)</f>
        <v/>
      </c>
      <c r="K51" s="0" t="str">
        <f aca="false">IF(AND($B51="D02",$C51="G0"),K50&amp;IF(K50="","",CHAR(10))&amp;$A51,K50)</f>
        <v/>
      </c>
      <c r="L51" s="363" t="str">
        <f aca="false">IF(AND($B51="D02",$C51="G1"),L50&amp;IF(L50="","",CHAR(10))&amp;$A51,L50)</f>
        <v>◐ 007 人口需求與病例量預測
◐ 008 醫院定位與服務組合
◐ 009 重點專科優先化
◐ 010 病人流程與容量設計
◐ 011 轉診與區域照護網絡
◐ 012 臨床治理與責任架構</v>
      </c>
      <c r="M51" s="0" t="str">
        <f aca="false">IF(AND($B51="D02",$C51="G2"),M50&amp;IF(M50="","",CHAR(10))&amp;$A51,M50)</f>
        <v/>
      </c>
      <c r="N51" s="0" t="str">
        <f aca="false">IF(AND($B51="D02",$C51="G3"),N50&amp;IF(N50="","",CHAR(10))&amp;$A51,N50)</f>
        <v/>
      </c>
      <c r="O51" s="0" t="str">
        <f aca="false">IF(AND($B51="D02",$C51="G4"),O50&amp;IF(O50="","",CHAR(10))&amp;$A51,O50)</f>
        <v/>
      </c>
      <c r="P51" s="0" t="str">
        <f aca="false">IF(AND($B51="D02",$C51="G5"),P50&amp;IF(P50="","",CHAR(10))&amp;$A51,P50)</f>
        <v/>
      </c>
      <c r="Q51" s="0" t="str">
        <f aca="false">IF(AND($B51="D02",$C51="G6"),Q50&amp;IF(Q50="","",CHAR(10))&amp;$A51,Q50)</f>
        <v/>
      </c>
      <c r="R51" s="0" t="str">
        <f aca="false">IF(AND($B51="D03",$C51="G0"),R50&amp;IF(R50="","",CHAR(10))&amp;$A51,R50)</f>
        <v/>
      </c>
      <c r="S51" s="0" t="str">
        <f aca="false">IF(AND($B51="D03",$C51="G1"),S50&amp;IF(S50="","",CHAR(10))&amp;$A51,S50)</f>
        <v>◐ 013 場址與醫院總體規劃</v>
      </c>
      <c r="T51" s="363" t="str">
        <f aca="false">IF(AND($B51="D03",$C51="G2"),T50&amp;IF(T50="","",CHAR(10))&amp;$A51,T50)</f>
        <v>◐ 014 醫療建築功能計畫
◐ 015 感染控制與潔污動線
◐ 019 綠色與氣候韌性醫院</v>
      </c>
      <c r="U51" s="363" t="str">
        <f aca="false">IF(AND($B51="D03",$C51="G3"),U50&amp;IF(U50="","",CHAR(10))&amp;$A51,U50)</f>
        <v>● 016 電力、備援與微電網
◐ 017 醫療氣體與關鍵公用系統
◐ 018 醫療廢棄物與水資源</v>
      </c>
      <c r="V51" s="0" t="str">
        <f aca="false">IF(AND($B51="D03",$C51="G4"),V50&amp;IF(V50="","",CHAR(10))&amp;$A51,V50)</f>
        <v/>
      </c>
      <c r="W51" s="0" t="str">
        <f aca="false">IF(AND($B51="D03",$C51="G5"),W50&amp;IF(W50="","",CHAR(10))&amp;$A51,W50)</f>
        <v/>
      </c>
      <c r="X51" s="0" t="str">
        <f aca="false">IF(AND($B51="D03",$C51="G6"),X50&amp;IF(X50="","",CHAR(10))&amp;$A51,X50)</f>
        <v/>
      </c>
      <c r="Y51" s="0" t="str">
        <f aca="false">IF(AND($B51="D04",$C51="G0"),Y50&amp;IF(Y50="","",CHAR(10))&amp;$A51,Y50)</f>
        <v/>
      </c>
      <c r="Z51" s="0" t="str">
        <f aca="false">IF(AND($B51="D04",$C51="G1"),Z50&amp;IF(Z50="","",CHAR(10))&amp;$A51,Z50)</f>
        <v/>
      </c>
      <c r="AA51" s="0" t="str">
        <f aca="false">IF(AND($B51="D04",$C51="G2"),AA50&amp;IF(AA50="","",CHAR(10))&amp;$A51,AA50)</f>
        <v/>
      </c>
      <c r="AB51" s="0" t="str">
        <f aca="false">IF(AND($B51="D04",$C51="G3"),AB50&amp;IF(AB50="","",CHAR(10))&amp;$A51,AB50)</f>
        <v>● 020 IDC與邊緣運算底座</v>
      </c>
      <c r="AC51" s="363" t="str">
        <f aca="false">IF(AND($B51="D04",$C51="G4"),AC50&amp;IF(AC50="","",CHAR(10))&amp;$A51,AC50)</f>
        <v>● 021 有線無線網路與分區
◐ 022 資安營運與零信任
● 023 BMS與能源管理
● 024 RTLS與資產／人員定位
● 025 智慧病房、護理呼叫與感測
● 026 災難復原與營運持續</v>
      </c>
      <c r="AD51" s="0" t="str">
        <f aca="false">IF(AND($B51="D04",$C51="G5"),AD50&amp;IF(AD50="","",CHAR(10))&amp;$A51,AD50)</f>
        <v/>
      </c>
      <c r="AE51" s="0" t="str">
        <f aca="false">IF(AND($B51="D04",$C51="G6"),AE50&amp;IF(AE50="","",CHAR(10))&amp;$A51,AE50)</f>
        <v/>
      </c>
      <c r="AF51" s="0" t="str">
        <f aca="false">IF(AND($B51="D05",$C51="G0"),AF50&amp;IF(AF50="","",CHAR(10))&amp;$A51,AF50)</f>
        <v/>
      </c>
      <c r="AG51" s="0" t="str">
        <f aca="false">IF(AND($B51="D05",$C51="G1"),AG50&amp;IF(AG50="","",CHAR(10))&amp;$A51,AG50)</f>
        <v/>
      </c>
      <c r="AH51" s="0" t="str">
        <f aca="false">IF(AND($B51="D05",$C51="G2"),AH50&amp;IF(AH50="","",CHAR(10))&amp;$A51,AH50)</f>
        <v>◐ 027 醫材需求與設備計畫</v>
      </c>
      <c r="AI51" s="0" t="str">
        <f aca="false">IF(AND($B51="D05",$C51="G3"),AI50&amp;IF(AI50="","",CHAR(10))&amp;$A51,AI50)</f>
        <v/>
      </c>
      <c r="AJ51" s="363" t="str">
        <f aca="false">IF(AND($B51="D05",$C51="G4"),AJ50&amp;IF(AJ50="","",CHAR(10))&amp;$A51,AJ50)</f>
        <v>○ 028 影像設備、PACS與報告流程
○ 029 實驗室自動化與LIS
○ 030 手術室與重症整合
◐ 031 醫材介接與裝置身分
◐ 032 醫療工程與設備生命週期</v>
      </c>
      <c r="AK51" s="0" t="str">
        <f aca="false">IF(AND($B51="D05",$C51="G5"),AK50&amp;IF(AK50="","",CHAR(10))&amp;$A51,AK50)</f>
        <v/>
      </c>
      <c r="AL51" s="0" t="str">
        <f aca="false">IF(AND($B51="D05",$C51="G6"),AL50&amp;IF(AL50="","",CHAR(10))&amp;$A51,AL50)</f>
        <v/>
      </c>
      <c r="AM51" s="0" t="str">
        <f aca="false">IF(AND($B51="D06",$C51="G0"),AM50&amp;IF(AM50="","",CHAR(10))&amp;$A51,AM50)</f>
        <v/>
      </c>
      <c r="AN51" s="0" t="str">
        <f aca="false">IF(AND($B51="D06",$C51="G1"),AN50&amp;IF(AN50="","",CHAR(10))&amp;$A51,AN50)</f>
        <v/>
      </c>
      <c r="AO51" s="0" t="str">
        <f aca="false">IF(AND($B51="D06",$C51="G2"),AO50&amp;IF(AO50="","",CHAR(10))&amp;$A51,AO50)</f>
        <v/>
      </c>
      <c r="AP51" s="363" t="str">
        <f aca="false">IF(AND($B51="D06",$C51="G3"),AP50&amp;IF(AP50="","",CHAR(10))&amp;$A51,AP50)</f>
        <v>◐ 033 HIS／EMR核心平台
◐ 036 臨床術語與主資料治理</v>
      </c>
      <c r="AQ51" s="363" t="str">
        <f aca="false">IF(AND($B51="D06",$C51="G4"),AQ50&amp;IF(AQ50="","",CHAR(10))&amp;$A51,AQ50)</f>
        <v>◐ 034 FHIR介接與API管理
○ 035 主病人索引與身分整合
◐ 037 電子醫囑、用藥與決策支援
◐ 038 資料平台、BI與營運指揮</v>
      </c>
      <c r="AR51" s="0" t="str">
        <f aca="false">IF(AND($B51="D06",$C51="G5"),AR50&amp;IF(AR50="","",CHAR(10))&amp;$A51,AR50)</f>
        <v>○ 039 病人入口、行動服務與VNeID準備</v>
      </c>
      <c r="AS51" s="0" t="str">
        <f aca="false">IF(AND($B51="D06",$C51="G6"),AS50&amp;IF(AS50="","",CHAR(10))&amp;$A51,AS50)</f>
        <v/>
      </c>
      <c r="AT51" s="0" t="str">
        <f aca="false">IF(AND($B51="D07",$C51="G0"),AT50&amp;IF(AT50="","",CHAR(10))&amp;$A51,AT50)</f>
        <v/>
      </c>
      <c r="AU51" s="0" t="str">
        <f aca="false">IF(AND($B51="D07",$C51="G1"),AU50&amp;IF(AU50="","",CHAR(10))&amp;$A51,AU50)</f>
        <v/>
      </c>
      <c r="AV51" s="0" t="str">
        <f aca="false">IF(AND($B51="D07",$C51="G2"),AV50&amp;IF(AV50="","",CHAR(10))&amp;$A51,AV50)</f>
        <v>◐ 040 品質管理與JCI路線圖</v>
      </c>
      <c r="AW51" s="363" t="str">
        <f aca="false">IF(AND($B51="D07",$C51="G3"),AW50&amp;IF(AW50="","",CHAR(10))&amp;$A51,AW50)</f>
        <v>◐ 041 感染預防與控制制度
◐ 043 事件通報與根因改善</v>
      </c>
      <c r="AX51" s="0" t="str">
        <f aca="false">IF(AND($B51="D07",$C51="G4"),AX50&amp;IF(AX50="","",CHAR(10))&amp;$A51,AX50)</f>
        <v>◐ 042 用藥安全閉環</v>
      </c>
      <c r="AY51" s="0" t="str">
        <f aca="false">IF(AND($B51="D07",$C51="G5"),AY50&amp;IF(AY50="","",CHAR(10))&amp;$A51,AY50)</f>
        <v>◐ 044 開院臨床安全驗證</v>
      </c>
      <c r="AZ51" s="0" t="str">
        <f aca="false">IF(AND($B51="D07",$C51="G6"),AZ50&amp;IF(AZ50="","",CHAR(10))&amp;$A51,AZ50)</f>
        <v/>
      </c>
      <c r="BA51" s="0" t="str">
        <f aca="false">IF(AND($B51="D08",$C51="G0"),BA50&amp;IF(BA50="","",CHAR(10))&amp;$A51,BA50)</f>
        <v/>
      </c>
      <c r="BB51" s="0" t="str">
        <f aca="false">IF(AND($B51="D08",$C51="G1"),BB50&amp;IF(BB50="","",CHAR(10))&amp;$A51,BB50)</f>
        <v/>
      </c>
      <c r="BC51" s="0" t="str">
        <f aca="false">IF(AND($B51="D08",$C51="G2"),BC50&amp;IF(BC50="","",CHAR(10))&amp;$A51,BC50)</f>
        <v>○ 045 人力與輪班模型</v>
      </c>
      <c r="BD51" s="0" t="str">
        <f aca="false">IF(AND($B51="D08",$C51="G3"),BD50&amp;IF(BD50="","",CHAR(10))&amp;$A51,BD50)</f>
        <v>◐ 046 職能矩陣與授權</v>
      </c>
      <c r="BE51" s="0" t="str">
        <f aca="false">IF(AND($B51="D08",$C51="G4"),BE50&amp;IF(BE50="","",CHAR(10))&amp;$A51,BE50)</f>
        <v>◐ 047 種子教師與技術移轉</v>
      </c>
      <c r="BF51" s="0" t="str">
        <f aca="false">IF(AND($B51="D08",$C51="G5"),BF50&amp;IF(BF50="","",CHAR(10))&amp;$A51,BF50)</f>
        <v/>
      </c>
      <c r="BG51" s="0" t="str">
        <f aca="false">IF(AND($B51="D08",$C51="G6"),BG50&amp;IF(BG50="","",CHAR(10))&amp;$A51,BG50)</f>
        <v/>
      </c>
      <c r="BH51" s="0" t="str">
        <f aca="false">IF(AND($B51="D09",$C51="G0"),BH50&amp;IF(BH50="","",CHAR(10))&amp;$A51,BH50)</f>
        <v/>
      </c>
      <c r="BI51" s="0" t="str">
        <f aca="false">IF(AND($B51="D09",$C51="G1"),BI50&amp;IF(BI50="","",CHAR(10))&amp;$A51,BI50)</f>
        <v/>
      </c>
      <c r="BJ51" s="0" t="str">
        <f aca="false">IF(AND($B51="D09",$C51="G2"),BJ50&amp;IF(BJ50="","",CHAR(10))&amp;$A51,BJ50)</f>
        <v/>
      </c>
      <c r="BK51" s="0" t="str">
        <f aca="false">IF(AND($B51="D09",$C51="G3"),BK50&amp;IF(BK50="","",CHAR(10))&amp;$A51,BK50)</f>
        <v/>
      </c>
      <c r="BL51" s="0" t="str">
        <f aca="false">IF(AND($B51="D09",$C51="G4"),BL50&amp;IF(BL50="","",CHAR(10))&amp;$A51,BL50)</f>
        <v/>
      </c>
      <c r="BM51" s="0" t="str">
        <f aca="false">IF(AND($B51="D09",$C51="G5"),BM50&amp;IF(BM50="","",CHAR(10))&amp;$A51,BM50)</f>
        <v/>
      </c>
      <c r="BN51" s="0" t="str">
        <f aca="false">IF(AND($B51="D09",$C51="G6"),BN50&amp;IF(BN50="","",CHAR(10))&amp;$A51,BN50)</f>
        <v/>
      </c>
      <c r="BO51" s="0" t="str">
        <f aca="false">IF(AND($B51="D10",$C51="G0"),BO50&amp;IF(BO50="","",CHAR(10))&amp;$A51,BO50)</f>
        <v/>
      </c>
      <c r="BP51" s="0" t="str">
        <f aca="false">IF(AND($B51="D10",$C51="G1"),BP50&amp;IF(BP50="","",CHAR(10))&amp;$A51,BP50)</f>
        <v/>
      </c>
      <c r="BQ51" s="0" t="str">
        <f aca="false">IF(AND($B51="D10",$C51="G2"),BQ50&amp;IF(BQ50="","",CHAR(10))&amp;$A51,BQ50)</f>
        <v/>
      </c>
      <c r="BR51" s="0" t="str">
        <f aca="false">IF(AND($B51="D10",$C51="G3"),BR50&amp;IF(BR50="","",CHAR(10))&amp;$A51,BR50)</f>
        <v/>
      </c>
      <c r="BS51" s="0" t="str">
        <f aca="false">IF(AND($B51="D10",$C51="G4"),BS50&amp;IF(BS50="","",CHAR(10))&amp;$A51,BS50)</f>
        <v/>
      </c>
      <c r="BT51" s="0" t="str">
        <f aca="false">IF(AND($B51="D10",$C51="G5"),BT50&amp;IF(BT50="","",CHAR(10))&amp;$A51,BT50)</f>
        <v/>
      </c>
      <c r="BU51" s="0" t="str">
        <f aca="false">IF(AND($B51="D10",$C51="G6"),BU50&amp;IF(BU50="","",CHAR(10))&amp;$A51,BU50)</f>
        <v/>
      </c>
      <c r="BX51" s="0" t="str">
        <f aca="false">IF(AND(03_能力總表_Master!$A51&lt;&gt;"",LEFT(03_能力總表_Master!$H51,2)="缺口"),MAX($BX$4:BX50)+1,"")</f>
        <v/>
      </c>
      <c r="BY51" s="0" t="str">
        <f aca="false">IF(AND(03_能力總表_Master!$A51&lt;&gt;"",03_能力總表_Master!$J51=12_夥伴視角_PartnerView!$C$4),MAX($BY$4:BY50)+1,"")</f>
        <v/>
      </c>
      <c r="BZ51" s="0" t="str">
        <f aca="false">IF(AND(05_法規門檻_Gates!$A51&lt;&gt;"",05_法規門檻_Gates!$E51="強制",05_法規門檻_Gates!$F51="待確認"),MAX($BZ$4:BZ50)+1,"")</f>
        <v/>
      </c>
      <c r="CC51" s="0" t="str">
        <f aca="false">IF(AND(03_能力總表_Master!$A51&lt;&gt;"",IFERROR(INDEX(16_能力商機矩陣_CapOppMap!$D51:$CO51,MATCH(LEFT(17_商機作戰卡_OppView!$C$4,6),16_能力商機矩陣_CapOppMap!$D$4:$CO$4,0)),"")="✓"),MAX($CC$4:CC50)+1,"")</f>
        <v/>
      </c>
    </row>
    <row r="52" customFormat="false" ht="95.5" hidden="false" customHeight="false" outlineLevel="0" collapsed="false">
      <c r="A52" s="0" t="str">
        <f aca="false">IF(03_能力總表_Master!$A52="","",IF(LEFT(03_能力總表_Master!$H52,2)="群晶","● ",IF(ISNUMBER(SEARCH("已確認",03_能力總表_Master!$H52)),"◆ ",IF(ISNUMBER(SEARCH("缺口",03_能力總表_Master!$H52)),"○ ","◐ ")))&amp;RIGHT(03_能力總表_Master!$A52,3)&amp;" "&amp;03_能力總表_Master!$E52)</f>
        <v>◐ 048 模擬中心與開院演練</v>
      </c>
      <c r="B52" s="0" t="str">
        <f aca="false">IF(03_能力總表_Master!$A52="","",LEFT(03_能力總表_Master!$B52,3))</f>
        <v>D08</v>
      </c>
      <c r="C52" s="0" t="str">
        <f aca="false">IF(03_能力總表_Master!$A52="","",03_能力總表_Master!$C52)</f>
        <v>G5</v>
      </c>
      <c r="D52" s="363" t="str">
        <f aca="false">IF(AND($B52="D01",$C52="G0"),D51&amp;IF(D51="","",CHAR(10))&amp;$A52,D51)</f>
        <v>◐ 001 政府授權與計畫章程
◐ 002 利害關係人與權力地圖
◐ 005 聯盟治理與利益衝突</v>
      </c>
      <c r="E52" s="363" t="str">
        <f aca="false">IF(AND($B52="D01",$C52="G1"),E51&amp;IF(E51="","",CHAR(10))&amp;$A52,E51)</f>
        <v>◐ 003 交易模式選擇
◐ 004 法規與執照路徑</v>
      </c>
      <c r="F52" s="0" t="str">
        <f aca="false">IF(AND($B52="D01",$C52="G2"),F51&amp;IF(F51="","",CHAR(10))&amp;$A52,F51)</f>
        <v>◐ 006 績效契約與變更控制</v>
      </c>
      <c r="G52" s="0" t="str">
        <f aca="false">IF(AND($B52="D01",$C52="G3"),G51&amp;IF(G51="","",CHAR(10))&amp;$A52,G51)</f>
        <v/>
      </c>
      <c r="H52" s="0" t="str">
        <f aca="false">IF(AND($B52="D01",$C52="G4"),H51&amp;IF(H51="","",CHAR(10))&amp;$A52,H51)</f>
        <v/>
      </c>
      <c r="I52" s="0" t="str">
        <f aca="false">IF(AND($B52="D01",$C52="G5"),I51&amp;IF(I51="","",CHAR(10))&amp;$A52,I51)</f>
        <v/>
      </c>
      <c r="J52" s="0" t="str">
        <f aca="false">IF(AND($B52="D01",$C52="G6"),J51&amp;IF(J51="","",CHAR(10))&amp;$A52,J51)</f>
        <v/>
      </c>
      <c r="K52" s="0" t="str">
        <f aca="false">IF(AND($B52="D02",$C52="G0"),K51&amp;IF(K51="","",CHAR(10))&amp;$A52,K51)</f>
        <v/>
      </c>
      <c r="L52" s="363" t="str">
        <f aca="false">IF(AND($B52="D02",$C52="G1"),L51&amp;IF(L51="","",CHAR(10))&amp;$A52,L51)</f>
        <v>◐ 007 人口需求與病例量預測
◐ 008 醫院定位與服務組合
◐ 009 重點專科優先化
◐ 010 病人流程與容量設計
◐ 011 轉診與區域照護網絡
◐ 012 臨床治理與責任架構</v>
      </c>
      <c r="M52" s="0" t="str">
        <f aca="false">IF(AND($B52="D02",$C52="G2"),M51&amp;IF(M51="","",CHAR(10))&amp;$A52,M51)</f>
        <v/>
      </c>
      <c r="N52" s="0" t="str">
        <f aca="false">IF(AND($B52="D02",$C52="G3"),N51&amp;IF(N51="","",CHAR(10))&amp;$A52,N51)</f>
        <v/>
      </c>
      <c r="O52" s="0" t="str">
        <f aca="false">IF(AND($B52="D02",$C52="G4"),O51&amp;IF(O51="","",CHAR(10))&amp;$A52,O51)</f>
        <v/>
      </c>
      <c r="P52" s="0" t="str">
        <f aca="false">IF(AND($B52="D02",$C52="G5"),P51&amp;IF(P51="","",CHAR(10))&amp;$A52,P51)</f>
        <v/>
      </c>
      <c r="Q52" s="0" t="str">
        <f aca="false">IF(AND($B52="D02",$C52="G6"),Q51&amp;IF(Q51="","",CHAR(10))&amp;$A52,Q51)</f>
        <v/>
      </c>
      <c r="R52" s="0" t="str">
        <f aca="false">IF(AND($B52="D03",$C52="G0"),R51&amp;IF(R51="","",CHAR(10))&amp;$A52,R51)</f>
        <v/>
      </c>
      <c r="S52" s="0" t="str">
        <f aca="false">IF(AND($B52="D03",$C52="G1"),S51&amp;IF(S51="","",CHAR(10))&amp;$A52,S51)</f>
        <v>◐ 013 場址與醫院總體規劃</v>
      </c>
      <c r="T52" s="363" t="str">
        <f aca="false">IF(AND($B52="D03",$C52="G2"),T51&amp;IF(T51="","",CHAR(10))&amp;$A52,T51)</f>
        <v>◐ 014 醫療建築功能計畫
◐ 015 感染控制與潔污動線
◐ 019 綠色與氣候韌性醫院</v>
      </c>
      <c r="U52" s="363" t="str">
        <f aca="false">IF(AND($B52="D03",$C52="G3"),U51&amp;IF(U51="","",CHAR(10))&amp;$A52,U51)</f>
        <v>● 016 電力、備援與微電網
◐ 017 醫療氣體與關鍵公用系統
◐ 018 醫療廢棄物與水資源</v>
      </c>
      <c r="V52" s="0" t="str">
        <f aca="false">IF(AND($B52="D03",$C52="G4"),V51&amp;IF(V51="","",CHAR(10))&amp;$A52,V51)</f>
        <v/>
      </c>
      <c r="W52" s="0" t="str">
        <f aca="false">IF(AND($B52="D03",$C52="G5"),W51&amp;IF(W51="","",CHAR(10))&amp;$A52,W51)</f>
        <v/>
      </c>
      <c r="X52" s="0" t="str">
        <f aca="false">IF(AND($B52="D03",$C52="G6"),X51&amp;IF(X51="","",CHAR(10))&amp;$A52,X51)</f>
        <v/>
      </c>
      <c r="Y52" s="0" t="str">
        <f aca="false">IF(AND($B52="D04",$C52="G0"),Y51&amp;IF(Y51="","",CHAR(10))&amp;$A52,Y51)</f>
        <v/>
      </c>
      <c r="Z52" s="0" t="str">
        <f aca="false">IF(AND($B52="D04",$C52="G1"),Z51&amp;IF(Z51="","",CHAR(10))&amp;$A52,Z51)</f>
        <v/>
      </c>
      <c r="AA52" s="0" t="str">
        <f aca="false">IF(AND($B52="D04",$C52="G2"),AA51&amp;IF(AA51="","",CHAR(10))&amp;$A52,AA51)</f>
        <v/>
      </c>
      <c r="AB52" s="0" t="str">
        <f aca="false">IF(AND($B52="D04",$C52="G3"),AB51&amp;IF(AB51="","",CHAR(10))&amp;$A52,AB51)</f>
        <v>● 020 IDC與邊緣運算底座</v>
      </c>
      <c r="AC52" s="363" t="str">
        <f aca="false">IF(AND($B52="D04",$C52="G4"),AC51&amp;IF(AC51="","",CHAR(10))&amp;$A52,AC51)</f>
        <v>● 021 有線無線網路與分區
◐ 022 資安營運與零信任
● 023 BMS與能源管理
● 024 RTLS與資產／人員定位
● 025 智慧病房、護理呼叫與感測
● 026 災難復原與營運持續</v>
      </c>
      <c r="AD52" s="0" t="str">
        <f aca="false">IF(AND($B52="D04",$C52="G5"),AD51&amp;IF(AD51="","",CHAR(10))&amp;$A52,AD51)</f>
        <v/>
      </c>
      <c r="AE52" s="0" t="str">
        <f aca="false">IF(AND($B52="D04",$C52="G6"),AE51&amp;IF(AE51="","",CHAR(10))&amp;$A52,AE51)</f>
        <v/>
      </c>
      <c r="AF52" s="0" t="str">
        <f aca="false">IF(AND($B52="D05",$C52="G0"),AF51&amp;IF(AF51="","",CHAR(10))&amp;$A52,AF51)</f>
        <v/>
      </c>
      <c r="AG52" s="0" t="str">
        <f aca="false">IF(AND($B52="D05",$C52="G1"),AG51&amp;IF(AG51="","",CHAR(10))&amp;$A52,AG51)</f>
        <v/>
      </c>
      <c r="AH52" s="0" t="str">
        <f aca="false">IF(AND($B52="D05",$C52="G2"),AH51&amp;IF(AH51="","",CHAR(10))&amp;$A52,AH51)</f>
        <v>◐ 027 醫材需求與設備計畫</v>
      </c>
      <c r="AI52" s="0" t="str">
        <f aca="false">IF(AND($B52="D05",$C52="G3"),AI51&amp;IF(AI51="","",CHAR(10))&amp;$A52,AI51)</f>
        <v/>
      </c>
      <c r="AJ52" s="363" t="str">
        <f aca="false">IF(AND($B52="D05",$C52="G4"),AJ51&amp;IF(AJ51="","",CHAR(10))&amp;$A52,AJ51)</f>
        <v>○ 028 影像設備、PACS與報告流程
○ 029 實驗室自動化與LIS
○ 030 手術室與重症整合
◐ 031 醫材介接與裝置身分
◐ 032 醫療工程與設備生命週期</v>
      </c>
      <c r="AK52" s="0" t="str">
        <f aca="false">IF(AND($B52="D05",$C52="G5"),AK51&amp;IF(AK51="","",CHAR(10))&amp;$A52,AK51)</f>
        <v/>
      </c>
      <c r="AL52" s="0" t="str">
        <f aca="false">IF(AND($B52="D05",$C52="G6"),AL51&amp;IF(AL51="","",CHAR(10))&amp;$A52,AL51)</f>
        <v/>
      </c>
      <c r="AM52" s="0" t="str">
        <f aca="false">IF(AND($B52="D06",$C52="G0"),AM51&amp;IF(AM51="","",CHAR(10))&amp;$A52,AM51)</f>
        <v/>
      </c>
      <c r="AN52" s="0" t="str">
        <f aca="false">IF(AND($B52="D06",$C52="G1"),AN51&amp;IF(AN51="","",CHAR(10))&amp;$A52,AN51)</f>
        <v/>
      </c>
      <c r="AO52" s="0" t="str">
        <f aca="false">IF(AND($B52="D06",$C52="G2"),AO51&amp;IF(AO51="","",CHAR(10))&amp;$A52,AO51)</f>
        <v/>
      </c>
      <c r="AP52" s="363" t="str">
        <f aca="false">IF(AND($B52="D06",$C52="G3"),AP51&amp;IF(AP51="","",CHAR(10))&amp;$A52,AP51)</f>
        <v>◐ 033 HIS／EMR核心平台
◐ 036 臨床術語與主資料治理</v>
      </c>
      <c r="AQ52" s="363" t="str">
        <f aca="false">IF(AND($B52="D06",$C52="G4"),AQ51&amp;IF(AQ51="","",CHAR(10))&amp;$A52,AQ51)</f>
        <v>◐ 034 FHIR介接與API管理
○ 035 主病人索引與身分整合
◐ 037 電子醫囑、用藥與決策支援
◐ 038 資料平台、BI與營運指揮</v>
      </c>
      <c r="AR52" s="0" t="str">
        <f aca="false">IF(AND($B52="D06",$C52="G5"),AR51&amp;IF(AR51="","",CHAR(10))&amp;$A52,AR51)</f>
        <v>○ 039 病人入口、行動服務與VNeID準備</v>
      </c>
      <c r="AS52" s="0" t="str">
        <f aca="false">IF(AND($B52="D06",$C52="G6"),AS51&amp;IF(AS51="","",CHAR(10))&amp;$A52,AS51)</f>
        <v/>
      </c>
      <c r="AT52" s="0" t="str">
        <f aca="false">IF(AND($B52="D07",$C52="G0"),AT51&amp;IF(AT51="","",CHAR(10))&amp;$A52,AT51)</f>
        <v/>
      </c>
      <c r="AU52" s="0" t="str">
        <f aca="false">IF(AND($B52="D07",$C52="G1"),AU51&amp;IF(AU51="","",CHAR(10))&amp;$A52,AU51)</f>
        <v/>
      </c>
      <c r="AV52" s="0" t="str">
        <f aca="false">IF(AND($B52="D07",$C52="G2"),AV51&amp;IF(AV51="","",CHAR(10))&amp;$A52,AV51)</f>
        <v>◐ 040 品質管理與JCI路線圖</v>
      </c>
      <c r="AW52" s="363" t="str">
        <f aca="false">IF(AND($B52="D07",$C52="G3"),AW51&amp;IF(AW51="","",CHAR(10))&amp;$A52,AW51)</f>
        <v>◐ 041 感染預防與控制制度
◐ 043 事件通報與根因改善</v>
      </c>
      <c r="AX52" s="0" t="str">
        <f aca="false">IF(AND($B52="D07",$C52="G4"),AX51&amp;IF(AX51="","",CHAR(10))&amp;$A52,AX51)</f>
        <v>◐ 042 用藥安全閉環</v>
      </c>
      <c r="AY52" s="0" t="str">
        <f aca="false">IF(AND($B52="D07",$C52="G5"),AY51&amp;IF(AY51="","",CHAR(10))&amp;$A52,AY51)</f>
        <v>◐ 044 開院臨床安全驗證</v>
      </c>
      <c r="AZ52" s="0" t="str">
        <f aca="false">IF(AND($B52="D07",$C52="G6"),AZ51&amp;IF(AZ51="","",CHAR(10))&amp;$A52,AZ51)</f>
        <v/>
      </c>
      <c r="BA52" s="0" t="str">
        <f aca="false">IF(AND($B52="D08",$C52="G0"),BA51&amp;IF(BA51="","",CHAR(10))&amp;$A52,BA51)</f>
        <v/>
      </c>
      <c r="BB52" s="0" t="str">
        <f aca="false">IF(AND($B52="D08",$C52="G1"),BB51&amp;IF(BB51="","",CHAR(10))&amp;$A52,BB51)</f>
        <v/>
      </c>
      <c r="BC52" s="0" t="str">
        <f aca="false">IF(AND($B52="D08",$C52="G2"),BC51&amp;IF(BC51="","",CHAR(10))&amp;$A52,BC51)</f>
        <v>○ 045 人力與輪班模型</v>
      </c>
      <c r="BD52" s="0" t="str">
        <f aca="false">IF(AND($B52="D08",$C52="G3"),BD51&amp;IF(BD51="","",CHAR(10))&amp;$A52,BD51)</f>
        <v>◐ 046 職能矩陣與授權</v>
      </c>
      <c r="BE52" s="0" t="str">
        <f aca="false">IF(AND($B52="D08",$C52="G4"),BE51&amp;IF(BE51="","",CHAR(10))&amp;$A52,BE51)</f>
        <v>◐ 047 種子教師與技術移轉</v>
      </c>
      <c r="BF52" s="0" t="str">
        <f aca="false">IF(AND($B52="D08",$C52="G5"),BF51&amp;IF(BF51="","",CHAR(10))&amp;$A52,BF51)</f>
        <v>◐ 048 模擬中心與開院演練</v>
      </c>
      <c r="BG52" s="0" t="str">
        <f aca="false">IF(AND($B52="D08",$C52="G6"),BG51&amp;IF(BG51="","",CHAR(10))&amp;$A52,BG51)</f>
        <v/>
      </c>
      <c r="BH52" s="0" t="str">
        <f aca="false">IF(AND($B52="D09",$C52="G0"),BH51&amp;IF(BH51="","",CHAR(10))&amp;$A52,BH51)</f>
        <v/>
      </c>
      <c r="BI52" s="0" t="str">
        <f aca="false">IF(AND($B52="D09",$C52="G1"),BI51&amp;IF(BI51="","",CHAR(10))&amp;$A52,BI51)</f>
        <v/>
      </c>
      <c r="BJ52" s="0" t="str">
        <f aca="false">IF(AND($B52="D09",$C52="G2"),BJ51&amp;IF(BJ51="","",CHAR(10))&amp;$A52,BJ51)</f>
        <v/>
      </c>
      <c r="BK52" s="0" t="str">
        <f aca="false">IF(AND($B52="D09",$C52="G3"),BK51&amp;IF(BK51="","",CHAR(10))&amp;$A52,BK51)</f>
        <v/>
      </c>
      <c r="BL52" s="0" t="str">
        <f aca="false">IF(AND($B52="D09",$C52="G4"),BL51&amp;IF(BL51="","",CHAR(10))&amp;$A52,BL51)</f>
        <v/>
      </c>
      <c r="BM52" s="0" t="str">
        <f aca="false">IF(AND($B52="D09",$C52="G5"),BM51&amp;IF(BM51="","",CHAR(10))&amp;$A52,BM51)</f>
        <v/>
      </c>
      <c r="BN52" s="0" t="str">
        <f aca="false">IF(AND($B52="D09",$C52="G6"),BN51&amp;IF(BN51="","",CHAR(10))&amp;$A52,BN51)</f>
        <v/>
      </c>
      <c r="BO52" s="0" t="str">
        <f aca="false">IF(AND($B52="D10",$C52="G0"),BO51&amp;IF(BO51="","",CHAR(10))&amp;$A52,BO51)</f>
        <v/>
      </c>
      <c r="BP52" s="0" t="str">
        <f aca="false">IF(AND($B52="D10",$C52="G1"),BP51&amp;IF(BP51="","",CHAR(10))&amp;$A52,BP51)</f>
        <v/>
      </c>
      <c r="BQ52" s="0" t="str">
        <f aca="false">IF(AND($B52="D10",$C52="G2"),BQ51&amp;IF(BQ51="","",CHAR(10))&amp;$A52,BQ51)</f>
        <v/>
      </c>
      <c r="BR52" s="0" t="str">
        <f aca="false">IF(AND($B52="D10",$C52="G3"),BR51&amp;IF(BR51="","",CHAR(10))&amp;$A52,BR51)</f>
        <v/>
      </c>
      <c r="BS52" s="0" t="str">
        <f aca="false">IF(AND($B52="D10",$C52="G4"),BS51&amp;IF(BS51="","",CHAR(10))&amp;$A52,BS51)</f>
        <v/>
      </c>
      <c r="BT52" s="0" t="str">
        <f aca="false">IF(AND($B52="D10",$C52="G5"),BT51&amp;IF(BT51="","",CHAR(10))&amp;$A52,BT51)</f>
        <v/>
      </c>
      <c r="BU52" s="0" t="str">
        <f aca="false">IF(AND($B52="D10",$C52="G6"),BU51&amp;IF(BU51="","",CHAR(10))&amp;$A52,BU51)</f>
        <v/>
      </c>
      <c r="BX52" s="0" t="str">
        <f aca="false">IF(AND(03_能力總表_Master!$A52&lt;&gt;"",LEFT(03_能力總表_Master!$H52,2)="缺口"),MAX($BX$4:BX51)+1,"")</f>
        <v/>
      </c>
      <c r="BY52" s="0" t="str">
        <f aca="false">IF(AND(03_能力總表_Master!$A52&lt;&gt;"",03_能力總表_Master!$J52=12_夥伴視角_PartnerView!$C$4),MAX($BY$4:BY51)+1,"")</f>
        <v/>
      </c>
      <c r="CC52" s="0" t="str">
        <f aca="false">IF(AND(03_能力總表_Master!$A52&lt;&gt;"",IFERROR(INDEX(16_能力商機矩陣_CapOppMap!$D52:$CO52,MATCH(LEFT(17_商機作戰卡_OppView!$C$4,6),16_能力商機矩陣_CapOppMap!$D$4:$CO$4,0)),"")="✓"),MAX($CC$4:CC51)+1,"")</f>
        <v/>
      </c>
    </row>
    <row r="53" customFormat="false" ht="95.5" hidden="false" customHeight="false" outlineLevel="0" collapsed="false">
      <c r="A53" s="0" t="str">
        <f aca="false">IF(03_能力總表_Master!$A53="","",IF(LEFT(03_能力總表_Master!$H53,2)="群晶","● ",IF(ISNUMBER(SEARCH("已確認",03_能力總表_Master!$H53)),"◆ ",IF(ISNUMBER(SEARCH("缺口",03_能力總表_Master!$H53)),"○ ","◐ ")))&amp;RIGHT(03_能力總表_Master!$A53,3)&amp;" "&amp;03_能力總表_Master!$E53)</f>
        <v>◐ 049 變革管理與使用者採納</v>
      </c>
      <c r="B53" s="0" t="str">
        <f aca="false">IF(03_能力總表_Master!$A53="","",LEFT(03_能力總表_Master!$B53,3))</f>
        <v>D08</v>
      </c>
      <c r="C53" s="0" t="str">
        <f aca="false">IF(03_能力總表_Master!$A53="","",03_能力總表_Master!$C53)</f>
        <v>G4</v>
      </c>
      <c r="D53" s="363" t="str">
        <f aca="false">IF(AND($B53="D01",$C53="G0"),D52&amp;IF(D52="","",CHAR(10))&amp;$A53,D52)</f>
        <v>◐ 001 政府授權與計畫章程
◐ 002 利害關係人與權力地圖
◐ 005 聯盟治理與利益衝突</v>
      </c>
      <c r="E53" s="363" t="str">
        <f aca="false">IF(AND($B53="D01",$C53="G1"),E52&amp;IF(E52="","",CHAR(10))&amp;$A53,E52)</f>
        <v>◐ 003 交易模式選擇
◐ 004 法規與執照路徑</v>
      </c>
      <c r="F53" s="0" t="str">
        <f aca="false">IF(AND($B53="D01",$C53="G2"),F52&amp;IF(F52="","",CHAR(10))&amp;$A53,F52)</f>
        <v>◐ 006 績效契約與變更控制</v>
      </c>
      <c r="G53" s="0" t="str">
        <f aca="false">IF(AND($B53="D01",$C53="G3"),G52&amp;IF(G52="","",CHAR(10))&amp;$A53,G52)</f>
        <v/>
      </c>
      <c r="H53" s="0" t="str">
        <f aca="false">IF(AND($B53="D01",$C53="G4"),H52&amp;IF(H52="","",CHAR(10))&amp;$A53,H52)</f>
        <v/>
      </c>
      <c r="I53" s="0" t="str">
        <f aca="false">IF(AND($B53="D01",$C53="G5"),I52&amp;IF(I52="","",CHAR(10))&amp;$A53,I52)</f>
        <v/>
      </c>
      <c r="J53" s="0" t="str">
        <f aca="false">IF(AND($B53="D01",$C53="G6"),J52&amp;IF(J52="","",CHAR(10))&amp;$A53,J52)</f>
        <v/>
      </c>
      <c r="K53" s="0" t="str">
        <f aca="false">IF(AND($B53="D02",$C53="G0"),K52&amp;IF(K52="","",CHAR(10))&amp;$A53,K52)</f>
        <v/>
      </c>
      <c r="L53" s="363" t="str">
        <f aca="false">IF(AND($B53="D02",$C53="G1"),L52&amp;IF(L52="","",CHAR(10))&amp;$A53,L52)</f>
        <v>◐ 007 人口需求與病例量預測
◐ 008 醫院定位與服務組合
◐ 009 重點專科優先化
◐ 010 病人流程與容量設計
◐ 011 轉診與區域照護網絡
◐ 012 臨床治理與責任架構</v>
      </c>
      <c r="M53" s="0" t="str">
        <f aca="false">IF(AND($B53="D02",$C53="G2"),M52&amp;IF(M52="","",CHAR(10))&amp;$A53,M52)</f>
        <v/>
      </c>
      <c r="N53" s="0" t="str">
        <f aca="false">IF(AND($B53="D02",$C53="G3"),N52&amp;IF(N52="","",CHAR(10))&amp;$A53,N52)</f>
        <v/>
      </c>
      <c r="O53" s="0" t="str">
        <f aca="false">IF(AND($B53="D02",$C53="G4"),O52&amp;IF(O52="","",CHAR(10))&amp;$A53,O52)</f>
        <v/>
      </c>
      <c r="P53" s="0" t="str">
        <f aca="false">IF(AND($B53="D02",$C53="G5"),P52&amp;IF(P52="","",CHAR(10))&amp;$A53,P52)</f>
        <v/>
      </c>
      <c r="Q53" s="0" t="str">
        <f aca="false">IF(AND($B53="D02",$C53="G6"),Q52&amp;IF(Q52="","",CHAR(10))&amp;$A53,Q52)</f>
        <v/>
      </c>
      <c r="R53" s="0" t="str">
        <f aca="false">IF(AND($B53="D03",$C53="G0"),R52&amp;IF(R52="","",CHAR(10))&amp;$A53,R52)</f>
        <v/>
      </c>
      <c r="S53" s="0" t="str">
        <f aca="false">IF(AND($B53="D03",$C53="G1"),S52&amp;IF(S52="","",CHAR(10))&amp;$A53,S52)</f>
        <v>◐ 013 場址與醫院總體規劃</v>
      </c>
      <c r="T53" s="363" t="str">
        <f aca="false">IF(AND($B53="D03",$C53="G2"),T52&amp;IF(T52="","",CHAR(10))&amp;$A53,T52)</f>
        <v>◐ 014 醫療建築功能計畫
◐ 015 感染控制與潔污動線
◐ 019 綠色與氣候韌性醫院</v>
      </c>
      <c r="U53" s="363" t="str">
        <f aca="false">IF(AND($B53="D03",$C53="G3"),U52&amp;IF(U52="","",CHAR(10))&amp;$A53,U52)</f>
        <v>● 016 電力、備援與微電網
◐ 017 醫療氣體與關鍵公用系統
◐ 018 醫療廢棄物與水資源</v>
      </c>
      <c r="V53" s="0" t="str">
        <f aca="false">IF(AND($B53="D03",$C53="G4"),V52&amp;IF(V52="","",CHAR(10))&amp;$A53,V52)</f>
        <v/>
      </c>
      <c r="W53" s="0" t="str">
        <f aca="false">IF(AND($B53="D03",$C53="G5"),W52&amp;IF(W52="","",CHAR(10))&amp;$A53,W52)</f>
        <v/>
      </c>
      <c r="X53" s="0" t="str">
        <f aca="false">IF(AND($B53="D03",$C53="G6"),X52&amp;IF(X52="","",CHAR(10))&amp;$A53,X52)</f>
        <v/>
      </c>
      <c r="Y53" s="0" t="str">
        <f aca="false">IF(AND($B53="D04",$C53="G0"),Y52&amp;IF(Y52="","",CHAR(10))&amp;$A53,Y52)</f>
        <v/>
      </c>
      <c r="Z53" s="0" t="str">
        <f aca="false">IF(AND($B53="D04",$C53="G1"),Z52&amp;IF(Z52="","",CHAR(10))&amp;$A53,Z52)</f>
        <v/>
      </c>
      <c r="AA53" s="0" t="str">
        <f aca="false">IF(AND($B53="D04",$C53="G2"),AA52&amp;IF(AA52="","",CHAR(10))&amp;$A53,AA52)</f>
        <v/>
      </c>
      <c r="AB53" s="0" t="str">
        <f aca="false">IF(AND($B53="D04",$C53="G3"),AB52&amp;IF(AB52="","",CHAR(10))&amp;$A53,AB52)</f>
        <v>● 020 IDC與邊緣運算底座</v>
      </c>
      <c r="AC53" s="363" t="str">
        <f aca="false">IF(AND($B53="D04",$C53="G4"),AC52&amp;IF(AC52="","",CHAR(10))&amp;$A53,AC52)</f>
        <v>● 021 有線無線網路與分區
◐ 022 資安營運與零信任
● 023 BMS與能源管理
● 024 RTLS與資產／人員定位
● 025 智慧病房、護理呼叫與感測
● 026 災難復原與營運持續</v>
      </c>
      <c r="AD53" s="0" t="str">
        <f aca="false">IF(AND($B53="D04",$C53="G5"),AD52&amp;IF(AD52="","",CHAR(10))&amp;$A53,AD52)</f>
        <v/>
      </c>
      <c r="AE53" s="0" t="str">
        <f aca="false">IF(AND($B53="D04",$C53="G6"),AE52&amp;IF(AE52="","",CHAR(10))&amp;$A53,AE52)</f>
        <v/>
      </c>
      <c r="AF53" s="0" t="str">
        <f aca="false">IF(AND($B53="D05",$C53="G0"),AF52&amp;IF(AF52="","",CHAR(10))&amp;$A53,AF52)</f>
        <v/>
      </c>
      <c r="AG53" s="0" t="str">
        <f aca="false">IF(AND($B53="D05",$C53="G1"),AG52&amp;IF(AG52="","",CHAR(10))&amp;$A53,AG52)</f>
        <v/>
      </c>
      <c r="AH53" s="0" t="str">
        <f aca="false">IF(AND($B53="D05",$C53="G2"),AH52&amp;IF(AH52="","",CHAR(10))&amp;$A53,AH52)</f>
        <v>◐ 027 醫材需求與設備計畫</v>
      </c>
      <c r="AI53" s="0" t="str">
        <f aca="false">IF(AND($B53="D05",$C53="G3"),AI52&amp;IF(AI52="","",CHAR(10))&amp;$A53,AI52)</f>
        <v/>
      </c>
      <c r="AJ53" s="363" t="str">
        <f aca="false">IF(AND($B53="D05",$C53="G4"),AJ52&amp;IF(AJ52="","",CHAR(10))&amp;$A53,AJ52)</f>
        <v>○ 028 影像設備、PACS與報告流程
○ 029 實驗室自動化與LIS
○ 030 手術室與重症整合
◐ 031 醫材介接與裝置身分
◐ 032 醫療工程與設備生命週期</v>
      </c>
      <c r="AK53" s="0" t="str">
        <f aca="false">IF(AND($B53="D05",$C53="G5"),AK52&amp;IF(AK52="","",CHAR(10))&amp;$A53,AK52)</f>
        <v/>
      </c>
      <c r="AL53" s="0" t="str">
        <f aca="false">IF(AND($B53="D05",$C53="G6"),AL52&amp;IF(AL52="","",CHAR(10))&amp;$A53,AL52)</f>
        <v/>
      </c>
      <c r="AM53" s="0" t="str">
        <f aca="false">IF(AND($B53="D06",$C53="G0"),AM52&amp;IF(AM52="","",CHAR(10))&amp;$A53,AM52)</f>
        <v/>
      </c>
      <c r="AN53" s="0" t="str">
        <f aca="false">IF(AND($B53="D06",$C53="G1"),AN52&amp;IF(AN52="","",CHAR(10))&amp;$A53,AN52)</f>
        <v/>
      </c>
      <c r="AO53" s="0" t="str">
        <f aca="false">IF(AND($B53="D06",$C53="G2"),AO52&amp;IF(AO52="","",CHAR(10))&amp;$A53,AO52)</f>
        <v/>
      </c>
      <c r="AP53" s="363" t="str">
        <f aca="false">IF(AND($B53="D06",$C53="G3"),AP52&amp;IF(AP52="","",CHAR(10))&amp;$A53,AP52)</f>
        <v>◐ 033 HIS／EMR核心平台
◐ 036 臨床術語與主資料治理</v>
      </c>
      <c r="AQ53" s="363" t="str">
        <f aca="false">IF(AND($B53="D06",$C53="G4"),AQ52&amp;IF(AQ52="","",CHAR(10))&amp;$A53,AQ52)</f>
        <v>◐ 034 FHIR介接與API管理
○ 035 主病人索引與身分整合
◐ 037 電子醫囑、用藥與決策支援
◐ 038 資料平台、BI與營運指揮</v>
      </c>
      <c r="AR53" s="0" t="str">
        <f aca="false">IF(AND($B53="D06",$C53="G5"),AR52&amp;IF(AR52="","",CHAR(10))&amp;$A53,AR52)</f>
        <v>○ 039 病人入口、行動服務與VNeID準備</v>
      </c>
      <c r="AS53" s="0" t="str">
        <f aca="false">IF(AND($B53="D06",$C53="G6"),AS52&amp;IF(AS52="","",CHAR(10))&amp;$A53,AS52)</f>
        <v/>
      </c>
      <c r="AT53" s="0" t="str">
        <f aca="false">IF(AND($B53="D07",$C53="G0"),AT52&amp;IF(AT52="","",CHAR(10))&amp;$A53,AT52)</f>
        <v/>
      </c>
      <c r="AU53" s="0" t="str">
        <f aca="false">IF(AND($B53="D07",$C53="G1"),AU52&amp;IF(AU52="","",CHAR(10))&amp;$A53,AU52)</f>
        <v/>
      </c>
      <c r="AV53" s="0" t="str">
        <f aca="false">IF(AND($B53="D07",$C53="G2"),AV52&amp;IF(AV52="","",CHAR(10))&amp;$A53,AV52)</f>
        <v>◐ 040 品質管理與JCI路線圖</v>
      </c>
      <c r="AW53" s="363" t="str">
        <f aca="false">IF(AND($B53="D07",$C53="G3"),AW52&amp;IF(AW52="","",CHAR(10))&amp;$A53,AW52)</f>
        <v>◐ 041 感染預防與控制制度
◐ 043 事件通報與根因改善</v>
      </c>
      <c r="AX53" s="0" t="str">
        <f aca="false">IF(AND($B53="D07",$C53="G4"),AX52&amp;IF(AX52="","",CHAR(10))&amp;$A53,AX52)</f>
        <v>◐ 042 用藥安全閉環</v>
      </c>
      <c r="AY53" s="0" t="str">
        <f aca="false">IF(AND($B53="D07",$C53="G5"),AY52&amp;IF(AY52="","",CHAR(10))&amp;$A53,AY52)</f>
        <v>◐ 044 開院臨床安全驗證</v>
      </c>
      <c r="AZ53" s="0" t="str">
        <f aca="false">IF(AND($B53="D07",$C53="G6"),AZ52&amp;IF(AZ52="","",CHAR(10))&amp;$A53,AZ52)</f>
        <v/>
      </c>
      <c r="BA53" s="0" t="str">
        <f aca="false">IF(AND($B53="D08",$C53="G0"),BA52&amp;IF(BA52="","",CHAR(10))&amp;$A53,BA52)</f>
        <v/>
      </c>
      <c r="BB53" s="0" t="str">
        <f aca="false">IF(AND($B53="D08",$C53="G1"),BB52&amp;IF(BB52="","",CHAR(10))&amp;$A53,BB52)</f>
        <v/>
      </c>
      <c r="BC53" s="0" t="str">
        <f aca="false">IF(AND($B53="D08",$C53="G2"),BC52&amp;IF(BC52="","",CHAR(10))&amp;$A53,BC52)</f>
        <v>○ 045 人力與輪班模型</v>
      </c>
      <c r="BD53" s="0" t="str">
        <f aca="false">IF(AND($B53="D08",$C53="G3"),BD52&amp;IF(BD52="","",CHAR(10))&amp;$A53,BD52)</f>
        <v>◐ 046 職能矩陣與授權</v>
      </c>
      <c r="BE53" s="363" t="str">
        <f aca="false">IF(AND($B53="D08",$C53="G4"),BE52&amp;IF(BE52="","",CHAR(10))&amp;$A53,BE52)</f>
        <v>◐ 047 種子教師與技術移轉
◐ 049 變革管理與使用者採納</v>
      </c>
      <c r="BF53" s="0" t="str">
        <f aca="false">IF(AND($B53="D08",$C53="G5"),BF52&amp;IF(BF52="","",CHAR(10))&amp;$A53,BF52)</f>
        <v>◐ 048 模擬中心與開院演練</v>
      </c>
      <c r="BG53" s="0" t="str">
        <f aca="false">IF(AND($B53="D08",$C53="G6"),BG52&amp;IF(BG52="","",CHAR(10))&amp;$A53,BG52)</f>
        <v/>
      </c>
      <c r="BH53" s="0" t="str">
        <f aca="false">IF(AND($B53="D09",$C53="G0"),BH52&amp;IF(BH52="","",CHAR(10))&amp;$A53,BH52)</f>
        <v/>
      </c>
      <c r="BI53" s="0" t="str">
        <f aca="false">IF(AND($B53="D09",$C53="G1"),BI52&amp;IF(BI52="","",CHAR(10))&amp;$A53,BI52)</f>
        <v/>
      </c>
      <c r="BJ53" s="0" t="str">
        <f aca="false">IF(AND($B53="D09",$C53="G2"),BJ52&amp;IF(BJ52="","",CHAR(10))&amp;$A53,BJ52)</f>
        <v/>
      </c>
      <c r="BK53" s="0" t="str">
        <f aca="false">IF(AND($B53="D09",$C53="G3"),BK52&amp;IF(BK52="","",CHAR(10))&amp;$A53,BK52)</f>
        <v/>
      </c>
      <c r="BL53" s="0" t="str">
        <f aca="false">IF(AND($B53="D09",$C53="G4"),BL52&amp;IF(BL52="","",CHAR(10))&amp;$A53,BL52)</f>
        <v/>
      </c>
      <c r="BM53" s="0" t="str">
        <f aca="false">IF(AND($B53="D09",$C53="G5"),BM52&amp;IF(BM52="","",CHAR(10))&amp;$A53,BM52)</f>
        <v/>
      </c>
      <c r="BN53" s="0" t="str">
        <f aca="false">IF(AND($B53="D09",$C53="G6"),BN52&amp;IF(BN52="","",CHAR(10))&amp;$A53,BN52)</f>
        <v/>
      </c>
      <c r="BO53" s="0" t="str">
        <f aca="false">IF(AND($B53="D10",$C53="G0"),BO52&amp;IF(BO52="","",CHAR(10))&amp;$A53,BO52)</f>
        <v/>
      </c>
      <c r="BP53" s="0" t="str">
        <f aca="false">IF(AND($B53="D10",$C53="G1"),BP52&amp;IF(BP52="","",CHAR(10))&amp;$A53,BP52)</f>
        <v/>
      </c>
      <c r="BQ53" s="0" t="str">
        <f aca="false">IF(AND($B53="D10",$C53="G2"),BQ52&amp;IF(BQ52="","",CHAR(10))&amp;$A53,BQ52)</f>
        <v/>
      </c>
      <c r="BR53" s="0" t="str">
        <f aca="false">IF(AND($B53="D10",$C53="G3"),BR52&amp;IF(BR52="","",CHAR(10))&amp;$A53,BR52)</f>
        <v/>
      </c>
      <c r="BS53" s="0" t="str">
        <f aca="false">IF(AND($B53="D10",$C53="G4"),BS52&amp;IF(BS52="","",CHAR(10))&amp;$A53,BS52)</f>
        <v/>
      </c>
      <c r="BT53" s="0" t="str">
        <f aca="false">IF(AND($B53="D10",$C53="G5"),BT52&amp;IF(BT52="","",CHAR(10))&amp;$A53,BT52)</f>
        <v/>
      </c>
      <c r="BU53" s="0" t="str">
        <f aca="false">IF(AND($B53="D10",$C53="G6"),BU52&amp;IF(BU52="","",CHAR(10))&amp;$A53,BU52)</f>
        <v/>
      </c>
      <c r="BX53" s="0" t="str">
        <f aca="false">IF(AND(03_能力總表_Master!$A53&lt;&gt;"",LEFT(03_能力總表_Master!$H53,2)="缺口"),MAX($BX$4:BX52)+1,"")</f>
        <v/>
      </c>
      <c r="BY53" s="0" t="str">
        <f aca="false">IF(AND(03_能力總表_Master!$A53&lt;&gt;"",03_能力總表_Master!$J53=12_夥伴視角_PartnerView!$C$4),MAX($BY$4:BY52)+1,"")</f>
        <v/>
      </c>
      <c r="CC53" s="0" t="str">
        <f aca="false">IF(AND(03_能力總表_Master!$A53&lt;&gt;"",IFERROR(INDEX(16_能力商機矩陣_CapOppMap!$D53:$CO53,MATCH(LEFT(17_商機作戰卡_OppView!$C$4,6),16_能力商機矩陣_CapOppMap!$D$4:$CO$4,0)),"")="✓"),MAX($CC$4:CC52)+1,"")</f>
        <v/>
      </c>
    </row>
    <row r="54" customFormat="false" ht="95.5" hidden="false" customHeight="false" outlineLevel="0" collapsed="false">
      <c r="A54" s="0" t="str">
        <f aca="false">IF(03_能力總表_Master!$A54="","",IF(LEFT(03_能力總表_Master!$H54,2)="群晶","● ",IF(ISNUMBER(SEARCH("已確認",03_能力總表_Master!$H54)),"◆ ",IF(ISNUMBER(SEARCH("缺口",03_能力總表_Master!$H54)),"○ ","◐ ")))&amp;RIGHT(03_能力總表_Master!$A54,3)&amp;" "&amp;03_能力總表_Master!$E54)</f>
        <v>◐ 050 整合採購與供應商治理</v>
      </c>
      <c r="B54" s="0" t="str">
        <f aca="false">IF(03_能力總表_Master!$A54="","",LEFT(03_能力總表_Master!$B54,3))</f>
        <v>D09</v>
      </c>
      <c r="C54" s="0" t="str">
        <f aca="false">IF(03_能力總表_Master!$A54="","",03_能力總表_Master!$C54)</f>
        <v>G2</v>
      </c>
      <c r="D54" s="363" t="str">
        <f aca="false">IF(AND($B54="D01",$C54="G0"),D53&amp;IF(D53="","",CHAR(10))&amp;$A54,D53)</f>
        <v>◐ 001 政府授權與計畫章程
◐ 002 利害關係人與權力地圖
◐ 005 聯盟治理與利益衝突</v>
      </c>
      <c r="E54" s="363" t="str">
        <f aca="false">IF(AND($B54="D01",$C54="G1"),E53&amp;IF(E53="","",CHAR(10))&amp;$A54,E53)</f>
        <v>◐ 003 交易模式選擇
◐ 004 法規與執照路徑</v>
      </c>
      <c r="F54" s="0" t="str">
        <f aca="false">IF(AND($B54="D01",$C54="G2"),F53&amp;IF(F53="","",CHAR(10))&amp;$A54,F53)</f>
        <v>◐ 006 績效契約與變更控制</v>
      </c>
      <c r="G54" s="0" t="str">
        <f aca="false">IF(AND($B54="D01",$C54="G3"),G53&amp;IF(G53="","",CHAR(10))&amp;$A54,G53)</f>
        <v/>
      </c>
      <c r="H54" s="0" t="str">
        <f aca="false">IF(AND($B54="D01",$C54="G4"),H53&amp;IF(H53="","",CHAR(10))&amp;$A54,H53)</f>
        <v/>
      </c>
      <c r="I54" s="0" t="str">
        <f aca="false">IF(AND($B54="D01",$C54="G5"),I53&amp;IF(I53="","",CHAR(10))&amp;$A54,I53)</f>
        <v/>
      </c>
      <c r="J54" s="0" t="str">
        <f aca="false">IF(AND($B54="D01",$C54="G6"),J53&amp;IF(J53="","",CHAR(10))&amp;$A54,J53)</f>
        <v/>
      </c>
      <c r="K54" s="0" t="str">
        <f aca="false">IF(AND($B54="D02",$C54="G0"),K53&amp;IF(K53="","",CHAR(10))&amp;$A54,K53)</f>
        <v/>
      </c>
      <c r="L54" s="363" t="str">
        <f aca="false">IF(AND($B54="D02",$C54="G1"),L53&amp;IF(L53="","",CHAR(10))&amp;$A54,L53)</f>
        <v>◐ 007 人口需求與病例量預測
◐ 008 醫院定位與服務組合
◐ 009 重點專科優先化
◐ 010 病人流程與容量設計
◐ 011 轉診與區域照護網絡
◐ 012 臨床治理與責任架構</v>
      </c>
      <c r="M54" s="0" t="str">
        <f aca="false">IF(AND($B54="D02",$C54="G2"),M53&amp;IF(M53="","",CHAR(10))&amp;$A54,M53)</f>
        <v/>
      </c>
      <c r="N54" s="0" t="str">
        <f aca="false">IF(AND($B54="D02",$C54="G3"),N53&amp;IF(N53="","",CHAR(10))&amp;$A54,N53)</f>
        <v/>
      </c>
      <c r="O54" s="0" t="str">
        <f aca="false">IF(AND($B54="D02",$C54="G4"),O53&amp;IF(O53="","",CHAR(10))&amp;$A54,O53)</f>
        <v/>
      </c>
      <c r="P54" s="0" t="str">
        <f aca="false">IF(AND($B54="D02",$C54="G5"),P53&amp;IF(P53="","",CHAR(10))&amp;$A54,P53)</f>
        <v/>
      </c>
      <c r="Q54" s="0" t="str">
        <f aca="false">IF(AND($B54="D02",$C54="G6"),Q53&amp;IF(Q53="","",CHAR(10))&amp;$A54,Q53)</f>
        <v/>
      </c>
      <c r="R54" s="0" t="str">
        <f aca="false">IF(AND($B54="D03",$C54="G0"),R53&amp;IF(R53="","",CHAR(10))&amp;$A54,R53)</f>
        <v/>
      </c>
      <c r="S54" s="0" t="str">
        <f aca="false">IF(AND($B54="D03",$C54="G1"),S53&amp;IF(S53="","",CHAR(10))&amp;$A54,S53)</f>
        <v>◐ 013 場址與醫院總體規劃</v>
      </c>
      <c r="T54" s="363" t="str">
        <f aca="false">IF(AND($B54="D03",$C54="G2"),T53&amp;IF(T53="","",CHAR(10))&amp;$A54,T53)</f>
        <v>◐ 014 醫療建築功能計畫
◐ 015 感染控制與潔污動線
◐ 019 綠色與氣候韌性醫院</v>
      </c>
      <c r="U54" s="363" t="str">
        <f aca="false">IF(AND($B54="D03",$C54="G3"),U53&amp;IF(U53="","",CHAR(10))&amp;$A54,U53)</f>
        <v>● 016 電力、備援與微電網
◐ 017 醫療氣體與關鍵公用系統
◐ 018 醫療廢棄物與水資源</v>
      </c>
      <c r="V54" s="0" t="str">
        <f aca="false">IF(AND($B54="D03",$C54="G4"),V53&amp;IF(V53="","",CHAR(10))&amp;$A54,V53)</f>
        <v/>
      </c>
      <c r="W54" s="0" t="str">
        <f aca="false">IF(AND($B54="D03",$C54="G5"),W53&amp;IF(W53="","",CHAR(10))&amp;$A54,W53)</f>
        <v/>
      </c>
      <c r="X54" s="0" t="str">
        <f aca="false">IF(AND($B54="D03",$C54="G6"),X53&amp;IF(X53="","",CHAR(10))&amp;$A54,X53)</f>
        <v/>
      </c>
      <c r="Y54" s="0" t="str">
        <f aca="false">IF(AND($B54="D04",$C54="G0"),Y53&amp;IF(Y53="","",CHAR(10))&amp;$A54,Y53)</f>
        <v/>
      </c>
      <c r="Z54" s="0" t="str">
        <f aca="false">IF(AND($B54="D04",$C54="G1"),Z53&amp;IF(Z53="","",CHAR(10))&amp;$A54,Z53)</f>
        <v/>
      </c>
      <c r="AA54" s="0" t="str">
        <f aca="false">IF(AND($B54="D04",$C54="G2"),AA53&amp;IF(AA53="","",CHAR(10))&amp;$A54,AA53)</f>
        <v/>
      </c>
      <c r="AB54" s="0" t="str">
        <f aca="false">IF(AND($B54="D04",$C54="G3"),AB53&amp;IF(AB53="","",CHAR(10))&amp;$A54,AB53)</f>
        <v>● 020 IDC與邊緣運算底座</v>
      </c>
      <c r="AC54" s="363" t="str">
        <f aca="false">IF(AND($B54="D04",$C54="G4"),AC53&amp;IF(AC53="","",CHAR(10))&amp;$A54,AC53)</f>
        <v>● 021 有線無線網路與分區
◐ 022 資安營運與零信任
● 023 BMS與能源管理
● 024 RTLS與資產／人員定位
● 025 智慧病房、護理呼叫與感測
● 026 災難復原與營運持續</v>
      </c>
      <c r="AD54" s="0" t="str">
        <f aca="false">IF(AND($B54="D04",$C54="G5"),AD53&amp;IF(AD53="","",CHAR(10))&amp;$A54,AD53)</f>
        <v/>
      </c>
      <c r="AE54" s="0" t="str">
        <f aca="false">IF(AND($B54="D04",$C54="G6"),AE53&amp;IF(AE53="","",CHAR(10))&amp;$A54,AE53)</f>
        <v/>
      </c>
      <c r="AF54" s="0" t="str">
        <f aca="false">IF(AND($B54="D05",$C54="G0"),AF53&amp;IF(AF53="","",CHAR(10))&amp;$A54,AF53)</f>
        <v/>
      </c>
      <c r="AG54" s="0" t="str">
        <f aca="false">IF(AND($B54="D05",$C54="G1"),AG53&amp;IF(AG53="","",CHAR(10))&amp;$A54,AG53)</f>
        <v/>
      </c>
      <c r="AH54" s="0" t="str">
        <f aca="false">IF(AND($B54="D05",$C54="G2"),AH53&amp;IF(AH53="","",CHAR(10))&amp;$A54,AH53)</f>
        <v>◐ 027 醫材需求與設備計畫</v>
      </c>
      <c r="AI54" s="0" t="str">
        <f aca="false">IF(AND($B54="D05",$C54="G3"),AI53&amp;IF(AI53="","",CHAR(10))&amp;$A54,AI53)</f>
        <v/>
      </c>
      <c r="AJ54" s="363" t="str">
        <f aca="false">IF(AND($B54="D05",$C54="G4"),AJ53&amp;IF(AJ53="","",CHAR(10))&amp;$A54,AJ53)</f>
        <v>○ 028 影像設備、PACS與報告流程
○ 029 實驗室自動化與LIS
○ 030 手術室與重症整合
◐ 031 醫材介接與裝置身分
◐ 032 醫療工程與設備生命週期</v>
      </c>
      <c r="AK54" s="0" t="str">
        <f aca="false">IF(AND($B54="D05",$C54="G5"),AK53&amp;IF(AK53="","",CHAR(10))&amp;$A54,AK53)</f>
        <v/>
      </c>
      <c r="AL54" s="0" t="str">
        <f aca="false">IF(AND($B54="D05",$C54="G6"),AL53&amp;IF(AL53="","",CHAR(10))&amp;$A54,AL53)</f>
        <v/>
      </c>
      <c r="AM54" s="0" t="str">
        <f aca="false">IF(AND($B54="D06",$C54="G0"),AM53&amp;IF(AM53="","",CHAR(10))&amp;$A54,AM53)</f>
        <v/>
      </c>
      <c r="AN54" s="0" t="str">
        <f aca="false">IF(AND($B54="D06",$C54="G1"),AN53&amp;IF(AN53="","",CHAR(10))&amp;$A54,AN53)</f>
        <v/>
      </c>
      <c r="AO54" s="0" t="str">
        <f aca="false">IF(AND($B54="D06",$C54="G2"),AO53&amp;IF(AO53="","",CHAR(10))&amp;$A54,AO53)</f>
        <v/>
      </c>
      <c r="AP54" s="363" t="str">
        <f aca="false">IF(AND($B54="D06",$C54="G3"),AP53&amp;IF(AP53="","",CHAR(10))&amp;$A54,AP53)</f>
        <v>◐ 033 HIS／EMR核心平台
◐ 036 臨床術語與主資料治理</v>
      </c>
      <c r="AQ54" s="363" t="str">
        <f aca="false">IF(AND($B54="D06",$C54="G4"),AQ53&amp;IF(AQ53="","",CHAR(10))&amp;$A54,AQ53)</f>
        <v>◐ 034 FHIR介接與API管理
○ 035 主病人索引與身分整合
◐ 037 電子醫囑、用藥與決策支援
◐ 038 資料平台、BI與營運指揮</v>
      </c>
      <c r="AR54" s="0" t="str">
        <f aca="false">IF(AND($B54="D06",$C54="G5"),AR53&amp;IF(AR53="","",CHAR(10))&amp;$A54,AR53)</f>
        <v>○ 039 病人入口、行動服務與VNeID準備</v>
      </c>
      <c r="AS54" s="0" t="str">
        <f aca="false">IF(AND($B54="D06",$C54="G6"),AS53&amp;IF(AS53="","",CHAR(10))&amp;$A54,AS53)</f>
        <v/>
      </c>
      <c r="AT54" s="0" t="str">
        <f aca="false">IF(AND($B54="D07",$C54="G0"),AT53&amp;IF(AT53="","",CHAR(10))&amp;$A54,AT53)</f>
        <v/>
      </c>
      <c r="AU54" s="0" t="str">
        <f aca="false">IF(AND($B54="D07",$C54="G1"),AU53&amp;IF(AU53="","",CHAR(10))&amp;$A54,AU53)</f>
        <v/>
      </c>
      <c r="AV54" s="0" t="str">
        <f aca="false">IF(AND($B54="D07",$C54="G2"),AV53&amp;IF(AV53="","",CHAR(10))&amp;$A54,AV53)</f>
        <v>◐ 040 品質管理與JCI路線圖</v>
      </c>
      <c r="AW54" s="363" t="str">
        <f aca="false">IF(AND($B54="D07",$C54="G3"),AW53&amp;IF(AW53="","",CHAR(10))&amp;$A54,AW53)</f>
        <v>◐ 041 感染預防與控制制度
◐ 043 事件通報與根因改善</v>
      </c>
      <c r="AX54" s="0" t="str">
        <f aca="false">IF(AND($B54="D07",$C54="G4"),AX53&amp;IF(AX53="","",CHAR(10))&amp;$A54,AX53)</f>
        <v>◐ 042 用藥安全閉環</v>
      </c>
      <c r="AY54" s="0" t="str">
        <f aca="false">IF(AND($B54="D07",$C54="G5"),AY53&amp;IF(AY53="","",CHAR(10))&amp;$A54,AY53)</f>
        <v>◐ 044 開院臨床安全驗證</v>
      </c>
      <c r="AZ54" s="0" t="str">
        <f aca="false">IF(AND($B54="D07",$C54="G6"),AZ53&amp;IF(AZ53="","",CHAR(10))&amp;$A54,AZ53)</f>
        <v/>
      </c>
      <c r="BA54" s="0" t="str">
        <f aca="false">IF(AND($B54="D08",$C54="G0"),BA53&amp;IF(BA53="","",CHAR(10))&amp;$A54,BA53)</f>
        <v/>
      </c>
      <c r="BB54" s="0" t="str">
        <f aca="false">IF(AND($B54="D08",$C54="G1"),BB53&amp;IF(BB53="","",CHAR(10))&amp;$A54,BB53)</f>
        <v/>
      </c>
      <c r="BC54" s="0" t="str">
        <f aca="false">IF(AND($B54="D08",$C54="G2"),BC53&amp;IF(BC53="","",CHAR(10))&amp;$A54,BC53)</f>
        <v>○ 045 人力與輪班模型</v>
      </c>
      <c r="BD54" s="0" t="str">
        <f aca="false">IF(AND($B54="D08",$C54="G3"),BD53&amp;IF(BD53="","",CHAR(10))&amp;$A54,BD53)</f>
        <v>◐ 046 職能矩陣與授權</v>
      </c>
      <c r="BE54" s="363" t="str">
        <f aca="false">IF(AND($B54="D08",$C54="G4"),BE53&amp;IF(BE53="","",CHAR(10))&amp;$A54,BE53)</f>
        <v>◐ 047 種子教師與技術移轉
◐ 049 變革管理與使用者採納</v>
      </c>
      <c r="BF54" s="0" t="str">
        <f aca="false">IF(AND($B54="D08",$C54="G5"),BF53&amp;IF(BF53="","",CHAR(10))&amp;$A54,BF53)</f>
        <v>◐ 048 模擬中心與開院演練</v>
      </c>
      <c r="BG54" s="0" t="str">
        <f aca="false">IF(AND($B54="D08",$C54="G6"),BG53&amp;IF(BG53="","",CHAR(10))&amp;$A54,BG53)</f>
        <v/>
      </c>
      <c r="BH54" s="0" t="str">
        <f aca="false">IF(AND($B54="D09",$C54="G0"),BH53&amp;IF(BH53="","",CHAR(10))&amp;$A54,BH53)</f>
        <v/>
      </c>
      <c r="BI54" s="0" t="str">
        <f aca="false">IF(AND($B54="D09",$C54="G1"),BI53&amp;IF(BI53="","",CHAR(10))&amp;$A54,BI53)</f>
        <v/>
      </c>
      <c r="BJ54" s="0" t="str">
        <f aca="false">IF(AND($B54="D09",$C54="G2"),BJ53&amp;IF(BJ53="","",CHAR(10))&amp;$A54,BJ53)</f>
        <v>◐ 050 整合採購與供應商治理</v>
      </c>
      <c r="BK54" s="0" t="str">
        <f aca="false">IF(AND($B54="D09",$C54="G3"),BK53&amp;IF(BK53="","",CHAR(10))&amp;$A54,BK53)</f>
        <v/>
      </c>
      <c r="BL54" s="0" t="str">
        <f aca="false">IF(AND($B54="D09",$C54="G4"),BL53&amp;IF(BL53="","",CHAR(10))&amp;$A54,BL53)</f>
        <v/>
      </c>
      <c r="BM54" s="0" t="str">
        <f aca="false">IF(AND($B54="D09",$C54="G5"),BM53&amp;IF(BM53="","",CHAR(10))&amp;$A54,BM53)</f>
        <v/>
      </c>
      <c r="BN54" s="0" t="str">
        <f aca="false">IF(AND($B54="D09",$C54="G6"),BN53&amp;IF(BN53="","",CHAR(10))&amp;$A54,BN53)</f>
        <v/>
      </c>
      <c r="BO54" s="0" t="str">
        <f aca="false">IF(AND($B54="D10",$C54="G0"),BO53&amp;IF(BO53="","",CHAR(10))&amp;$A54,BO53)</f>
        <v/>
      </c>
      <c r="BP54" s="0" t="str">
        <f aca="false">IF(AND($B54="D10",$C54="G1"),BP53&amp;IF(BP53="","",CHAR(10))&amp;$A54,BP53)</f>
        <v/>
      </c>
      <c r="BQ54" s="0" t="str">
        <f aca="false">IF(AND($B54="D10",$C54="G2"),BQ53&amp;IF(BQ53="","",CHAR(10))&amp;$A54,BQ53)</f>
        <v/>
      </c>
      <c r="BR54" s="0" t="str">
        <f aca="false">IF(AND($B54="D10",$C54="G3"),BR53&amp;IF(BR53="","",CHAR(10))&amp;$A54,BR53)</f>
        <v/>
      </c>
      <c r="BS54" s="0" t="str">
        <f aca="false">IF(AND($B54="D10",$C54="G4"),BS53&amp;IF(BS53="","",CHAR(10))&amp;$A54,BS53)</f>
        <v/>
      </c>
      <c r="BT54" s="0" t="str">
        <f aca="false">IF(AND($B54="D10",$C54="G5"),BT53&amp;IF(BT53="","",CHAR(10))&amp;$A54,BT53)</f>
        <v/>
      </c>
      <c r="BU54" s="0" t="str">
        <f aca="false">IF(AND($B54="D10",$C54="G6"),BU53&amp;IF(BU53="","",CHAR(10))&amp;$A54,BU53)</f>
        <v/>
      </c>
      <c r="BX54" s="0" t="str">
        <f aca="false">IF(AND(03_能力總表_Master!$A54&lt;&gt;"",LEFT(03_能力總表_Master!$H54,2)="缺口"),MAX($BX$4:BX53)+1,"")</f>
        <v/>
      </c>
      <c r="BY54" s="0" t="str">
        <f aca="false">IF(AND(03_能力總表_Master!$A54&lt;&gt;"",03_能力總表_Master!$J54=12_夥伴視角_PartnerView!$C$4),MAX($BY$4:BY53)+1,"")</f>
        <v/>
      </c>
      <c r="CC54" s="0" t="str">
        <f aca="false">IF(AND(03_能力總表_Master!$A54&lt;&gt;"",IFERROR(INDEX(16_能力商機矩陣_CapOppMap!$D54:$CO54,MATCH(LEFT(17_商機作戰卡_OppView!$C$4,6),16_能力商機矩陣_CapOppMap!$D$4:$CO$4,0)),"")="✓"),MAX($CC$4:CC53)+1,"")</f>
        <v/>
      </c>
    </row>
    <row r="55" customFormat="false" ht="95.5" hidden="false" customHeight="false" outlineLevel="0" collapsed="false">
      <c r="A55" s="0" t="str">
        <f aca="false">IF(03_能力總表_Master!$A55="","",IF(LEFT(03_能力總表_Master!$H55,2)="群晶","● ",IF(ISNUMBER(SEARCH("已確認",03_能力總表_Master!$H55)),"◆ ",IF(ISNUMBER(SEARCH("缺口",03_能力總表_Master!$H55)),"○ ","◐ ")))&amp;RIGHT(03_能力總表_Master!$A55,3)&amp;" "&amp;03_能力總表_Master!$E55)</f>
        <v>◐ 051 藥品耗材與SPD物流</v>
      </c>
      <c r="B55" s="0" t="str">
        <f aca="false">IF(03_能力總表_Master!$A55="","",LEFT(03_能力總表_Master!$B55,3))</f>
        <v>D09</v>
      </c>
      <c r="C55" s="0" t="str">
        <f aca="false">IF(03_能力總表_Master!$A55="","",03_能力總表_Master!$C55)</f>
        <v>G4</v>
      </c>
      <c r="D55" s="363" t="str">
        <f aca="false">IF(AND($B55="D01",$C55="G0"),D54&amp;IF(D54="","",CHAR(10))&amp;$A55,D54)</f>
        <v>◐ 001 政府授權與計畫章程
◐ 002 利害關係人與權力地圖
◐ 005 聯盟治理與利益衝突</v>
      </c>
      <c r="E55" s="363" t="str">
        <f aca="false">IF(AND($B55="D01",$C55="G1"),E54&amp;IF(E54="","",CHAR(10))&amp;$A55,E54)</f>
        <v>◐ 003 交易模式選擇
◐ 004 法規與執照路徑</v>
      </c>
      <c r="F55" s="0" t="str">
        <f aca="false">IF(AND($B55="D01",$C55="G2"),F54&amp;IF(F54="","",CHAR(10))&amp;$A55,F54)</f>
        <v>◐ 006 績效契約與變更控制</v>
      </c>
      <c r="G55" s="0" t="str">
        <f aca="false">IF(AND($B55="D01",$C55="G3"),G54&amp;IF(G54="","",CHAR(10))&amp;$A55,G54)</f>
        <v/>
      </c>
      <c r="H55" s="0" t="str">
        <f aca="false">IF(AND($B55="D01",$C55="G4"),H54&amp;IF(H54="","",CHAR(10))&amp;$A55,H54)</f>
        <v/>
      </c>
      <c r="I55" s="0" t="str">
        <f aca="false">IF(AND($B55="D01",$C55="G5"),I54&amp;IF(I54="","",CHAR(10))&amp;$A55,I54)</f>
        <v/>
      </c>
      <c r="J55" s="0" t="str">
        <f aca="false">IF(AND($B55="D01",$C55="G6"),J54&amp;IF(J54="","",CHAR(10))&amp;$A55,J54)</f>
        <v/>
      </c>
      <c r="K55" s="0" t="str">
        <f aca="false">IF(AND($B55="D02",$C55="G0"),K54&amp;IF(K54="","",CHAR(10))&amp;$A55,K54)</f>
        <v/>
      </c>
      <c r="L55" s="363" t="str">
        <f aca="false">IF(AND($B55="D02",$C55="G1"),L54&amp;IF(L54="","",CHAR(10))&amp;$A55,L54)</f>
        <v>◐ 007 人口需求與病例量預測
◐ 008 醫院定位與服務組合
◐ 009 重點專科優先化
◐ 010 病人流程與容量設計
◐ 011 轉診與區域照護網絡
◐ 012 臨床治理與責任架構</v>
      </c>
      <c r="M55" s="0" t="str">
        <f aca="false">IF(AND($B55="D02",$C55="G2"),M54&amp;IF(M54="","",CHAR(10))&amp;$A55,M54)</f>
        <v/>
      </c>
      <c r="N55" s="0" t="str">
        <f aca="false">IF(AND($B55="D02",$C55="G3"),N54&amp;IF(N54="","",CHAR(10))&amp;$A55,N54)</f>
        <v/>
      </c>
      <c r="O55" s="0" t="str">
        <f aca="false">IF(AND($B55="D02",$C55="G4"),O54&amp;IF(O54="","",CHAR(10))&amp;$A55,O54)</f>
        <v/>
      </c>
      <c r="P55" s="0" t="str">
        <f aca="false">IF(AND($B55="D02",$C55="G5"),P54&amp;IF(P54="","",CHAR(10))&amp;$A55,P54)</f>
        <v/>
      </c>
      <c r="Q55" s="0" t="str">
        <f aca="false">IF(AND($B55="D02",$C55="G6"),Q54&amp;IF(Q54="","",CHAR(10))&amp;$A55,Q54)</f>
        <v/>
      </c>
      <c r="R55" s="0" t="str">
        <f aca="false">IF(AND($B55="D03",$C55="G0"),R54&amp;IF(R54="","",CHAR(10))&amp;$A55,R54)</f>
        <v/>
      </c>
      <c r="S55" s="0" t="str">
        <f aca="false">IF(AND($B55="D03",$C55="G1"),S54&amp;IF(S54="","",CHAR(10))&amp;$A55,S54)</f>
        <v>◐ 013 場址與醫院總體規劃</v>
      </c>
      <c r="T55" s="363" t="str">
        <f aca="false">IF(AND($B55="D03",$C55="G2"),T54&amp;IF(T54="","",CHAR(10))&amp;$A55,T54)</f>
        <v>◐ 014 醫療建築功能計畫
◐ 015 感染控制與潔污動線
◐ 019 綠色與氣候韌性醫院</v>
      </c>
      <c r="U55" s="363" t="str">
        <f aca="false">IF(AND($B55="D03",$C55="G3"),U54&amp;IF(U54="","",CHAR(10))&amp;$A55,U54)</f>
        <v>● 016 電力、備援與微電網
◐ 017 醫療氣體與關鍵公用系統
◐ 018 醫療廢棄物與水資源</v>
      </c>
      <c r="V55" s="0" t="str">
        <f aca="false">IF(AND($B55="D03",$C55="G4"),V54&amp;IF(V54="","",CHAR(10))&amp;$A55,V54)</f>
        <v/>
      </c>
      <c r="W55" s="0" t="str">
        <f aca="false">IF(AND($B55="D03",$C55="G5"),W54&amp;IF(W54="","",CHAR(10))&amp;$A55,W54)</f>
        <v/>
      </c>
      <c r="X55" s="0" t="str">
        <f aca="false">IF(AND($B55="D03",$C55="G6"),X54&amp;IF(X54="","",CHAR(10))&amp;$A55,X54)</f>
        <v/>
      </c>
      <c r="Y55" s="0" t="str">
        <f aca="false">IF(AND($B55="D04",$C55="G0"),Y54&amp;IF(Y54="","",CHAR(10))&amp;$A55,Y54)</f>
        <v/>
      </c>
      <c r="Z55" s="0" t="str">
        <f aca="false">IF(AND($B55="D04",$C55="G1"),Z54&amp;IF(Z54="","",CHAR(10))&amp;$A55,Z54)</f>
        <v/>
      </c>
      <c r="AA55" s="0" t="str">
        <f aca="false">IF(AND($B55="D04",$C55="G2"),AA54&amp;IF(AA54="","",CHAR(10))&amp;$A55,AA54)</f>
        <v/>
      </c>
      <c r="AB55" s="0" t="str">
        <f aca="false">IF(AND($B55="D04",$C55="G3"),AB54&amp;IF(AB54="","",CHAR(10))&amp;$A55,AB54)</f>
        <v>● 020 IDC與邊緣運算底座</v>
      </c>
      <c r="AC55" s="363" t="str">
        <f aca="false">IF(AND($B55="D04",$C55="G4"),AC54&amp;IF(AC54="","",CHAR(10))&amp;$A55,AC54)</f>
        <v>● 021 有線無線網路與分區
◐ 022 資安營運與零信任
● 023 BMS與能源管理
● 024 RTLS與資產／人員定位
● 025 智慧病房、護理呼叫與感測
● 026 災難復原與營運持續</v>
      </c>
      <c r="AD55" s="0" t="str">
        <f aca="false">IF(AND($B55="D04",$C55="G5"),AD54&amp;IF(AD54="","",CHAR(10))&amp;$A55,AD54)</f>
        <v/>
      </c>
      <c r="AE55" s="0" t="str">
        <f aca="false">IF(AND($B55="D04",$C55="G6"),AE54&amp;IF(AE54="","",CHAR(10))&amp;$A55,AE54)</f>
        <v/>
      </c>
      <c r="AF55" s="0" t="str">
        <f aca="false">IF(AND($B55="D05",$C55="G0"),AF54&amp;IF(AF54="","",CHAR(10))&amp;$A55,AF54)</f>
        <v/>
      </c>
      <c r="AG55" s="0" t="str">
        <f aca="false">IF(AND($B55="D05",$C55="G1"),AG54&amp;IF(AG54="","",CHAR(10))&amp;$A55,AG54)</f>
        <v/>
      </c>
      <c r="AH55" s="0" t="str">
        <f aca="false">IF(AND($B55="D05",$C55="G2"),AH54&amp;IF(AH54="","",CHAR(10))&amp;$A55,AH54)</f>
        <v>◐ 027 醫材需求與設備計畫</v>
      </c>
      <c r="AI55" s="0" t="str">
        <f aca="false">IF(AND($B55="D05",$C55="G3"),AI54&amp;IF(AI54="","",CHAR(10))&amp;$A55,AI54)</f>
        <v/>
      </c>
      <c r="AJ55" s="363" t="str">
        <f aca="false">IF(AND($B55="D05",$C55="G4"),AJ54&amp;IF(AJ54="","",CHAR(10))&amp;$A55,AJ54)</f>
        <v>○ 028 影像設備、PACS與報告流程
○ 029 實驗室自動化與LIS
○ 030 手術室與重症整合
◐ 031 醫材介接與裝置身分
◐ 032 醫療工程與設備生命週期</v>
      </c>
      <c r="AK55" s="0" t="str">
        <f aca="false">IF(AND($B55="D05",$C55="G5"),AK54&amp;IF(AK54="","",CHAR(10))&amp;$A55,AK54)</f>
        <v/>
      </c>
      <c r="AL55" s="0" t="str">
        <f aca="false">IF(AND($B55="D05",$C55="G6"),AL54&amp;IF(AL54="","",CHAR(10))&amp;$A55,AL54)</f>
        <v/>
      </c>
      <c r="AM55" s="0" t="str">
        <f aca="false">IF(AND($B55="D06",$C55="G0"),AM54&amp;IF(AM54="","",CHAR(10))&amp;$A55,AM54)</f>
        <v/>
      </c>
      <c r="AN55" s="0" t="str">
        <f aca="false">IF(AND($B55="D06",$C55="G1"),AN54&amp;IF(AN54="","",CHAR(10))&amp;$A55,AN54)</f>
        <v/>
      </c>
      <c r="AO55" s="0" t="str">
        <f aca="false">IF(AND($B55="D06",$C55="G2"),AO54&amp;IF(AO54="","",CHAR(10))&amp;$A55,AO54)</f>
        <v/>
      </c>
      <c r="AP55" s="363" t="str">
        <f aca="false">IF(AND($B55="D06",$C55="G3"),AP54&amp;IF(AP54="","",CHAR(10))&amp;$A55,AP54)</f>
        <v>◐ 033 HIS／EMR核心平台
◐ 036 臨床術語與主資料治理</v>
      </c>
      <c r="AQ55" s="363" t="str">
        <f aca="false">IF(AND($B55="D06",$C55="G4"),AQ54&amp;IF(AQ54="","",CHAR(10))&amp;$A55,AQ54)</f>
        <v>◐ 034 FHIR介接與API管理
○ 035 主病人索引與身分整合
◐ 037 電子醫囑、用藥與決策支援
◐ 038 資料平台、BI與營運指揮</v>
      </c>
      <c r="AR55" s="0" t="str">
        <f aca="false">IF(AND($B55="D06",$C55="G5"),AR54&amp;IF(AR54="","",CHAR(10))&amp;$A55,AR54)</f>
        <v>○ 039 病人入口、行動服務與VNeID準備</v>
      </c>
      <c r="AS55" s="0" t="str">
        <f aca="false">IF(AND($B55="D06",$C55="G6"),AS54&amp;IF(AS54="","",CHAR(10))&amp;$A55,AS54)</f>
        <v/>
      </c>
      <c r="AT55" s="0" t="str">
        <f aca="false">IF(AND($B55="D07",$C55="G0"),AT54&amp;IF(AT54="","",CHAR(10))&amp;$A55,AT54)</f>
        <v/>
      </c>
      <c r="AU55" s="0" t="str">
        <f aca="false">IF(AND($B55="D07",$C55="G1"),AU54&amp;IF(AU54="","",CHAR(10))&amp;$A55,AU54)</f>
        <v/>
      </c>
      <c r="AV55" s="0" t="str">
        <f aca="false">IF(AND($B55="D07",$C55="G2"),AV54&amp;IF(AV54="","",CHAR(10))&amp;$A55,AV54)</f>
        <v>◐ 040 品質管理與JCI路線圖</v>
      </c>
      <c r="AW55" s="363" t="str">
        <f aca="false">IF(AND($B55="D07",$C55="G3"),AW54&amp;IF(AW54="","",CHAR(10))&amp;$A55,AW54)</f>
        <v>◐ 041 感染預防與控制制度
◐ 043 事件通報與根因改善</v>
      </c>
      <c r="AX55" s="0" t="str">
        <f aca="false">IF(AND($B55="D07",$C55="G4"),AX54&amp;IF(AX54="","",CHAR(10))&amp;$A55,AX54)</f>
        <v>◐ 042 用藥安全閉環</v>
      </c>
      <c r="AY55" s="0" t="str">
        <f aca="false">IF(AND($B55="D07",$C55="G5"),AY54&amp;IF(AY54="","",CHAR(10))&amp;$A55,AY54)</f>
        <v>◐ 044 開院臨床安全驗證</v>
      </c>
      <c r="AZ55" s="0" t="str">
        <f aca="false">IF(AND($B55="D07",$C55="G6"),AZ54&amp;IF(AZ54="","",CHAR(10))&amp;$A55,AZ54)</f>
        <v/>
      </c>
      <c r="BA55" s="0" t="str">
        <f aca="false">IF(AND($B55="D08",$C55="G0"),BA54&amp;IF(BA54="","",CHAR(10))&amp;$A55,BA54)</f>
        <v/>
      </c>
      <c r="BB55" s="0" t="str">
        <f aca="false">IF(AND($B55="D08",$C55="G1"),BB54&amp;IF(BB54="","",CHAR(10))&amp;$A55,BB54)</f>
        <v/>
      </c>
      <c r="BC55" s="0" t="str">
        <f aca="false">IF(AND($B55="D08",$C55="G2"),BC54&amp;IF(BC54="","",CHAR(10))&amp;$A55,BC54)</f>
        <v>○ 045 人力與輪班模型</v>
      </c>
      <c r="BD55" s="0" t="str">
        <f aca="false">IF(AND($B55="D08",$C55="G3"),BD54&amp;IF(BD54="","",CHAR(10))&amp;$A55,BD54)</f>
        <v>◐ 046 職能矩陣與授權</v>
      </c>
      <c r="BE55" s="363" t="str">
        <f aca="false">IF(AND($B55="D08",$C55="G4"),BE54&amp;IF(BE54="","",CHAR(10))&amp;$A55,BE54)</f>
        <v>◐ 047 種子教師與技術移轉
◐ 049 變革管理與使用者採納</v>
      </c>
      <c r="BF55" s="0" t="str">
        <f aca="false">IF(AND($B55="D08",$C55="G5"),BF54&amp;IF(BF54="","",CHAR(10))&amp;$A55,BF54)</f>
        <v>◐ 048 模擬中心與開院演練</v>
      </c>
      <c r="BG55" s="0" t="str">
        <f aca="false">IF(AND($B55="D08",$C55="G6"),BG54&amp;IF(BG54="","",CHAR(10))&amp;$A55,BG54)</f>
        <v/>
      </c>
      <c r="BH55" s="0" t="str">
        <f aca="false">IF(AND($B55="D09",$C55="G0"),BH54&amp;IF(BH54="","",CHAR(10))&amp;$A55,BH54)</f>
        <v/>
      </c>
      <c r="BI55" s="0" t="str">
        <f aca="false">IF(AND($B55="D09",$C55="G1"),BI54&amp;IF(BI54="","",CHAR(10))&amp;$A55,BI54)</f>
        <v/>
      </c>
      <c r="BJ55" s="0" t="str">
        <f aca="false">IF(AND($B55="D09",$C55="G2"),BJ54&amp;IF(BJ54="","",CHAR(10))&amp;$A55,BJ54)</f>
        <v>◐ 050 整合採購與供應商治理</v>
      </c>
      <c r="BK55" s="0" t="str">
        <f aca="false">IF(AND($B55="D09",$C55="G3"),BK54&amp;IF(BK54="","",CHAR(10))&amp;$A55,BK54)</f>
        <v/>
      </c>
      <c r="BL55" s="0" t="str">
        <f aca="false">IF(AND($B55="D09",$C55="G4"),BL54&amp;IF(BL54="","",CHAR(10))&amp;$A55,BL54)</f>
        <v>◐ 051 藥品耗材與SPD物流</v>
      </c>
      <c r="BM55" s="0" t="str">
        <f aca="false">IF(AND($B55="D09",$C55="G5"),BM54&amp;IF(BM54="","",CHAR(10))&amp;$A55,BM54)</f>
        <v/>
      </c>
      <c r="BN55" s="0" t="str">
        <f aca="false">IF(AND($B55="D09",$C55="G6"),BN54&amp;IF(BN54="","",CHAR(10))&amp;$A55,BN54)</f>
        <v/>
      </c>
      <c r="BO55" s="0" t="str">
        <f aca="false">IF(AND($B55="D10",$C55="G0"),BO54&amp;IF(BO54="","",CHAR(10))&amp;$A55,BO54)</f>
        <v/>
      </c>
      <c r="BP55" s="0" t="str">
        <f aca="false">IF(AND($B55="D10",$C55="G1"),BP54&amp;IF(BP54="","",CHAR(10))&amp;$A55,BP54)</f>
        <v/>
      </c>
      <c r="BQ55" s="0" t="str">
        <f aca="false">IF(AND($B55="D10",$C55="G2"),BQ54&amp;IF(BQ54="","",CHAR(10))&amp;$A55,BQ54)</f>
        <v/>
      </c>
      <c r="BR55" s="0" t="str">
        <f aca="false">IF(AND($B55="D10",$C55="G3"),BR54&amp;IF(BR54="","",CHAR(10))&amp;$A55,BR54)</f>
        <v/>
      </c>
      <c r="BS55" s="0" t="str">
        <f aca="false">IF(AND($B55="D10",$C55="G4"),BS54&amp;IF(BS54="","",CHAR(10))&amp;$A55,BS54)</f>
        <v/>
      </c>
      <c r="BT55" s="0" t="str">
        <f aca="false">IF(AND($B55="D10",$C55="G5"),BT54&amp;IF(BT54="","",CHAR(10))&amp;$A55,BT54)</f>
        <v/>
      </c>
      <c r="BU55" s="0" t="str">
        <f aca="false">IF(AND($B55="D10",$C55="G6"),BU54&amp;IF(BU54="","",CHAR(10))&amp;$A55,BU54)</f>
        <v/>
      </c>
      <c r="BX55" s="0" t="str">
        <f aca="false">IF(AND(03_能力總表_Master!$A55&lt;&gt;"",LEFT(03_能力總表_Master!$H55,2)="缺口"),MAX($BX$4:BX54)+1,"")</f>
        <v/>
      </c>
      <c r="BY55" s="0" t="str">
        <f aca="false">IF(AND(03_能力總表_Master!$A55&lt;&gt;"",03_能力總表_Master!$J55=12_夥伴視角_PartnerView!$C$4),MAX($BY$4:BY54)+1,"")</f>
        <v/>
      </c>
      <c r="CC55" s="0" t="str">
        <f aca="false">IF(AND(03_能力總表_Master!$A55&lt;&gt;"",IFERROR(INDEX(16_能力商機矩陣_CapOppMap!$D55:$CO55,MATCH(LEFT(17_商機作戰卡_OppView!$C$4,6),16_能力商機矩陣_CapOppMap!$D$4:$CO$4,0)),"")="✓"),MAX($CC$4:CC54)+1,"")</f>
        <v/>
      </c>
    </row>
    <row r="56" customFormat="false" ht="95.5" hidden="false" customHeight="false" outlineLevel="0" collapsed="false">
      <c r="A56" s="0" t="str">
        <f aca="false">IF(03_能力總表_Master!$A56="","",IF(LEFT(03_能力總表_Master!$H56,2)="群晶","● ",IF(ISNUMBER(SEARCH("已確認",03_能力總表_Master!$H56)),"◆ ",IF(ISNUMBER(SEARCH("缺口",03_能力總表_Master!$H56)),"○ ","◐ ")))&amp;RIGHT(03_能力總表_Master!$A56,3)&amp;" "&amp;03_能力總表_Master!$E56)</f>
        <v>◐ 052 冷鏈與特殊物料</v>
      </c>
      <c r="B56" s="0" t="str">
        <f aca="false">IF(03_能力總表_Master!$A56="","",LEFT(03_能力總表_Master!$B56,3))</f>
        <v>D09</v>
      </c>
      <c r="C56" s="0" t="str">
        <f aca="false">IF(03_能力總表_Master!$A56="","",03_能力總表_Master!$C56)</f>
        <v>G4</v>
      </c>
      <c r="D56" s="363" t="str">
        <f aca="false">IF(AND($B56="D01",$C56="G0"),D55&amp;IF(D55="","",CHAR(10))&amp;$A56,D55)</f>
        <v>◐ 001 政府授權與計畫章程
◐ 002 利害關係人與權力地圖
◐ 005 聯盟治理與利益衝突</v>
      </c>
      <c r="E56" s="363" t="str">
        <f aca="false">IF(AND($B56="D01",$C56="G1"),E55&amp;IF(E55="","",CHAR(10))&amp;$A56,E55)</f>
        <v>◐ 003 交易模式選擇
◐ 004 法規與執照路徑</v>
      </c>
      <c r="F56" s="0" t="str">
        <f aca="false">IF(AND($B56="D01",$C56="G2"),F55&amp;IF(F55="","",CHAR(10))&amp;$A56,F55)</f>
        <v>◐ 006 績效契約與變更控制</v>
      </c>
      <c r="G56" s="0" t="str">
        <f aca="false">IF(AND($B56="D01",$C56="G3"),G55&amp;IF(G55="","",CHAR(10))&amp;$A56,G55)</f>
        <v/>
      </c>
      <c r="H56" s="0" t="str">
        <f aca="false">IF(AND($B56="D01",$C56="G4"),H55&amp;IF(H55="","",CHAR(10))&amp;$A56,H55)</f>
        <v/>
      </c>
      <c r="I56" s="0" t="str">
        <f aca="false">IF(AND($B56="D01",$C56="G5"),I55&amp;IF(I55="","",CHAR(10))&amp;$A56,I55)</f>
        <v/>
      </c>
      <c r="J56" s="0" t="str">
        <f aca="false">IF(AND($B56="D01",$C56="G6"),J55&amp;IF(J55="","",CHAR(10))&amp;$A56,J55)</f>
        <v/>
      </c>
      <c r="K56" s="0" t="str">
        <f aca="false">IF(AND($B56="D02",$C56="G0"),K55&amp;IF(K55="","",CHAR(10))&amp;$A56,K55)</f>
        <v/>
      </c>
      <c r="L56" s="363" t="str">
        <f aca="false">IF(AND($B56="D02",$C56="G1"),L55&amp;IF(L55="","",CHAR(10))&amp;$A56,L55)</f>
        <v>◐ 007 人口需求與病例量預測
◐ 008 醫院定位與服務組合
◐ 009 重點專科優先化
◐ 010 病人流程與容量設計
◐ 011 轉診與區域照護網絡
◐ 012 臨床治理與責任架構</v>
      </c>
      <c r="M56" s="0" t="str">
        <f aca="false">IF(AND($B56="D02",$C56="G2"),M55&amp;IF(M55="","",CHAR(10))&amp;$A56,M55)</f>
        <v/>
      </c>
      <c r="N56" s="0" t="str">
        <f aca="false">IF(AND($B56="D02",$C56="G3"),N55&amp;IF(N55="","",CHAR(10))&amp;$A56,N55)</f>
        <v/>
      </c>
      <c r="O56" s="0" t="str">
        <f aca="false">IF(AND($B56="D02",$C56="G4"),O55&amp;IF(O55="","",CHAR(10))&amp;$A56,O55)</f>
        <v/>
      </c>
      <c r="P56" s="0" t="str">
        <f aca="false">IF(AND($B56="D02",$C56="G5"),P55&amp;IF(P55="","",CHAR(10))&amp;$A56,P55)</f>
        <v/>
      </c>
      <c r="Q56" s="0" t="str">
        <f aca="false">IF(AND($B56="D02",$C56="G6"),Q55&amp;IF(Q55="","",CHAR(10))&amp;$A56,Q55)</f>
        <v/>
      </c>
      <c r="R56" s="0" t="str">
        <f aca="false">IF(AND($B56="D03",$C56="G0"),R55&amp;IF(R55="","",CHAR(10))&amp;$A56,R55)</f>
        <v/>
      </c>
      <c r="S56" s="0" t="str">
        <f aca="false">IF(AND($B56="D03",$C56="G1"),S55&amp;IF(S55="","",CHAR(10))&amp;$A56,S55)</f>
        <v>◐ 013 場址與醫院總體規劃</v>
      </c>
      <c r="T56" s="363" t="str">
        <f aca="false">IF(AND($B56="D03",$C56="G2"),T55&amp;IF(T55="","",CHAR(10))&amp;$A56,T55)</f>
        <v>◐ 014 醫療建築功能計畫
◐ 015 感染控制與潔污動線
◐ 019 綠色與氣候韌性醫院</v>
      </c>
      <c r="U56" s="363" t="str">
        <f aca="false">IF(AND($B56="D03",$C56="G3"),U55&amp;IF(U55="","",CHAR(10))&amp;$A56,U55)</f>
        <v>● 016 電力、備援與微電網
◐ 017 醫療氣體與關鍵公用系統
◐ 018 醫療廢棄物與水資源</v>
      </c>
      <c r="V56" s="0" t="str">
        <f aca="false">IF(AND($B56="D03",$C56="G4"),V55&amp;IF(V55="","",CHAR(10))&amp;$A56,V55)</f>
        <v/>
      </c>
      <c r="W56" s="0" t="str">
        <f aca="false">IF(AND($B56="D03",$C56="G5"),W55&amp;IF(W55="","",CHAR(10))&amp;$A56,W55)</f>
        <v/>
      </c>
      <c r="X56" s="0" t="str">
        <f aca="false">IF(AND($B56="D03",$C56="G6"),X55&amp;IF(X55="","",CHAR(10))&amp;$A56,X55)</f>
        <v/>
      </c>
      <c r="Y56" s="0" t="str">
        <f aca="false">IF(AND($B56="D04",$C56="G0"),Y55&amp;IF(Y55="","",CHAR(10))&amp;$A56,Y55)</f>
        <v/>
      </c>
      <c r="Z56" s="0" t="str">
        <f aca="false">IF(AND($B56="D04",$C56="G1"),Z55&amp;IF(Z55="","",CHAR(10))&amp;$A56,Z55)</f>
        <v/>
      </c>
      <c r="AA56" s="0" t="str">
        <f aca="false">IF(AND($B56="D04",$C56="G2"),AA55&amp;IF(AA55="","",CHAR(10))&amp;$A56,AA55)</f>
        <v/>
      </c>
      <c r="AB56" s="0" t="str">
        <f aca="false">IF(AND($B56="D04",$C56="G3"),AB55&amp;IF(AB55="","",CHAR(10))&amp;$A56,AB55)</f>
        <v>● 020 IDC與邊緣運算底座</v>
      </c>
      <c r="AC56" s="363" t="str">
        <f aca="false">IF(AND($B56="D04",$C56="G4"),AC55&amp;IF(AC55="","",CHAR(10))&amp;$A56,AC55)</f>
        <v>● 021 有線無線網路與分區
◐ 022 資安營運與零信任
● 023 BMS與能源管理
● 024 RTLS與資產／人員定位
● 025 智慧病房、護理呼叫與感測
● 026 災難復原與營運持續</v>
      </c>
      <c r="AD56" s="0" t="str">
        <f aca="false">IF(AND($B56="D04",$C56="G5"),AD55&amp;IF(AD55="","",CHAR(10))&amp;$A56,AD55)</f>
        <v/>
      </c>
      <c r="AE56" s="0" t="str">
        <f aca="false">IF(AND($B56="D04",$C56="G6"),AE55&amp;IF(AE55="","",CHAR(10))&amp;$A56,AE55)</f>
        <v/>
      </c>
      <c r="AF56" s="0" t="str">
        <f aca="false">IF(AND($B56="D05",$C56="G0"),AF55&amp;IF(AF55="","",CHAR(10))&amp;$A56,AF55)</f>
        <v/>
      </c>
      <c r="AG56" s="0" t="str">
        <f aca="false">IF(AND($B56="D05",$C56="G1"),AG55&amp;IF(AG55="","",CHAR(10))&amp;$A56,AG55)</f>
        <v/>
      </c>
      <c r="AH56" s="0" t="str">
        <f aca="false">IF(AND($B56="D05",$C56="G2"),AH55&amp;IF(AH55="","",CHAR(10))&amp;$A56,AH55)</f>
        <v>◐ 027 醫材需求與設備計畫</v>
      </c>
      <c r="AI56" s="0" t="str">
        <f aca="false">IF(AND($B56="D05",$C56="G3"),AI55&amp;IF(AI55="","",CHAR(10))&amp;$A56,AI55)</f>
        <v/>
      </c>
      <c r="AJ56" s="363" t="str">
        <f aca="false">IF(AND($B56="D05",$C56="G4"),AJ55&amp;IF(AJ55="","",CHAR(10))&amp;$A56,AJ55)</f>
        <v>○ 028 影像設備、PACS與報告流程
○ 029 實驗室自動化與LIS
○ 030 手術室與重症整合
◐ 031 醫材介接與裝置身分
◐ 032 醫療工程與設備生命週期</v>
      </c>
      <c r="AK56" s="0" t="str">
        <f aca="false">IF(AND($B56="D05",$C56="G5"),AK55&amp;IF(AK55="","",CHAR(10))&amp;$A56,AK55)</f>
        <v/>
      </c>
      <c r="AL56" s="0" t="str">
        <f aca="false">IF(AND($B56="D05",$C56="G6"),AL55&amp;IF(AL55="","",CHAR(10))&amp;$A56,AL55)</f>
        <v/>
      </c>
      <c r="AM56" s="0" t="str">
        <f aca="false">IF(AND($B56="D06",$C56="G0"),AM55&amp;IF(AM55="","",CHAR(10))&amp;$A56,AM55)</f>
        <v/>
      </c>
      <c r="AN56" s="0" t="str">
        <f aca="false">IF(AND($B56="D06",$C56="G1"),AN55&amp;IF(AN55="","",CHAR(10))&amp;$A56,AN55)</f>
        <v/>
      </c>
      <c r="AO56" s="0" t="str">
        <f aca="false">IF(AND($B56="D06",$C56="G2"),AO55&amp;IF(AO55="","",CHAR(10))&amp;$A56,AO55)</f>
        <v/>
      </c>
      <c r="AP56" s="363" t="str">
        <f aca="false">IF(AND($B56="D06",$C56="G3"),AP55&amp;IF(AP55="","",CHAR(10))&amp;$A56,AP55)</f>
        <v>◐ 033 HIS／EMR核心平台
◐ 036 臨床術語與主資料治理</v>
      </c>
      <c r="AQ56" s="363" t="str">
        <f aca="false">IF(AND($B56="D06",$C56="G4"),AQ55&amp;IF(AQ55="","",CHAR(10))&amp;$A56,AQ55)</f>
        <v>◐ 034 FHIR介接與API管理
○ 035 主病人索引與身分整合
◐ 037 電子醫囑、用藥與決策支援
◐ 038 資料平台、BI與營運指揮</v>
      </c>
      <c r="AR56" s="0" t="str">
        <f aca="false">IF(AND($B56="D06",$C56="G5"),AR55&amp;IF(AR55="","",CHAR(10))&amp;$A56,AR55)</f>
        <v>○ 039 病人入口、行動服務與VNeID準備</v>
      </c>
      <c r="AS56" s="0" t="str">
        <f aca="false">IF(AND($B56="D06",$C56="G6"),AS55&amp;IF(AS55="","",CHAR(10))&amp;$A56,AS55)</f>
        <v/>
      </c>
      <c r="AT56" s="0" t="str">
        <f aca="false">IF(AND($B56="D07",$C56="G0"),AT55&amp;IF(AT55="","",CHAR(10))&amp;$A56,AT55)</f>
        <v/>
      </c>
      <c r="AU56" s="0" t="str">
        <f aca="false">IF(AND($B56="D07",$C56="G1"),AU55&amp;IF(AU55="","",CHAR(10))&amp;$A56,AU55)</f>
        <v/>
      </c>
      <c r="AV56" s="0" t="str">
        <f aca="false">IF(AND($B56="D07",$C56="G2"),AV55&amp;IF(AV55="","",CHAR(10))&amp;$A56,AV55)</f>
        <v>◐ 040 品質管理與JCI路線圖</v>
      </c>
      <c r="AW56" s="363" t="str">
        <f aca="false">IF(AND($B56="D07",$C56="G3"),AW55&amp;IF(AW55="","",CHAR(10))&amp;$A56,AW55)</f>
        <v>◐ 041 感染預防與控制制度
◐ 043 事件通報與根因改善</v>
      </c>
      <c r="AX56" s="0" t="str">
        <f aca="false">IF(AND($B56="D07",$C56="G4"),AX55&amp;IF(AX55="","",CHAR(10))&amp;$A56,AX55)</f>
        <v>◐ 042 用藥安全閉環</v>
      </c>
      <c r="AY56" s="0" t="str">
        <f aca="false">IF(AND($B56="D07",$C56="G5"),AY55&amp;IF(AY55="","",CHAR(10))&amp;$A56,AY55)</f>
        <v>◐ 044 開院臨床安全驗證</v>
      </c>
      <c r="AZ56" s="0" t="str">
        <f aca="false">IF(AND($B56="D07",$C56="G6"),AZ55&amp;IF(AZ55="","",CHAR(10))&amp;$A56,AZ55)</f>
        <v/>
      </c>
      <c r="BA56" s="0" t="str">
        <f aca="false">IF(AND($B56="D08",$C56="G0"),BA55&amp;IF(BA55="","",CHAR(10))&amp;$A56,BA55)</f>
        <v/>
      </c>
      <c r="BB56" s="0" t="str">
        <f aca="false">IF(AND($B56="D08",$C56="G1"),BB55&amp;IF(BB55="","",CHAR(10))&amp;$A56,BB55)</f>
        <v/>
      </c>
      <c r="BC56" s="0" t="str">
        <f aca="false">IF(AND($B56="D08",$C56="G2"),BC55&amp;IF(BC55="","",CHAR(10))&amp;$A56,BC55)</f>
        <v>○ 045 人力與輪班模型</v>
      </c>
      <c r="BD56" s="0" t="str">
        <f aca="false">IF(AND($B56="D08",$C56="G3"),BD55&amp;IF(BD55="","",CHAR(10))&amp;$A56,BD55)</f>
        <v>◐ 046 職能矩陣與授權</v>
      </c>
      <c r="BE56" s="363" t="str">
        <f aca="false">IF(AND($B56="D08",$C56="G4"),BE55&amp;IF(BE55="","",CHAR(10))&amp;$A56,BE55)</f>
        <v>◐ 047 種子教師與技術移轉
◐ 049 變革管理與使用者採納</v>
      </c>
      <c r="BF56" s="0" t="str">
        <f aca="false">IF(AND($B56="D08",$C56="G5"),BF55&amp;IF(BF55="","",CHAR(10))&amp;$A56,BF55)</f>
        <v>◐ 048 模擬中心與開院演練</v>
      </c>
      <c r="BG56" s="0" t="str">
        <f aca="false">IF(AND($B56="D08",$C56="G6"),BG55&amp;IF(BG55="","",CHAR(10))&amp;$A56,BG55)</f>
        <v/>
      </c>
      <c r="BH56" s="0" t="str">
        <f aca="false">IF(AND($B56="D09",$C56="G0"),BH55&amp;IF(BH55="","",CHAR(10))&amp;$A56,BH55)</f>
        <v/>
      </c>
      <c r="BI56" s="0" t="str">
        <f aca="false">IF(AND($B56="D09",$C56="G1"),BI55&amp;IF(BI55="","",CHAR(10))&amp;$A56,BI55)</f>
        <v/>
      </c>
      <c r="BJ56" s="0" t="str">
        <f aca="false">IF(AND($B56="D09",$C56="G2"),BJ55&amp;IF(BJ55="","",CHAR(10))&amp;$A56,BJ55)</f>
        <v>◐ 050 整合採購與供應商治理</v>
      </c>
      <c r="BK56" s="0" t="str">
        <f aca="false">IF(AND($B56="D09",$C56="G3"),BK55&amp;IF(BK55="","",CHAR(10))&amp;$A56,BK55)</f>
        <v/>
      </c>
      <c r="BL56" s="363" t="str">
        <f aca="false">IF(AND($B56="D09",$C56="G4"),BL55&amp;IF(BL55="","",CHAR(10))&amp;$A56,BL55)</f>
        <v>◐ 051 藥品耗材與SPD物流
◐ 052 冷鏈與特殊物料</v>
      </c>
      <c r="BM56" s="0" t="str">
        <f aca="false">IF(AND($B56="D09",$C56="G5"),BM55&amp;IF(BM55="","",CHAR(10))&amp;$A56,BM55)</f>
        <v/>
      </c>
      <c r="BN56" s="0" t="str">
        <f aca="false">IF(AND($B56="D09",$C56="G6"),BN55&amp;IF(BN55="","",CHAR(10))&amp;$A56,BN55)</f>
        <v/>
      </c>
      <c r="BO56" s="0" t="str">
        <f aca="false">IF(AND($B56="D10",$C56="G0"),BO55&amp;IF(BO55="","",CHAR(10))&amp;$A56,BO55)</f>
        <v/>
      </c>
      <c r="BP56" s="0" t="str">
        <f aca="false">IF(AND($B56="D10",$C56="G1"),BP55&amp;IF(BP55="","",CHAR(10))&amp;$A56,BP55)</f>
        <v/>
      </c>
      <c r="BQ56" s="0" t="str">
        <f aca="false">IF(AND($B56="D10",$C56="G2"),BQ55&amp;IF(BQ55="","",CHAR(10))&amp;$A56,BQ55)</f>
        <v/>
      </c>
      <c r="BR56" s="0" t="str">
        <f aca="false">IF(AND($B56="D10",$C56="G3"),BR55&amp;IF(BR55="","",CHAR(10))&amp;$A56,BR55)</f>
        <v/>
      </c>
      <c r="BS56" s="0" t="str">
        <f aca="false">IF(AND($B56="D10",$C56="G4"),BS55&amp;IF(BS55="","",CHAR(10))&amp;$A56,BS55)</f>
        <v/>
      </c>
      <c r="BT56" s="0" t="str">
        <f aca="false">IF(AND($B56="D10",$C56="G5"),BT55&amp;IF(BT55="","",CHAR(10))&amp;$A56,BT55)</f>
        <v/>
      </c>
      <c r="BU56" s="0" t="str">
        <f aca="false">IF(AND($B56="D10",$C56="G6"),BU55&amp;IF(BU55="","",CHAR(10))&amp;$A56,BU55)</f>
        <v/>
      </c>
      <c r="BX56" s="0" t="str">
        <f aca="false">IF(AND(03_能力總表_Master!$A56&lt;&gt;"",LEFT(03_能力總表_Master!$H56,2)="缺口"),MAX($BX$4:BX55)+1,"")</f>
        <v/>
      </c>
      <c r="BY56" s="0" t="str">
        <f aca="false">IF(AND(03_能力總表_Master!$A56&lt;&gt;"",03_能力總表_Master!$J56=12_夥伴視角_PartnerView!$C$4),MAX($BY$4:BY55)+1,"")</f>
        <v/>
      </c>
      <c r="CC56" s="0" t="str">
        <f aca="false">IF(AND(03_能力總表_Master!$A56&lt;&gt;"",IFERROR(INDEX(16_能力商機矩陣_CapOppMap!$D56:$CO56,MATCH(LEFT(17_商機作戰卡_OppView!$C$4,6),16_能力商機矩陣_CapOppMap!$D$4:$CO$4,0)),"")="✓"),MAX($CC$4:CC55)+1,"")</f>
        <v/>
      </c>
    </row>
    <row r="57" customFormat="false" ht="95.5" hidden="false" customHeight="false" outlineLevel="0" collapsed="false">
      <c r="A57" s="0" t="str">
        <f aca="false">IF(03_能力總表_Master!$A57="","",IF(LEFT(03_能力總表_Master!$H57,2)="群晶","● ",IF(ISNUMBER(SEARCH("已確認",03_能力總表_Master!$H57)),"◆ ",IF(ISNUMBER(SEARCH("缺口",03_能力總表_Master!$H57)),"○ ","◐ ")))&amp;RIGHT(03_能力總表_Master!$A57,3)&amp;" "&amp;03_能力總表_Master!$E57)</f>
        <v>● 053 CMMS與設施維運</v>
      </c>
      <c r="B57" s="0" t="str">
        <f aca="false">IF(03_能力總表_Master!$A57="","",LEFT(03_能力總表_Master!$B57,3))</f>
        <v>D09</v>
      </c>
      <c r="C57" s="0" t="str">
        <f aca="false">IF(03_能力總表_Master!$A57="","",03_能力總表_Master!$C57)</f>
        <v>G4</v>
      </c>
      <c r="D57" s="363" t="str">
        <f aca="false">IF(AND($B57="D01",$C57="G0"),D56&amp;IF(D56="","",CHAR(10))&amp;$A57,D56)</f>
        <v>◐ 001 政府授權與計畫章程
◐ 002 利害關係人與權力地圖
◐ 005 聯盟治理與利益衝突</v>
      </c>
      <c r="E57" s="363" t="str">
        <f aca="false">IF(AND($B57="D01",$C57="G1"),E56&amp;IF(E56="","",CHAR(10))&amp;$A57,E56)</f>
        <v>◐ 003 交易模式選擇
◐ 004 法規與執照路徑</v>
      </c>
      <c r="F57" s="0" t="str">
        <f aca="false">IF(AND($B57="D01",$C57="G2"),F56&amp;IF(F56="","",CHAR(10))&amp;$A57,F56)</f>
        <v>◐ 006 績效契約與變更控制</v>
      </c>
      <c r="G57" s="0" t="str">
        <f aca="false">IF(AND($B57="D01",$C57="G3"),G56&amp;IF(G56="","",CHAR(10))&amp;$A57,G56)</f>
        <v/>
      </c>
      <c r="H57" s="0" t="str">
        <f aca="false">IF(AND($B57="D01",$C57="G4"),H56&amp;IF(H56="","",CHAR(10))&amp;$A57,H56)</f>
        <v/>
      </c>
      <c r="I57" s="0" t="str">
        <f aca="false">IF(AND($B57="D01",$C57="G5"),I56&amp;IF(I56="","",CHAR(10))&amp;$A57,I56)</f>
        <v/>
      </c>
      <c r="J57" s="0" t="str">
        <f aca="false">IF(AND($B57="D01",$C57="G6"),J56&amp;IF(J56="","",CHAR(10))&amp;$A57,J56)</f>
        <v/>
      </c>
      <c r="K57" s="0" t="str">
        <f aca="false">IF(AND($B57="D02",$C57="G0"),K56&amp;IF(K56="","",CHAR(10))&amp;$A57,K56)</f>
        <v/>
      </c>
      <c r="L57" s="363" t="str">
        <f aca="false">IF(AND($B57="D02",$C57="G1"),L56&amp;IF(L56="","",CHAR(10))&amp;$A57,L56)</f>
        <v>◐ 007 人口需求與病例量預測
◐ 008 醫院定位與服務組合
◐ 009 重點專科優先化
◐ 010 病人流程與容量設計
◐ 011 轉診與區域照護網絡
◐ 012 臨床治理與責任架構</v>
      </c>
      <c r="M57" s="0" t="str">
        <f aca="false">IF(AND($B57="D02",$C57="G2"),M56&amp;IF(M56="","",CHAR(10))&amp;$A57,M56)</f>
        <v/>
      </c>
      <c r="N57" s="0" t="str">
        <f aca="false">IF(AND($B57="D02",$C57="G3"),N56&amp;IF(N56="","",CHAR(10))&amp;$A57,N56)</f>
        <v/>
      </c>
      <c r="O57" s="0" t="str">
        <f aca="false">IF(AND($B57="D02",$C57="G4"),O56&amp;IF(O56="","",CHAR(10))&amp;$A57,O56)</f>
        <v/>
      </c>
      <c r="P57" s="0" t="str">
        <f aca="false">IF(AND($B57="D02",$C57="G5"),P56&amp;IF(P56="","",CHAR(10))&amp;$A57,P56)</f>
        <v/>
      </c>
      <c r="Q57" s="0" t="str">
        <f aca="false">IF(AND($B57="D02",$C57="G6"),Q56&amp;IF(Q56="","",CHAR(10))&amp;$A57,Q56)</f>
        <v/>
      </c>
      <c r="R57" s="0" t="str">
        <f aca="false">IF(AND($B57="D03",$C57="G0"),R56&amp;IF(R56="","",CHAR(10))&amp;$A57,R56)</f>
        <v/>
      </c>
      <c r="S57" s="0" t="str">
        <f aca="false">IF(AND($B57="D03",$C57="G1"),S56&amp;IF(S56="","",CHAR(10))&amp;$A57,S56)</f>
        <v>◐ 013 場址與醫院總體規劃</v>
      </c>
      <c r="T57" s="363" t="str">
        <f aca="false">IF(AND($B57="D03",$C57="G2"),T56&amp;IF(T56="","",CHAR(10))&amp;$A57,T56)</f>
        <v>◐ 014 醫療建築功能計畫
◐ 015 感染控制與潔污動線
◐ 019 綠色與氣候韌性醫院</v>
      </c>
      <c r="U57" s="363" t="str">
        <f aca="false">IF(AND($B57="D03",$C57="G3"),U56&amp;IF(U56="","",CHAR(10))&amp;$A57,U56)</f>
        <v>● 016 電力、備援與微電網
◐ 017 醫療氣體與關鍵公用系統
◐ 018 醫療廢棄物與水資源</v>
      </c>
      <c r="V57" s="0" t="str">
        <f aca="false">IF(AND($B57="D03",$C57="G4"),V56&amp;IF(V56="","",CHAR(10))&amp;$A57,V56)</f>
        <v/>
      </c>
      <c r="W57" s="0" t="str">
        <f aca="false">IF(AND($B57="D03",$C57="G5"),W56&amp;IF(W56="","",CHAR(10))&amp;$A57,W56)</f>
        <v/>
      </c>
      <c r="X57" s="0" t="str">
        <f aca="false">IF(AND($B57="D03",$C57="G6"),X56&amp;IF(X56="","",CHAR(10))&amp;$A57,X56)</f>
        <v/>
      </c>
      <c r="Y57" s="0" t="str">
        <f aca="false">IF(AND($B57="D04",$C57="G0"),Y56&amp;IF(Y56="","",CHAR(10))&amp;$A57,Y56)</f>
        <v/>
      </c>
      <c r="Z57" s="0" t="str">
        <f aca="false">IF(AND($B57="D04",$C57="G1"),Z56&amp;IF(Z56="","",CHAR(10))&amp;$A57,Z56)</f>
        <v/>
      </c>
      <c r="AA57" s="0" t="str">
        <f aca="false">IF(AND($B57="D04",$C57="G2"),AA56&amp;IF(AA56="","",CHAR(10))&amp;$A57,AA56)</f>
        <v/>
      </c>
      <c r="AB57" s="0" t="str">
        <f aca="false">IF(AND($B57="D04",$C57="G3"),AB56&amp;IF(AB56="","",CHAR(10))&amp;$A57,AB56)</f>
        <v>● 020 IDC與邊緣運算底座</v>
      </c>
      <c r="AC57" s="363" t="str">
        <f aca="false">IF(AND($B57="D04",$C57="G4"),AC56&amp;IF(AC56="","",CHAR(10))&amp;$A57,AC56)</f>
        <v>● 021 有線無線網路與分區
◐ 022 資安營運與零信任
● 023 BMS與能源管理
● 024 RTLS與資產／人員定位
● 025 智慧病房、護理呼叫與感測
● 026 災難復原與營運持續</v>
      </c>
      <c r="AD57" s="0" t="str">
        <f aca="false">IF(AND($B57="D04",$C57="G5"),AD56&amp;IF(AD56="","",CHAR(10))&amp;$A57,AD56)</f>
        <v/>
      </c>
      <c r="AE57" s="0" t="str">
        <f aca="false">IF(AND($B57="D04",$C57="G6"),AE56&amp;IF(AE56="","",CHAR(10))&amp;$A57,AE56)</f>
        <v/>
      </c>
      <c r="AF57" s="0" t="str">
        <f aca="false">IF(AND($B57="D05",$C57="G0"),AF56&amp;IF(AF56="","",CHAR(10))&amp;$A57,AF56)</f>
        <v/>
      </c>
      <c r="AG57" s="0" t="str">
        <f aca="false">IF(AND($B57="D05",$C57="G1"),AG56&amp;IF(AG56="","",CHAR(10))&amp;$A57,AG56)</f>
        <v/>
      </c>
      <c r="AH57" s="0" t="str">
        <f aca="false">IF(AND($B57="D05",$C57="G2"),AH56&amp;IF(AH56="","",CHAR(10))&amp;$A57,AH56)</f>
        <v>◐ 027 醫材需求與設備計畫</v>
      </c>
      <c r="AI57" s="0" t="str">
        <f aca="false">IF(AND($B57="D05",$C57="G3"),AI56&amp;IF(AI56="","",CHAR(10))&amp;$A57,AI56)</f>
        <v/>
      </c>
      <c r="AJ57" s="363" t="str">
        <f aca="false">IF(AND($B57="D05",$C57="G4"),AJ56&amp;IF(AJ56="","",CHAR(10))&amp;$A57,AJ56)</f>
        <v>○ 028 影像設備、PACS與報告流程
○ 029 實驗室自動化與LIS
○ 030 手術室與重症整合
◐ 031 醫材介接與裝置身分
◐ 032 醫療工程與設備生命週期</v>
      </c>
      <c r="AK57" s="0" t="str">
        <f aca="false">IF(AND($B57="D05",$C57="G5"),AK56&amp;IF(AK56="","",CHAR(10))&amp;$A57,AK56)</f>
        <v/>
      </c>
      <c r="AL57" s="0" t="str">
        <f aca="false">IF(AND($B57="D05",$C57="G6"),AL56&amp;IF(AL56="","",CHAR(10))&amp;$A57,AL56)</f>
        <v/>
      </c>
      <c r="AM57" s="0" t="str">
        <f aca="false">IF(AND($B57="D06",$C57="G0"),AM56&amp;IF(AM56="","",CHAR(10))&amp;$A57,AM56)</f>
        <v/>
      </c>
      <c r="AN57" s="0" t="str">
        <f aca="false">IF(AND($B57="D06",$C57="G1"),AN56&amp;IF(AN56="","",CHAR(10))&amp;$A57,AN56)</f>
        <v/>
      </c>
      <c r="AO57" s="0" t="str">
        <f aca="false">IF(AND($B57="D06",$C57="G2"),AO56&amp;IF(AO56="","",CHAR(10))&amp;$A57,AO56)</f>
        <v/>
      </c>
      <c r="AP57" s="363" t="str">
        <f aca="false">IF(AND($B57="D06",$C57="G3"),AP56&amp;IF(AP56="","",CHAR(10))&amp;$A57,AP56)</f>
        <v>◐ 033 HIS／EMR核心平台
◐ 036 臨床術語與主資料治理</v>
      </c>
      <c r="AQ57" s="363" t="str">
        <f aca="false">IF(AND($B57="D06",$C57="G4"),AQ56&amp;IF(AQ56="","",CHAR(10))&amp;$A57,AQ56)</f>
        <v>◐ 034 FHIR介接與API管理
○ 035 主病人索引與身分整合
◐ 037 電子醫囑、用藥與決策支援
◐ 038 資料平台、BI與營運指揮</v>
      </c>
      <c r="AR57" s="0" t="str">
        <f aca="false">IF(AND($B57="D06",$C57="G5"),AR56&amp;IF(AR56="","",CHAR(10))&amp;$A57,AR56)</f>
        <v>○ 039 病人入口、行動服務與VNeID準備</v>
      </c>
      <c r="AS57" s="0" t="str">
        <f aca="false">IF(AND($B57="D06",$C57="G6"),AS56&amp;IF(AS56="","",CHAR(10))&amp;$A57,AS56)</f>
        <v/>
      </c>
      <c r="AT57" s="0" t="str">
        <f aca="false">IF(AND($B57="D07",$C57="G0"),AT56&amp;IF(AT56="","",CHAR(10))&amp;$A57,AT56)</f>
        <v/>
      </c>
      <c r="AU57" s="0" t="str">
        <f aca="false">IF(AND($B57="D07",$C57="G1"),AU56&amp;IF(AU56="","",CHAR(10))&amp;$A57,AU56)</f>
        <v/>
      </c>
      <c r="AV57" s="0" t="str">
        <f aca="false">IF(AND($B57="D07",$C57="G2"),AV56&amp;IF(AV56="","",CHAR(10))&amp;$A57,AV56)</f>
        <v>◐ 040 品質管理與JCI路線圖</v>
      </c>
      <c r="AW57" s="363" t="str">
        <f aca="false">IF(AND($B57="D07",$C57="G3"),AW56&amp;IF(AW56="","",CHAR(10))&amp;$A57,AW56)</f>
        <v>◐ 041 感染預防與控制制度
◐ 043 事件通報與根因改善</v>
      </c>
      <c r="AX57" s="0" t="str">
        <f aca="false">IF(AND($B57="D07",$C57="G4"),AX56&amp;IF(AX56="","",CHAR(10))&amp;$A57,AX56)</f>
        <v>◐ 042 用藥安全閉環</v>
      </c>
      <c r="AY57" s="0" t="str">
        <f aca="false">IF(AND($B57="D07",$C57="G5"),AY56&amp;IF(AY56="","",CHAR(10))&amp;$A57,AY56)</f>
        <v>◐ 044 開院臨床安全驗證</v>
      </c>
      <c r="AZ57" s="0" t="str">
        <f aca="false">IF(AND($B57="D07",$C57="G6"),AZ56&amp;IF(AZ56="","",CHAR(10))&amp;$A57,AZ56)</f>
        <v/>
      </c>
      <c r="BA57" s="0" t="str">
        <f aca="false">IF(AND($B57="D08",$C57="G0"),BA56&amp;IF(BA56="","",CHAR(10))&amp;$A57,BA56)</f>
        <v/>
      </c>
      <c r="BB57" s="0" t="str">
        <f aca="false">IF(AND($B57="D08",$C57="G1"),BB56&amp;IF(BB56="","",CHAR(10))&amp;$A57,BB56)</f>
        <v/>
      </c>
      <c r="BC57" s="0" t="str">
        <f aca="false">IF(AND($B57="D08",$C57="G2"),BC56&amp;IF(BC56="","",CHAR(10))&amp;$A57,BC56)</f>
        <v>○ 045 人力與輪班模型</v>
      </c>
      <c r="BD57" s="0" t="str">
        <f aca="false">IF(AND($B57="D08",$C57="G3"),BD56&amp;IF(BD56="","",CHAR(10))&amp;$A57,BD56)</f>
        <v>◐ 046 職能矩陣與授權</v>
      </c>
      <c r="BE57" s="363" t="str">
        <f aca="false">IF(AND($B57="D08",$C57="G4"),BE56&amp;IF(BE56="","",CHAR(10))&amp;$A57,BE56)</f>
        <v>◐ 047 種子教師與技術移轉
◐ 049 變革管理與使用者採納</v>
      </c>
      <c r="BF57" s="0" t="str">
        <f aca="false">IF(AND($B57="D08",$C57="G5"),BF56&amp;IF(BF56="","",CHAR(10))&amp;$A57,BF56)</f>
        <v>◐ 048 模擬中心與開院演練</v>
      </c>
      <c r="BG57" s="0" t="str">
        <f aca="false">IF(AND($B57="D08",$C57="G6"),BG56&amp;IF(BG56="","",CHAR(10))&amp;$A57,BG56)</f>
        <v/>
      </c>
      <c r="BH57" s="0" t="str">
        <f aca="false">IF(AND($B57="D09",$C57="G0"),BH56&amp;IF(BH56="","",CHAR(10))&amp;$A57,BH56)</f>
        <v/>
      </c>
      <c r="BI57" s="0" t="str">
        <f aca="false">IF(AND($B57="D09",$C57="G1"),BI56&amp;IF(BI56="","",CHAR(10))&amp;$A57,BI56)</f>
        <v/>
      </c>
      <c r="BJ57" s="0" t="str">
        <f aca="false">IF(AND($B57="D09",$C57="G2"),BJ56&amp;IF(BJ56="","",CHAR(10))&amp;$A57,BJ56)</f>
        <v>◐ 050 整合採購與供應商治理</v>
      </c>
      <c r="BK57" s="0" t="str">
        <f aca="false">IF(AND($B57="D09",$C57="G3"),BK56&amp;IF(BK56="","",CHAR(10))&amp;$A57,BK56)</f>
        <v/>
      </c>
      <c r="BL57" s="363" t="str">
        <f aca="false">IF(AND($B57="D09",$C57="G4"),BL56&amp;IF(BL56="","",CHAR(10))&amp;$A57,BL56)</f>
        <v>◐ 051 藥品耗材與SPD物流
◐ 052 冷鏈與特殊物料
● 053 CMMS與設施維運</v>
      </c>
      <c r="BM57" s="0" t="str">
        <f aca="false">IF(AND($B57="D09",$C57="G5"),BM56&amp;IF(BM56="","",CHAR(10))&amp;$A57,BM56)</f>
        <v/>
      </c>
      <c r="BN57" s="0" t="str">
        <f aca="false">IF(AND($B57="D09",$C57="G6"),BN56&amp;IF(BN56="","",CHAR(10))&amp;$A57,BN56)</f>
        <v/>
      </c>
      <c r="BO57" s="0" t="str">
        <f aca="false">IF(AND($B57="D10",$C57="G0"),BO56&amp;IF(BO56="","",CHAR(10))&amp;$A57,BO56)</f>
        <v/>
      </c>
      <c r="BP57" s="0" t="str">
        <f aca="false">IF(AND($B57="D10",$C57="G1"),BP56&amp;IF(BP56="","",CHAR(10))&amp;$A57,BP56)</f>
        <v/>
      </c>
      <c r="BQ57" s="0" t="str">
        <f aca="false">IF(AND($B57="D10",$C57="G2"),BQ56&amp;IF(BQ56="","",CHAR(10))&amp;$A57,BQ56)</f>
        <v/>
      </c>
      <c r="BR57" s="0" t="str">
        <f aca="false">IF(AND($B57="D10",$C57="G3"),BR56&amp;IF(BR56="","",CHAR(10))&amp;$A57,BR56)</f>
        <v/>
      </c>
      <c r="BS57" s="0" t="str">
        <f aca="false">IF(AND($B57="D10",$C57="G4"),BS56&amp;IF(BS56="","",CHAR(10))&amp;$A57,BS56)</f>
        <v/>
      </c>
      <c r="BT57" s="0" t="str">
        <f aca="false">IF(AND($B57="D10",$C57="G5"),BT56&amp;IF(BT56="","",CHAR(10))&amp;$A57,BT56)</f>
        <v/>
      </c>
      <c r="BU57" s="0" t="str">
        <f aca="false">IF(AND($B57="D10",$C57="G6"),BU56&amp;IF(BU56="","",CHAR(10))&amp;$A57,BU56)</f>
        <v/>
      </c>
      <c r="BX57" s="0" t="str">
        <f aca="false">IF(AND(03_能力總表_Master!$A57&lt;&gt;"",LEFT(03_能力總表_Master!$H57,2)="缺口"),MAX($BX$4:BX56)+1,"")</f>
        <v/>
      </c>
      <c r="BY57" s="0" t="n">
        <f aca="false">IF(AND(03_能力總表_Master!$A57&lt;&gt;"",03_能力總表_Master!$J57=12_夥伴視角_PartnerView!$C$4),MAX($BY$4:BY56)+1,"")</f>
        <v>8</v>
      </c>
      <c r="CC57" s="0" t="str">
        <f aca="false">IF(AND(03_能力總表_Master!$A57&lt;&gt;"",IFERROR(INDEX(16_能力商機矩陣_CapOppMap!$D57:$CO57,MATCH(LEFT(17_商機作戰卡_OppView!$C$4,6),16_能力商機矩陣_CapOppMap!$D$4:$CO$4,0)),"")="✓"),MAX($CC$4:CC56)+1,"")</f>
        <v/>
      </c>
    </row>
    <row r="58" customFormat="false" ht="95.5" hidden="false" customHeight="false" outlineLevel="0" collapsed="false">
      <c r="A58" s="0" t="str">
        <f aca="false">IF(03_能力總表_Master!$A58="","",IF(LEFT(03_能力總表_Master!$H58,2)="群晶","● ",IF(ISNUMBER(SEARCH("已確認",03_能力總表_Master!$H58)),"◆ ",IF(ISNUMBER(SEARCH("缺口",03_能力總表_Master!$H58)),"○ ","◐ ")))&amp;RIGHT(03_能力總表_Master!$A58,3)&amp;" "&amp;03_能力總表_Master!$E58)</f>
        <v>◐ 054 在地備品、維修與汰換</v>
      </c>
      <c r="B58" s="0" t="str">
        <f aca="false">IF(03_能力總表_Master!$A58="","",LEFT(03_能力總表_Master!$B58,3))</f>
        <v>D09</v>
      </c>
      <c r="C58" s="0" t="str">
        <f aca="false">IF(03_能力總表_Master!$A58="","",03_能力總表_Master!$C58)</f>
        <v>G5</v>
      </c>
      <c r="D58" s="363" t="str">
        <f aca="false">IF(AND($B58="D01",$C58="G0"),D57&amp;IF(D57="","",CHAR(10))&amp;$A58,D57)</f>
        <v>◐ 001 政府授權與計畫章程
◐ 002 利害關係人與權力地圖
◐ 005 聯盟治理與利益衝突</v>
      </c>
      <c r="E58" s="363" t="str">
        <f aca="false">IF(AND($B58="D01",$C58="G1"),E57&amp;IF(E57="","",CHAR(10))&amp;$A58,E57)</f>
        <v>◐ 003 交易模式選擇
◐ 004 法規與執照路徑</v>
      </c>
      <c r="F58" s="0" t="str">
        <f aca="false">IF(AND($B58="D01",$C58="G2"),F57&amp;IF(F57="","",CHAR(10))&amp;$A58,F57)</f>
        <v>◐ 006 績效契約與變更控制</v>
      </c>
      <c r="G58" s="0" t="str">
        <f aca="false">IF(AND($B58="D01",$C58="G3"),G57&amp;IF(G57="","",CHAR(10))&amp;$A58,G57)</f>
        <v/>
      </c>
      <c r="H58" s="0" t="str">
        <f aca="false">IF(AND($B58="D01",$C58="G4"),H57&amp;IF(H57="","",CHAR(10))&amp;$A58,H57)</f>
        <v/>
      </c>
      <c r="I58" s="0" t="str">
        <f aca="false">IF(AND($B58="D01",$C58="G5"),I57&amp;IF(I57="","",CHAR(10))&amp;$A58,I57)</f>
        <v/>
      </c>
      <c r="J58" s="0" t="str">
        <f aca="false">IF(AND($B58="D01",$C58="G6"),J57&amp;IF(J57="","",CHAR(10))&amp;$A58,J57)</f>
        <v/>
      </c>
      <c r="K58" s="0" t="str">
        <f aca="false">IF(AND($B58="D02",$C58="G0"),K57&amp;IF(K57="","",CHAR(10))&amp;$A58,K57)</f>
        <v/>
      </c>
      <c r="L58" s="363" t="str">
        <f aca="false">IF(AND($B58="D02",$C58="G1"),L57&amp;IF(L57="","",CHAR(10))&amp;$A58,L57)</f>
        <v>◐ 007 人口需求與病例量預測
◐ 008 醫院定位與服務組合
◐ 009 重點專科優先化
◐ 010 病人流程與容量設計
◐ 011 轉診與區域照護網絡
◐ 012 臨床治理與責任架構</v>
      </c>
      <c r="M58" s="0" t="str">
        <f aca="false">IF(AND($B58="D02",$C58="G2"),M57&amp;IF(M57="","",CHAR(10))&amp;$A58,M57)</f>
        <v/>
      </c>
      <c r="N58" s="0" t="str">
        <f aca="false">IF(AND($B58="D02",$C58="G3"),N57&amp;IF(N57="","",CHAR(10))&amp;$A58,N57)</f>
        <v/>
      </c>
      <c r="O58" s="0" t="str">
        <f aca="false">IF(AND($B58="D02",$C58="G4"),O57&amp;IF(O57="","",CHAR(10))&amp;$A58,O57)</f>
        <v/>
      </c>
      <c r="P58" s="0" t="str">
        <f aca="false">IF(AND($B58="D02",$C58="G5"),P57&amp;IF(P57="","",CHAR(10))&amp;$A58,P57)</f>
        <v/>
      </c>
      <c r="Q58" s="0" t="str">
        <f aca="false">IF(AND($B58="D02",$C58="G6"),Q57&amp;IF(Q57="","",CHAR(10))&amp;$A58,Q57)</f>
        <v/>
      </c>
      <c r="R58" s="0" t="str">
        <f aca="false">IF(AND($B58="D03",$C58="G0"),R57&amp;IF(R57="","",CHAR(10))&amp;$A58,R57)</f>
        <v/>
      </c>
      <c r="S58" s="0" t="str">
        <f aca="false">IF(AND($B58="D03",$C58="G1"),S57&amp;IF(S57="","",CHAR(10))&amp;$A58,S57)</f>
        <v>◐ 013 場址與醫院總體規劃</v>
      </c>
      <c r="T58" s="363" t="str">
        <f aca="false">IF(AND($B58="D03",$C58="G2"),T57&amp;IF(T57="","",CHAR(10))&amp;$A58,T57)</f>
        <v>◐ 014 醫療建築功能計畫
◐ 015 感染控制與潔污動線
◐ 019 綠色與氣候韌性醫院</v>
      </c>
      <c r="U58" s="363" t="str">
        <f aca="false">IF(AND($B58="D03",$C58="G3"),U57&amp;IF(U57="","",CHAR(10))&amp;$A58,U57)</f>
        <v>● 016 電力、備援與微電網
◐ 017 醫療氣體與關鍵公用系統
◐ 018 醫療廢棄物與水資源</v>
      </c>
      <c r="V58" s="0" t="str">
        <f aca="false">IF(AND($B58="D03",$C58="G4"),V57&amp;IF(V57="","",CHAR(10))&amp;$A58,V57)</f>
        <v/>
      </c>
      <c r="W58" s="0" t="str">
        <f aca="false">IF(AND($B58="D03",$C58="G5"),W57&amp;IF(W57="","",CHAR(10))&amp;$A58,W57)</f>
        <v/>
      </c>
      <c r="X58" s="0" t="str">
        <f aca="false">IF(AND($B58="D03",$C58="G6"),X57&amp;IF(X57="","",CHAR(10))&amp;$A58,X57)</f>
        <v/>
      </c>
      <c r="Y58" s="0" t="str">
        <f aca="false">IF(AND($B58="D04",$C58="G0"),Y57&amp;IF(Y57="","",CHAR(10))&amp;$A58,Y57)</f>
        <v/>
      </c>
      <c r="Z58" s="0" t="str">
        <f aca="false">IF(AND($B58="D04",$C58="G1"),Z57&amp;IF(Z57="","",CHAR(10))&amp;$A58,Z57)</f>
        <v/>
      </c>
      <c r="AA58" s="0" t="str">
        <f aca="false">IF(AND($B58="D04",$C58="G2"),AA57&amp;IF(AA57="","",CHAR(10))&amp;$A58,AA57)</f>
        <v/>
      </c>
      <c r="AB58" s="0" t="str">
        <f aca="false">IF(AND($B58="D04",$C58="G3"),AB57&amp;IF(AB57="","",CHAR(10))&amp;$A58,AB57)</f>
        <v>● 020 IDC與邊緣運算底座</v>
      </c>
      <c r="AC58" s="363" t="str">
        <f aca="false">IF(AND($B58="D04",$C58="G4"),AC57&amp;IF(AC57="","",CHAR(10))&amp;$A58,AC57)</f>
        <v>● 021 有線無線網路與分區
◐ 022 資安營運與零信任
● 023 BMS與能源管理
● 024 RTLS與資產／人員定位
● 025 智慧病房、護理呼叫與感測
● 026 災難復原與營運持續</v>
      </c>
      <c r="AD58" s="0" t="str">
        <f aca="false">IF(AND($B58="D04",$C58="G5"),AD57&amp;IF(AD57="","",CHAR(10))&amp;$A58,AD57)</f>
        <v/>
      </c>
      <c r="AE58" s="0" t="str">
        <f aca="false">IF(AND($B58="D04",$C58="G6"),AE57&amp;IF(AE57="","",CHAR(10))&amp;$A58,AE57)</f>
        <v/>
      </c>
      <c r="AF58" s="0" t="str">
        <f aca="false">IF(AND($B58="D05",$C58="G0"),AF57&amp;IF(AF57="","",CHAR(10))&amp;$A58,AF57)</f>
        <v/>
      </c>
      <c r="AG58" s="0" t="str">
        <f aca="false">IF(AND($B58="D05",$C58="G1"),AG57&amp;IF(AG57="","",CHAR(10))&amp;$A58,AG57)</f>
        <v/>
      </c>
      <c r="AH58" s="0" t="str">
        <f aca="false">IF(AND($B58="D05",$C58="G2"),AH57&amp;IF(AH57="","",CHAR(10))&amp;$A58,AH57)</f>
        <v>◐ 027 醫材需求與設備計畫</v>
      </c>
      <c r="AI58" s="0" t="str">
        <f aca="false">IF(AND($B58="D05",$C58="G3"),AI57&amp;IF(AI57="","",CHAR(10))&amp;$A58,AI57)</f>
        <v/>
      </c>
      <c r="AJ58" s="363" t="str">
        <f aca="false">IF(AND($B58="D05",$C58="G4"),AJ57&amp;IF(AJ57="","",CHAR(10))&amp;$A58,AJ57)</f>
        <v>○ 028 影像設備、PACS與報告流程
○ 029 實驗室自動化與LIS
○ 030 手術室與重症整合
◐ 031 醫材介接與裝置身分
◐ 032 醫療工程與設備生命週期</v>
      </c>
      <c r="AK58" s="0" t="str">
        <f aca="false">IF(AND($B58="D05",$C58="G5"),AK57&amp;IF(AK57="","",CHAR(10))&amp;$A58,AK57)</f>
        <v/>
      </c>
      <c r="AL58" s="0" t="str">
        <f aca="false">IF(AND($B58="D05",$C58="G6"),AL57&amp;IF(AL57="","",CHAR(10))&amp;$A58,AL57)</f>
        <v/>
      </c>
      <c r="AM58" s="0" t="str">
        <f aca="false">IF(AND($B58="D06",$C58="G0"),AM57&amp;IF(AM57="","",CHAR(10))&amp;$A58,AM57)</f>
        <v/>
      </c>
      <c r="AN58" s="0" t="str">
        <f aca="false">IF(AND($B58="D06",$C58="G1"),AN57&amp;IF(AN57="","",CHAR(10))&amp;$A58,AN57)</f>
        <v/>
      </c>
      <c r="AO58" s="0" t="str">
        <f aca="false">IF(AND($B58="D06",$C58="G2"),AO57&amp;IF(AO57="","",CHAR(10))&amp;$A58,AO57)</f>
        <v/>
      </c>
      <c r="AP58" s="363" t="str">
        <f aca="false">IF(AND($B58="D06",$C58="G3"),AP57&amp;IF(AP57="","",CHAR(10))&amp;$A58,AP57)</f>
        <v>◐ 033 HIS／EMR核心平台
◐ 036 臨床術語與主資料治理</v>
      </c>
      <c r="AQ58" s="363" t="str">
        <f aca="false">IF(AND($B58="D06",$C58="G4"),AQ57&amp;IF(AQ57="","",CHAR(10))&amp;$A58,AQ57)</f>
        <v>◐ 034 FHIR介接與API管理
○ 035 主病人索引與身分整合
◐ 037 電子醫囑、用藥與決策支援
◐ 038 資料平台、BI與營運指揮</v>
      </c>
      <c r="AR58" s="0" t="str">
        <f aca="false">IF(AND($B58="D06",$C58="G5"),AR57&amp;IF(AR57="","",CHAR(10))&amp;$A58,AR57)</f>
        <v>○ 039 病人入口、行動服務與VNeID準備</v>
      </c>
      <c r="AS58" s="0" t="str">
        <f aca="false">IF(AND($B58="D06",$C58="G6"),AS57&amp;IF(AS57="","",CHAR(10))&amp;$A58,AS57)</f>
        <v/>
      </c>
      <c r="AT58" s="0" t="str">
        <f aca="false">IF(AND($B58="D07",$C58="G0"),AT57&amp;IF(AT57="","",CHAR(10))&amp;$A58,AT57)</f>
        <v/>
      </c>
      <c r="AU58" s="0" t="str">
        <f aca="false">IF(AND($B58="D07",$C58="G1"),AU57&amp;IF(AU57="","",CHAR(10))&amp;$A58,AU57)</f>
        <v/>
      </c>
      <c r="AV58" s="0" t="str">
        <f aca="false">IF(AND($B58="D07",$C58="G2"),AV57&amp;IF(AV57="","",CHAR(10))&amp;$A58,AV57)</f>
        <v>◐ 040 品質管理與JCI路線圖</v>
      </c>
      <c r="AW58" s="363" t="str">
        <f aca="false">IF(AND($B58="D07",$C58="G3"),AW57&amp;IF(AW57="","",CHAR(10))&amp;$A58,AW57)</f>
        <v>◐ 041 感染預防與控制制度
◐ 043 事件通報與根因改善</v>
      </c>
      <c r="AX58" s="0" t="str">
        <f aca="false">IF(AND($B58="D07",$C58="G4"),AX57&amp;IF(AX57="","",CHAR(10))&amp;$A58,AX57)</f>
        <v>◐ 042 用藥安全閉環</v>
      </c>
      <c r="AY58" s="0" t="str">
        <f aca="false">IF(AND($B58="D07",$C58="G5"),AY57&amp;IF(AY57="","",CHAR(10))&amp;$A58,AY57)</f>
        <v>◐ 044 開院臨床安全驗證</v>
      </c>
      <c r="AZ58" s="0" t="str">
        <f aca="false">IF(AND($B58="D07",$C58="G6"),AZ57&amp;IF(AZ57="","",CHAR(10))&amp;$A58,AZ57)</f>
        <v/>
      </c>
      <c r="BA58" s="0" t="str">
        <f aca="false">IF(AND($B58="D08",$C58="G0"),BA57&amp;IF(BA57="","",CHAR(10))&amp;$A58,BA57)</f>
        <v/>
      </c>
      <c r="BB58" s="0" t="str">
        <f aca="false">IF(AND($B58="D08",$C58="G1"),BB57&amp;IF(BB57="","",CHAR(10))&amp;$A58,BB57)</f>
        <v/>
      </c>
      <c r="BC58" s="0" t="str">
        <f aca="false">IF(AND($B58="D08",$C58="G2"),BC57&amp;IF(BC57="","",CHAR(10))&amp;$A58,BC57)</f>
        <v>○ 045 人力與輪班模型</v>
      </c>
      <c r="BD58" s="0" t="str">
        <f aca="false">IF(AND($B58="D08",$C58="G3"),BD57&amp;IF(BD57="","",CHAR(10))&amp;$A58,BD57)</f>
        <v>◐ 046 職能矩陣與授權</v>
      </c>
      <c r="BE58" s="363" t="str">
        <f aca="false">IF(AND($B58="D08",$C58="G4"),BE57&amp;IF(BE57="","",CHAR(10))&amp;$A58,BE57)</f>
        <v>◐ 047 種子教師與技術移轉
◐ 049 變革管理與使用者採納</v>
      </c>
      <c r="BF58" s="0" t="str">
        <f aca="false">IF(AND($B58="D08",$C58="G5"),BF57&amp;IF(BF57="","",CHAR(10))&amp;$A58,BF57)</f>
        <v>◐ 048 模擬中心與開院演練</v>
      </c>
      <c r="BG58" s="0" t="str">
        <f aca="false">IF(AND($B58="D08",$C58="G6"),BG57&amp;IF(BG57="","",CHAR(10))&amp;$A58,BG57)</f>
        <v/>
      </c>
      <c r="BH58" s="0" t="str">
        <f aca="false">IF(AND($B58="D09",$C58="G0"),BH57&amp;IF(BH57="","",CHAR(10))&amp;$A58,BH57)</f>
        <v/>
      </c>
      <c r="BI58" s="0" t="str">
        <f aca="false">IF(AND($B58="D09",$C58="G1"),BI57&amp;IF(BI57="","",CHAR(10))&amp;$A58,BI57)</f>
        <v/>
      </c>
      <c r="BJ58" s="0" t="str">
        <f aca="false">IF(AND($B58="D09",$C58="G2"),BJ57&amp;IF(BJ57="","",CHAR(10))&amp;$A58,BJ57)</f>
        <v>◐ 050 整合採購與供應商治理</v>
      </c>
      <c r="BK58" s="0" t="str">
        <f aca="false">IF(AND($B58="D09",$C58="G3"),BK57&amp;IF(BK57="","",CHAR(10))&amp;$A58,BK57)</f>
        <v/>
      </c>
      <c r="BL58" s="363" t="str">
        <f aca="false">IF(AND($B58="D09",$C58="G4"),BL57&amp;IF(BL57="","",CHAR(10))&amp;$A58,BL57)</f>
        <v>◐ 051 藥品耗材與SPD物流
◐ 052 冷鏈與特殊物料
● 053 CMMS與設施維運</v>
      </c>
      <c r="BM58" s="0" t="str">
        <f aca="false">IF(AND($B58="D09",$C58="G5"),BM57&amp;IF(BM57="","",CHAR(10))&amp;$A58,BM57)</f>
        <v>◐ 054 在地備品、維修與汰換</v>
      </c>
      <c r="BN58" s="0" t="str">
        <f aca="false">IF(AND($B58="D09",$C58="G6"),BN57&amp;IF(BN57="","",CHAR(10))&amp;$A58,BN57)</f>
        <v/>
      </c>
      <c r="BO58" s="0" t="str">
        <f aca="false">IF(AND($B58="D10",$C58="G0"),BO57&amp;IF(BO57="","",CHAR(10))&amp;$A58,BO57)</f>
        <v/>
      </c>
      <c r="BP58" s="0" t="str">
        <f aca="false">IF(AND($B58="D10",$C58="G1"),BP57&amp;IF(BP57="","",CHAR(10))&amp;$A58,BP57)</f>
        <v/>
      </c>
      <c r="BQ58" s="0" t="str">
        <f aca="false">IF(AND($B58="D10",$C58="G2"),BQ57&amp;IF(BQ57="","",CHAR(10))&amp;$A58,BQ57)</f>
        <v/>
      </c>
      <c r="BR58" s="0" t="str">
        <f aca="false">IF(AND($B58="D10",$C58="G3"),BR57&amp;IF(BR57="","",CHAR(10))&amp;$A58,BR57)</f>
        <v/>
      </c>
      <c r="BS58" s="0" t="str">
        <f aca="false">IF(AND($B58="D10",$C58="G4"),BS57&amp;IF(BS57="","",CHAR(10))&amp;$A58,BS57)</f>
        <v/>
      </c>
      <c r="BT58" s="0" t="str">
        <f aca="false">IF(AND($B58="D10",$C58="G5"),BT57&amp;IF(BT57="","",CHAR(10))&amp;$A58,BT57)</f>
        <v/>
      </c>
      <c r="BU58" s="0" t="str">
        <f aca="false">IF(AND($B58="D10",$C58="G6"),BU57&amp;IF(BU57="","",CHAR(10))&amp;$A58,BU57)</f>
        <v/>
      </c>
      <c r="BX58" s="0" t="str">
        <f aca="false">IF(AND(03_能力總表_Master!$A58&lt;&gt;"",LEFT(03_能力總表_Master!$H58,2)="缺口"),MAX($BX$4:BX57)+1,"")</f>
        <v/>
      </c>
      <c r="BY58" s="0" t="str">
        <f aca="false">IF(AND(03_能力總表_Master!$A58&lt;&gt;"",03_能力總表_Master!$J58=12_夥伴視角_PartnerView!$C$4),MAX($BY$4:BY57)+1,"")</f>
        <v/>
      </c>
      <c r="CC58" s="0" t="str">
        <f aca="false">IF(AND(03_能力總表_Master!$A58&lt;&gt;"",IFERROR(INDEX(16_能力商機矩陣_CapOppMap!$D58:$CO58,MATCH(LEFT(17_商機作戰卡_OppView!$C$4,6),16_能力商機矩陣_CapOppMap!$D$4:$CO$4,0)),"")="✓"),MAX($CC$4:CC57)+1,"")</f>
        <v/>
      </c>
    </row>
    <row r="59" customFormat="false" ht="95.5" hidden="false" customHeight="false" outlineLevel="0" collapsed="false">
      <c r="A59" s="0" t="str">
        <f aca="false">IF(03_能力總表_Master!$A59="","",IF(LEFT(03_能力總表_Master!$H59,2)="群晶","● ",IF(ISNUMBER(SEARCH("已確認",03_能力總表_Master!$H59)),"◆ ",IF(ISNUMBER(SEARCH("缺口",03_能力總表_Master!$H59)),"○ ","◐ ")))&amp;RIGHT(03_能力總表_Master!$A59,3)&amp;" "&amp;03_能力總表_Master!$E59)</f>
        <v>◐ 055 全生命週期成本模型</v>
      </c>
      <c r="B59" s="0" t="str">
        <f aca="false">IF(03_能力總表_Master!$A59="","",LEFT(03_能力總表_Master!$B59,3))</f>
        <v>D10</v>
      </c>
      <c r="C59" s="0" t="str">
        <f aca="false">IF(03_能力總表_Master!$A59="","",03_能力總表_Master!$C59)</f>
        <v>G1</v>
      </c>
      <c r="D59" s="363" t="str">
        <f aca="false">IF(AND($B59="D01",$C59="G0"),D58&amp;IF(D58="","",CHAR(10))&amp;$A59,D58)</f>
        <v>◐ 001 政府授權與計畫章程
◐ 002 利害關係人與權力地圖
◐ 005 聯盟治理與利益衝突</v>
      </c>
      <c r="E59" s="363" t="str">
        <f aca="false">IF(AND($B59="D01",$C59="G1"),E58&amp;IF(E58="","",CHAR(10))&amp;$A59,E58)</f>
        <v>◐ 003 交易模式選擇
◐ 004 法規與執照路徑</v>
      </c>
      <c r="F59" s="0" t="str">
        <f aca="false">IF(AND($B59="D01",$C59="G2"),F58&amp;IF(F58="","",CHAR(10))&amp;$A59,F58)</f>
        <v>◐ 006 績效契約與變更控制</v>
      </c>
      <c r="G59" s="0" t="str">
        <f aca="false">IF(AND($B59="D01",$C59="G3"),G58&amp;IF(G58="","",CHAR(10))&amp;$A59,G58)</f>
        <v/>
      </c>
      <c r="H59" s="0" t="str">
        <f aca="false">IF(AND($B59="D01",$C59="G4"),H58&amp;IF(H58="","",CHAR(10))&amp;$A59,H58)</f>
        <v/>
      </c>
      <c r="I59" s="0" t="str">
        <f aca="false">IF(AND($B59="D01",$C59="G5"),I58&amp;IF(I58="","",CHAR(10))&amp;$A59,I58)</f>
        <v/>
      </c>
      <c r="J59" s="0" t="str">
        <f aca="false">IF(AND($B59="D01",$C59="G6"),J58&amp;IF(J58="","",CHAR(10))&amp;$A59,J58)</f>
        <v/>
      </c>
      <c r="K59" s="0" t="str">
        <f aca="false">IF(AND($B59="D02",$C59="G0"),K58&amp;IF(K58="","",CHAR(10))&amp;$A59,K58)</f>
        <v/>
      </c>
      <c r="L59" s="363" t="str">
        <f aca="false">IF(AND($B59="D02",$C59="G1"),L58&amp;IF(L58="","",CHAR(10))&amp;$A59,L58)</f>
        <v>◐ 007 人口需求與病例量預測
◐ 008 醫院定位與服務組合
◐ 009 重點專科優先化
◐ 010 病人流程與容量設計
◐ 011 轉診與區域照護網絡
◐ 012 臨床治理與責任架構</v>
      </c>
      <c r="M59" s="0" t="str">
        <f aca="false">IF(AND($B59="D02",$C59="G2"),M58&amp;IF(M58="","",CHAR(10))&amp;$A59,M58)</f>
        <v/>
      </c>
      <c r="N59" s="0" t="str">
        <f aca="false">IF(AND($B59="D02",$C59="G3"),N58&amp;IF(N58="","",CHAR(10))&amp;$A59,N58)</f>
        <v/>
      </c>
      <c r="O59" s="0" t="str">
        <f aca="false">IF(AND($B59="D02",$C59="G4"),O58&amp;IF(O58="","",CHAR(10))&amp;$A59,O58)</f>
        <v/>
      </c>
      <c r="P59" s="0" t="str">
        <f aca="false">IF(AND($B59="D02",$C59="G5"),P58&amp;IF(P58="","",CHAR(10))&amp;$A59,P58)</f>
        <v/>
      </c>
      <c r="Q59" s="0" t="str">
        <f aca="false">IF(AND($B59="D02",$C59="G6"),Q58&amp;IF(Q58="","",CHAR(10))&amp;$A59,Q58)</f>
        <v/>
      </c>
      <c r="R59" s="0" t="str">
        <f aca="false">IF(AND($B59="D03",$C59="G0"),R58&amp;IF(R58="","",CHAR(10))&amp;$A59,R58)</f>
        <v/>
      </c>
      <c r="S59" s="0" t="str">
        <f aca="false">IF(AND($B59="D03",$C59="G1"),S58&amp;IF(S58="","",CHAR(10))&amp;$A59,S58)</f>
        <v>◐ 013 場址與醫院總體規劃</v>
      </c>
      <c r="T59" s="363" t="str">
        <f aca="false">IF(AND($B59="D03",$C59="G2"),T58&amp;IF(T58="","",CHAR(10))&amp;$A59,T58)</f>
        <v>◐ 014 醫療建築功能計畫
◐ 015 感染控制與潔污動線
◐ 019 綠色與氣候韌性醫院</v>
      </c>
      <c r="U59" s="363" t="str">
        <f aca="false">IF(AND($B59="D03",$C59="G3"),U58&amp;IF(U58="","",CHAR(10))&amp;$A59,U58)</f>
        <v>● 016 電力、備援與微電網
◐ 017 醫療氣體與關鍵公用系統
◐ 018 醫療廢棄物與水資源</v>
      </c>
      <c r="V59" s="0" t="str">
        <f aca="false">IF(AND($B59="D03",$C59="G4"),V58&amp;IF(V58="","",CHAR(10))&amp;$A59,V58)</f>
        <v/>
      </c>
      <c r="W59" s="0" t="str">
        <f aca="false">IF(AND($B59="D03",$C59="G5"),W58&amp;IF(W58="","",CHAR(10))&amp;$A59,W58)</f>
        <v/>
      </c>
      <c r="X59" s="0" t="str">
        <f aca="false">IF(AND($B59="D03",$C59="G6"),X58&amp;IF(X58="","",CHAR(10))&amp;$A59,X58)</f>
        <v/>
      </c>
      <c r="Y59" s="0" t="str">
        <f aca="false">IF(AND($B59="D04",$C59="G0"),Y58&amp;IF(Y58="","",CHAR(10))&amp;$A59,Y58)</f>
        <v/>
      </c>
      <c r="Z59" s="0" t="str">
        <f aca="false">IF(AND($B59="D04",$C59="G1"),Z58&amp;IF(Z58="","",CHAR(10))&amp;$A59,Z58)</f>
        <v/>
      </c>
      <c r="AA59" s="0" t="str">
        <f aca="false">IF(AND($B59="D04",$C59="G2"),AA58&amp;IF(AA58="","",CHAR(10))&amp;$A59,AA58)</f>
        <v/>
      </c>
      <c r="AB59" s="0" t="str">
        <f aca="false">IF(AND($B59="D04",$C59="G3"),AB58&amp;IF(AB58="","",CHAR(10))&amp;$A59,AB58)</f>
        <v>● 020 IDC與邊緣運算底座</v>
      </c>
      <c r="AC59" s="363" t="str">
        <f aca="false">IF(AND($B59="D04",$C59="G4"),AC58&amp;IF(AC58="","",CHAR(10))&amp;$A59,AC58)</f>
        <v>● 021 有線無線網路與分區
◐ 022 資安營運與零信任
● 023 BMS與能源管理
● 024 RTLS與資產／人員定位
● 025 智慧病房、護理呼叫與感測
● 026 災難復原與營運持續</v>
      </c>
      <c r="AD59" s="0" t="str">
        <f aca="false">IF(AND($B59="D04",$C59="G5"),AD58&amp;IF(AD58="","",CHAR(10))&amp;$A59,AD58)</f>
        <v/>
      </c>
      <c r="AE59" s="0" t="str">
        <f aca="false">IF(AND($B59="D04",$C59="G6"),AE58&amp;IF(AE58="","",CHAR(10))&amp;$A59,AE58)</f>
        <v/>
      </c>
      <c r="AF59" s="0" t="str">
        <f aca="false">IF(AND($B59="D05",$C59="G0"),AF58&amp;IF(AF58="","",CHAR(10))&amp;$A59,AF58)</f>
        <v/>
      </c>
      <c r="AG59" s="0" t="str">
        <f aca="false">IF(AND($B59="D05",$C59="G1"),AG58&amp;IF(AG58="","",CHAR(10))&amp;$A59,AG58)</f>
        <v/>
      </c>
      <c r="AH59" s="0" t="str">
        <f aca="false">IF(AND($B59="D05",$C59="G2"),AH58&amp;IF(AH58="","",CHAR(10))&amp;$A59,AH58)</f>
        <v>◐ 027 醫材需求與設備計畫</v>
      </c>
      <c r="AI59" s="0" t="str">
        <f aca="false">IF(AND($B59="D05",$C59="G3"),AI58&amp;IF(AI58="","",CHAR(10))&amp;$A59,AI58)</f>
        <v/>
      </c>
      <c r="AJ59" s="363" t="str">
        <f aca="false">IF(AND($B59="D05",$C59="G4"),AJ58&amp;IF(AJ58="","",CHAR(10))&amp;$A59,AJ58)</f>
        <v>○ 028 影像設備、PACS與報告流程
○ 029 實驗室自動化與LIS
○ 030 手術室與重症整合
◐ 031 醫材介接與裝置身分
◐ 032 醫療工程與設備生命週期</v>
      </c>
      <c r="AK59" s="0" t="str">
        <f aca="false">IF(AND($B59="D05",$C59="G5"),AK58&amp;IF(AK58="","",CHAR(10))&amp;$A59,AK58)</f>
        <v/>
      </c>
      <c r="AL59" s="0" t="str">
        <f aca="false">IF(AND($B59="D05",$C59="G6"),AL58&amp;IF(AL58="","",CHAR(10))&amp;$A59,AL58)</f>
        <v/>
      </c>
      <c r="AM59" s="0" t="str">
        <f aca="false">IF(AND($B59="D06",$C59="G0"),AM58&amp;IF(AM58="","",CHAR(10))&amp;$A59,AM58)</f>
        <v/>
      </c>
      <c r="AN59" s="0" t="str">
        <f aca="false">IF(AND($B59="D06",$C59="G1"),AN58&amp;IF(AN58="","",CHAR(10))&amp;$A59,AN58)</f>
        <v/>
      </c>
      <c r="AO59" s="0" t="str">
        <f aca="false">IF(AND($B59="D06",$C59="G2"),AO58&amp;IF(AO58="","",CHAR(10))&amp;$A59,AO58)</f>
        <v/>
      </c>
      <c r="AP59" s="363" t="str">
        <f aca="false">IF(AND($B59="D06",$C59="G3"),AP58&amp;IF(AP58="","",CHAR(10))&amp;$A59,AP58)</f>
        <v>◐ 033 HIS／EMR核心平台
◐ 036 臨床術語與主資料治理</v>
      </c>
      <c r="AQ59" s="363" t="str">
        <f aca="false">IF(AND($B59="D06",$C59="G4"),AQ58&amp;IF(AQ58="","",CHAR(10))&amp;$A59,AQ58)</f>
        <v>◐ 034 FHIR介接與API管理
○ 035 主病人索引與身分整合
◐ 037 電子醫囑、用藥與決策支援
◐ 038 資料平台、BI與營運指揮</v>
      </c>
      <c r="AR59" s="0" t="str">
        <f aca="false">IF(AND($B59="D06",$C59="G5"),AR58&amp;IF(AR58="","",CHAR(10))&amp;$A59,AR58)</f>
        <v>○ 039 病人入口、行動服務與VNeID準備</v>
      </c>
      <c r="AS59" s="0" t="str">
        <f aca="false">IF(AND($B59="D06",$C59="G6"),AS58&amp;IF(AS58="","",CHAR(10))&amp;$A59,AS58)</f>
        <v/>
      </c>
      <c r="AT59" s="0" t="str">
        <f aca="false">IF(AND($B59="D07",$C59="G0"),AT58&amp;IF(AT58="","",CHAR(10))&amp;$A59,AT58)</f>
        <v/>
      </c>
      <c r="AU59" s="0" t="str">
        <f aca="false">IF(AND($B59="D07",$C59="G1"),AU58&amp;IF(AU58="","",CHAR(10))&amp;$A59,AU58)</f>
        <v/>
      </c>
      <c r="AV59" s="0" t="str">
        <f aca="false">IF(AND($B59="D07",$C59="G2"),AV58&amp;IF(AV58="","",CHAR(10))&amp;$A59,AV58)</f>
        <v>◐ 040 品質管理與JCI路線圖</v>
      </c>
      <c r="AW59" s="363" t="str">
        <f aca="false">IF(AND($B59="D07",$C59="G3"),AW58&amp;IF(AW58="","",CHAR(10))&amp;$A59,AW58)</f>
        <v>◐ 041 感染預防與控制制度
◐ 043 事件通報與根因改善</v>
      </c>
      <c r="AX59" s="0" t="str">
        <f aca="false">IF(AND($B59="D07",$C59="G4"),AX58&amp;IF(AX58="","",CHAR(10))&amp;$A59,AX58)</f>
        <v>◐ 042 用藥安全閉環</v>
      </c>
      <c r="AY59" s="0" t="str">
        <f aca="false">IF(AND($B59="D07",$C59="G5"),AY58&amp;IF(AY58="","",CHAR(10))&amp;$A59,AY58)</f>
        <v>◐ 044 開院臨床安全驗證</v>
      </c>
      <c r="AZ59" s="0" t="str">
        <f aca="false">IF(AND($B59="D07",$C59="G6"),AZ58&amp;IF(AZ58="","",CHAR(10))&amp;$A59,AZ58)</f>
        <v/>
      </c>
      <c r="BA59" s="0" t="str">
        <f aca="false">IF(AND($B59="D08",$C59="G0"),BA58&amp;IF(BA58="","",CHAR(10))&amp;$A59,BA58)</f>
        <v/>
      </c>
      <c r="BB59" s="0" t="str">
        <f aca="false">IF(AND($B59="D08",$C59="G1"),BB58&amp;IF(BB58="","",CHAR(10))&amp;$A59,BB58)</f>
        <v/>
      </c>
      <c r="BC59" s="0" t="str">
        <f aca="false">IF(AND($B59="D08",$C59="G2"),BC58&amp;IF(BC58="","",CHAR(10))&amp;$A59,BC58)</f>
        <v>○ 045 人力與輪班模型</v>
      </c>
      <c r="BD59" s="0" t="str">
        <f aca="false">IF(AND($B59="D08",$C59="G3"),BD58&amp;IF(BD58="","",CHAR(10))&amp;$A59,BD58)</f>
        <v>◐ 046 職能矩陣與授權</v>
      </c>
      <c r="BE59" s="363" t="str">
        <f aca="false">IF(AND($B59="D08",$C59="G4"),BE58&amp;IF(BE58="","",CHAR(10))&amp;$A59,BE58)</f>
        <v>◐ 047 種子教師與技術移轉
◐ 049 變革管理與使用者採納</v>
      </c>
      <c r="BF59" s="0" t="str">
        <f aca="false">IF(AND($B59="D08",$C59="G5"),BF58&amp;IF(BF58="","",CHAR(10))&amp;$A59,BF58)</f>
        <v>◐ 048 模擬中心與開院演練</v>
      </c>
      <c r="BG59" s="0" t="str">
        <f aca="false">IF(AND($B59="D08",$C59="G6"),BG58&amp;IF(BG58="","",CHAR(10))&amp;$A59,BG58)</f>
        <v/>
      </c>
      <c r="BH59" s="0" t="str">
        <f aca="false">IF(AND($B59="D09",$C59="G0"),BH58&amp;IF(BH58="","",CHAR(10))&amp;$A59,BH58)</f>
        <v/>
      </c>
      <c r="BI59" s="0" t="str">
        <f aca="false">IF(AND($B59="D09",$C59="G1"),BI58&amp;IF(BI58="","",CHAR(10))&amp;$A59,BI58)</f>
        <v/>
      </c>
      <c r="BJ59" s="0" t="str">
        <f aca="false">IF(AND($B59="D09",$C59="G2"),BJ58&amp;IF(BJ58="","",CHAR(10))&amp;$A59,BJ58)</f>
        <v>◐ 050 整合採購與供應商治理</v>
      </c>
      <c r="BK59" s="0" t="str">
        <f aca="false">IF(AND($B59="D09",$C59="G3"),BK58&amp;IF(BK58="","",CHAR(10))&amp;$A59,BK58)</f>
        <v/>
      </c>
      <c r="BL59" s="363" t="str">
        <f aca="false">IF(AND($B59="D09",$C59="G4"),BL58&amp;IF(BL58="","",CHAR(10))&amp;$A59,BL58)</f>
        <v>◐ 051 藥品耗材與SPD物流
◐ 052 冷鏈與特殊物料
● 053 CMMS與設施維運</v>
      </c>
      <c r="BM59" s="0" t="str">
        <f aca="false">IF(AND($B59="D09",$C59="G5"),BM58&amp;IF(BM58="","",CHAR(10))&amp;$A59,BM58)</f>
        <v>◐ 054 在地備品、維修與汰換</v>
      </c>
      <c r="BN59" s="0" t="str">
        <f aca="false">IF(AND($B59="D09",$C59="G6"),BN58&amp;IF(BN58="","",CHAR(10))&amp;$A59,BN58)</f>
        <v/>
      </c>
      <c r="BO59" s="0" t="str">
        <f aca="false">IF(AND($B59="D10",$C59="G0"),BO58&amp;IF(BO58="","",CHAR(10))&amp;$A59,BO58)</f>
        <v/>
      </c>
      <c r="BP59" s="0" t="str">
        <f aca="false">IF(AND($B59="D10",$C59="G1"),BP58&amp;IF(BP58="","",CHAR(10))&amp;$A59,BP58)</f>
        <v>◐ 055 全生命週期成本模型</v>
      </c>
      <c r="BQ59" s="0" t="str">
        <f aca="false">IF(AND($B59="D10",$C59="G2"),BQ58&amp;IF(BQ58="","",CHAR(10))&amp;$A59,BQ58)</f>
        <v/>
      </c>
      <c r="BR59" s="0" t="str">
        <f aca="false">IF(AND($B59="D10",$C59="G3"),BR58&amp;IF(BR58="","",CHAR(10))&amp;$A59,BR58)</f>
        <v/>
      </c>
      <c r="BS59" s="0" t="str">
        <f aca="false">IF(AND($B59="D10",$C59="G4"),BS58&amp;IF(BS58="","",CHAR(10))&amp;$A59,BS58)</f>
        <v/>
      </c>
      <c r="BT59" s="0" t="str">
        <f aca="false">IF(AND($B59="D10",$C59="G5"),BT58&amp;IF(BT58="","",CHAR(10))&amp;$A59,BT58)</f>
        <v/>
      </c>
      <c r="BU59" s="0" t="str">
        <f aca="false">IF(AND($B59="D10",$C59="G6"),BU58&amp;IF(BU58="","",CHAR(10))&amp;$A59,BU58)</f>
        <v/>
      </c>
      <c r="BX59" s="0" t="str">
        <f aca="false">IF(AND(03_能力總表_Master!$A59&lt;&gt;"",LEFT(03_能力總表_Master!$H59,2)="缺口"),MAX($BX$4:BX58)+1,"")</f>
        <v/>
      </c>
      <c r="BY59" s="0" t="str">
        <f aca="false">IF(AND(03_能力總表_Master!$A59&lt;&gt;"",03_能力總表_Master!$J59=12_夥伴視角_PartnerView!$C$4),MAX($BY$4:BY58)+1,"")</f>
        <v/>
      </c>
      <c r="CC59" s="0" t="str">
        <f aca="false">IF(AND(03_能力總表_Master!$A59&lt;&gt;"",IFERROR(INDEX(16_能力商機矩陣_CapOppMap!$D59:$CO59,MATCH(LEFT(17_商機作戰卡_OppView!$C$4,6),16_能力商機矩陣_CapOppMap!$D$4:$CO$4,0)),"")="✓"),MAX($CC$4:CC58)+1,"")</f>
        <v/>
      </c>
    </row>
    <row r="60" customFormat="false" ht="95.5" hidden="false" customHeight="false" outlineLevel="0" collapsed="false">
      <c r="A60" s="0" t="str">
        <f aca="false">IF(03_能力總表_Master!$A60="","",IF(LEFT(03_能力總表_Master!$H60,2)="群晶","● ",IF(ISNUMBER(SEARCH("已確認",03_能力總表_Master!$H60)),"◆ ",IF(ISNUMBER(SEARCH("缺口",03_能力總表_Master!$H60)),"○ ","◐ ")))&amp;RIGHT(03_能力總表_Master!$A60,3)&amp;" "&amp;03_能力總表_Master!$E60)</f>
        <v>○ 056 健保申報與數位理賠</v>
      </c>
      <c r="B60" s="0" t="str">
        <f aca="false">IF(03_能力總表_Master!$A60="","",LEFT(03_能力總表_Master!$B60,3))</f>
        <v>D10</v>
      </c>
      <c r="C60" s="0" t="str">
        <f aca="false">IF(03_能力總表_Master!$A60="","",03_能力總表_Master!$C60)</f>
        <v>G4</v>
      </c>
      <c r="D60" s="363" t="str">
        <f aca="false">IF(AND($B60="D01",$C60="G0"),D59&amp;IF(D59="","",CHAR(10))&amp;$A60,D59)</f>
        <v>◐ 001 政府授權與計畫章程
◐ 002 利害關係人與權力地圖
◐ 005 聯盟治理與利益衝突</v>
      </c>
      <c r="E60" s="363" t="str">
        <f aca="false">IF(AND($B60="D01",$C60="G1"),E59&amp;IF(E59="","",CHAR(10))&amp;$A60,E59)</f>
        <v>◐ 003 交易模式選擇
◐ 004 法規與執照路徑</v>
      </c>
      <c r="F60" s="0" t="str">
        <f aca="false">IF(AND($B60="D01",$C60="G2"),F59&amp;IF(F59="","",CHAR(10))&amp;$A60,F59)</f>
        <v>◐ 006 績效契約與變更控制</v>
      </c>
      <c r="G60" s="0" t="str">
        <f aca="false">IF(AND($B60="D01",$C60="G3"),G59&amp;IF(G59="","",CHAR(10))&amp;$A60,G59)</f>
        <v/>
      </c>
      <c r="H60" s="0" t="str">
        <f aca="false">IF(AND($B60="D01",$C60="G4"),H59&amp;IF(H59="","",CHAR(10))&amp;$A60,H59)</f>
        <v/>
      </c>
      <c r="I60" s="0" t="str">
        <f aca="false">IF(AND($B60="D01",$C60="G5"),I59&amp;IF(I59="","",CHAR(10))&amp;$A60,I59)</f>
        <v/>
      </c>
      <c r="J60" s="0" t="str">
        <f aca="false">IF(AND($B60="D01",$C60="G6"),J59&amp;IF(J59="","",CHAR(10))&amp;$A60,J59)</f>
        <v/>
      </c>
      <c r="K60" s="0" t="str">
        <f aca="false">IF(AND($B60="D02",$C60="G0"),K59&amp;IF(K59="","",CHAR(10))&amp;$A60,K59)</f>
        <v/>
      </c>
      <c r="L60" s="363" t="str">
        <f aca="false">IF(AND($B60="D02",$C60="G1"),L59&amp;IF(L59="","",CHAR(10))&amp;$A60,L59)</f>
        <v>◐ 007 人口需求與病例量預測
◐ 008 醫院定位與服務組合
◐ 009 重點專科優先化
◐ 010 病人流程與容量設計
◐ 011 轉診與區域照護網絡
◐ 012 臨床治理與責任架構</v>
      </c>
      <c r="M60" s="0" t="str">
        <f aca="false">IF(AND($B60="D02",$C60="G2"),M59&amp;IF(M59="","",CHAR(10))&amp;$A60,M59)</f>
        <v/>
      </c>
      <c r="N60" s="0" t="str">
        <f aca="false">IF(AND($B60="D02",$C60="G3"),N59&amp;IF(N59="","",CHAR(10))&amp;$A60,N59)</f>
        <v/>
      </c>
      <c r="O60" s="0" t="str">
        <f aca="false">IF(AND($B60="D02",$C60="G4"),O59&amp;IF(O59="","",CHAR(10))&amp;$A60,O59)</f>
        <v/>
      </c>
      <c r="P60" s="0" t="str">
        <f aca="false">IF(AND($B60="D02",$C60="G5"),P59&amp;IF(P59="","",CHAR(10))&amp;$A60,P59)</f>
        <v/>
      </c>
      <c r="Q60" s="0" t="str">
        <f aca="false">IF(AND($B60="D02",$C60="G6"),Q59&amp;IF(Q59="","",CHAR(10))&amp;$A60,Q59)</f>
        <v/>
      </c>
      <c r="R60" s="0" t="str">
        <f aca="false">IF(AND($B60="D03",$C60="G0"),R59&amp;IF(R59="","",CHAR(10))&amp;$A60,R59)</f>
        <v/>
      </c>
      <c r="S60" s="0" t="str">
        <f aca="false">IF(AND($B60="D03",$C60="G1"),S59&amp;IF(S59="","",CHAR(10))&amp;$A60,S59)</f>
        <v>◐ 013 場址與醫院總體規劃</v>
      </c>
      <c r="T60" s="363" t="str">
        <f aca="false">IF(AND($B60="D03",$C60="G2"),T59&amp;IF(T59="","",CHAR(10))&amp;$A60,T59)</f>
        <v>◐ 014 醫療建築功能計畫
◐ 015 感染控制與潔污動線
◐ 019 綠色與氣候韌性醫院</v>
      </c>
      <c r="U60" s="363" t="str">
        <f aca="false">IF(AND($B60="D03",$C60="G3"),U59&amp;IF(U59="","",CHAR(10))&amp;$A60,U59)</f>
        <v>● 016 電力、備援與微電網
◐ 017 醫療氣體與關鍵公用系統
◐ 018 醫療廢棄物與水資源</v>
      </c>
      <c r="V60" s="0" t="str">
        <f aca="false">IF(AND($B60="D03",$C60="G4"),V59&amp;IF(V59="","",CHAR(10))&amp;$A60,V59)</f>
        <v/>
      </c>
      <c r="W60" s="0" t="str">
        <f aca="false">IF(AND($B60="D03",$C60="G5"),W59&amp;IF(W59="","",CHAR(10))&amp;$A60,W59)</f>
        <v/>
      </c>
      <c r="X60" s="0" t="str">
        <f aca="false">IF(AND($B60="D03",$C60="G6"),X59&amp;IF(X59="","",CHAR(10))&amp;$A60,X59)</f>
        <v/>
      </c>
      <c r="Y60" s="0" t="str">
        <f aca="false">IF(AND($B60="D04",$C60="G0"),Y59&amp;IF(Y59="","",CHAR(10))&amp;$A60,Y59)</f>
        <v/>
      </c>
      <c r="Z60" s="0" t="str">
        <f aca="false">IF(AND($B60="D04",$C60="G1"),Z59&amp;IF(Z59="","",CHAR(10))&amp;$A60,Z59)</f>
        <v/>
      </c>
      <c r="AA60" s="0" t="str">
        <f aca="false">IF(AND($B60="D04",$C60="G2"),AA59&amp;IF(AA59="","",CHAR(10))&amp;$A60,AA59)</f>
        <v/>
      </c>
      <c r="AB60" s="0" t="str">
        <f aca="false">IF(AND($B60="D04",$C60="G3"),AB59&amp;IF(AB59="","",CHAR(10))&amp;$A60,AB59)</f>
        <v>● 020 IDC與邊緣運算底座</v>
      </c>
      <c r="AC60" s="363" t="str">
        <f aca="false">IF(AND($B60="D04",$C60="G4"),AC59&amp;IF(AC59="","",CHAR(10))&amp;$A60,AC59)</f>
        <v>● 021 有線無線網路與分區
◐ 022 資安營運與零信任
● 023 BMS與能源管理
● 024 RTLS與資產／人員定位
● 025 智慧病房、護理呼叫與感測
● 026 災難復原與營運持續</v>
      </c>
      <c r="AD60" s="0" t="str">
        <f aca="false">IF(AND($B60="D04",$C60="G5"),AD59&amp;IF(AD59="","",CHAR(10))&amp;$A60,AD59)</f>
        <v/>
      </c>
      <c r="AE60" s="0" t="str">
        <f aca="false">IF(AND($B60="D04",$C60="G6"),AE59&amp;IF(AE59="","",CHAR(10))&amp;$A60,AE59)</f>
        <v/>
      </c>
      <c r="AF60" s="0" t="str">
        <f aca="false">IF(AND($B60="D05",$C60="G0"),AF59&amp;IF(AF59="","",CHAR(10))&amp;$A60,AF59)</f>
        <v/>
      </c>
      <c r="AG60" s="0" t="str">
        <f aca="false">IF(AND($B60="D05",$C60="G1"),AG59&amp;IF(AG59="","",CHAR(10))&amp;$A60,AG59)</f>
        <v/>
      </c>
      <c r="AH60" s="0" t="str">
        <f aca="false">IF(AND($B60="D05",$C60="G2"),AH59&amp;IF(AH59="","",CHAR(10))&amp;$A60,AH59)</f>
        <v>◐ 027 醫材需求與設備計畫</v>
      </c>
      <c r="AI60" s="0" t="str">
        <f aca="false">IF(AND($B60="D05",$C60="G3"),AI59&amp;IF(AI59="","",CHAR(10))&amp;$A60,AI59)</f>
        <v/>
      </c>
      <c r="AJ60" s="363" t="str">
        <f aca="false">IF(AND($B60="D05",$C60="G4"),AJ59&amp;IF(AJ59="","",CHAR(10))&amp;$A60,AJ59)</f>
        <v>○ 028 影像設備、PACS與報告流程
○ 029 實驗室自動化與LIS
○ 030 手術室與重症整合
◐ 031 醫材介接與裝置身分
◐ 032 醫療工程與設備生命週期</v>
      </c>
      <c r="AK60" s="0" t="str">
        <f aca="false">IF(AND($B60="D05",$C60="G5"),AK59&amp;IF(AK59="","",CHAR(10))&amp;$A60,AK59)</f>
        <v/>
      </c>
      <c r="AL60" s="0" t="str">
        <f aca="false">IF(AND($B60="D05",$C60="G6"),AL59&amp;IF(AL59="","",CHAR(10))&amp;$A60,AL59)</f>
        <v/>
      </c>
      <c r="AM60" s="0" t="str">
        <f aca="false">IF(AND($B60="D06",$C60="G0"),AM59&amp;IF(AM59="","",CHAR(10))&amp;$A60,AM59)</f>
        <v/>
      </c>
      <c r="AN60" s="0" t="str">
        <f aca="false">IF(AND($B60="D06",$C60="G1"),AN59&amp;IF(AN59="","",CHAR(10))&amp;$A60,AN59)</f>
        <v/>
      </c>
      <c r="AO60" s="0" t="str">
        <f aca="false">IF(AND($B60="D06",$C60="G2"),AO59&amp;IF(AO59="","",CHAR(10))&amp;$A60,AO59)</f>
        <v/>
      </c>
      <c r="AP60" s="363" t="str">
        <f aca="false">IF(AND($B60="D06",$C60="G3"),AP59&amp;IF(AP59="","",CHAR(10))&amp;$A60,AP59)</f>
        <v>◐ 033 HIS／EMR核心平台
◐ 036 臨床術語與主資料治理</v>
      </c>
      <c r="AQ60" s="363" t="str">
        <f aca="false">IF(AND($B60="D06",$C60="G4"),AQ59&amp;IF(AQ59="","",CHAR(10))&amp;$A60,AQ59)</f>
        <v>◐ 034 FHIR介接與API管理
○ 035 主病人索引與身分整合
◐ 037 電子醫囑、用藥與決策支援
◐ 038 資料平台、BI與營運指揮</v>
      </c>
      <c r="AR60" s="0" t="str">
        <f aca="false">IF(AND($B60="D06",$C60="G5"),AR59&amp;IF(AR59="","",CHAR(10))&amp;$A60,AR59)</f>
        <v>○ 039 病人入口、行動服務與VNeID準備</v>
      </c>
      <c r="AS60" s="0" t="str">
        <f aca="false">IF(AND($B60="D06",$C60="G6"),AS59&amp;IF(AS59="","",CHAR(10))&amp;$A60,AS59)</f>
        <v/>
      </c>
      <c r="AT60" s="0" t="str">
        <f aca="false">IF(AND($B60="D07",$C60="G0"),AT59&amp;IF(AT59="","",CHAR(10))&amp;$A60,AT59)</f>
        <v/>
      </c>
      <c r="AU60" s="0" t="str">
        <f aca="false">IF(AND($B60="D07",$C60="G1"),AU59&amp;IF(AU59="","",CHAR(10))&amp;$A60,AU59)</f>
        <v/>
      </c>
      <c r="AV60" s="0" t="str">
        <f aca="false">IF(AND($B60="D07",$C60="G2"),AV59&amp;IF(AV59="","",CHAR(10))&amp;$A60,AV59)</f>
        <v>◐ 040 品質管理與JCI路線圖</v>
      </c>
      <c r="AW60" s="363" t="str">
        <f aca="false">IF(AND($B60="D07",$C60="G3"),AW59&amp;IF(AW59="","",CHAR(10))&amp;$A60,AW59)</f>
        <v>◐ 041 感染預防與控制制度
◐ 043 事件通報與根因改善</v>
      </c>
      <c r="AX60" s="0" t="str">
        <f aca="false">IF(AND($B60="D07",$C60="G4"),AX59&amp;IF(AX59="","",CHAR(10))&amp;$A60,AX59)</f>
        <v>◐ 042 用藥安全閉環</v>
      </c>
      <c r="AY60" s="0" t="str">
        <f aca="false">IF(AND($B60="D07",$C60="G5"),AY59&amp;IF(AY59="","",CHAR(10))&amp;$A60,AY59)</f>
        <v>◐ 044 開院臨床安全驗證</v>
      </c>
      <c r="AZ60" s="0" t="str">
        <f aca="false">IF(AND($B60="D07",$C60="G6"),AZ59&amp;IF(AZ59="","",CHAR(10))&amp;$A60,AZ59)</f>
        <v/>
      </c>
      <c r="BA60" s="0" t="str">
        <f aca="false">IF(AND($B60="D08",$C60="G0"),BA59&amp;IF(BA59="","",CHAR(10))&amp;$A60,BA59)</f>
        <v/>
      </c>
      <c r="BB60" s="0" t="str">
        <f aca="false">IF(AND($B60="D08",$C60="G1"),BB59&amp;IF(BB59="","",CHAR(10))&amp;$A60,BB59)</f>
        <v/>
      </c>
      <c r="BC60" s="0" t="str">
        <f aca="false">IF(AND($B60="D08",$C60="G2"),BC59&amp;IF(BC59="","",CHAR(10))&amp;$A60,BC59)</f>
        <v>○ 045 人力與輪班模型</v>
      </c>
      <c r="BD60" s="0" t="str">
        <f aca="false">IF(AND($B60="D08",$C60="G3"),BD59&amp;IF(BD59="","",CHAR(10))&amp;$A60,BD59)</f>
        <v>◐ 046 職能矩陣與授權</v>
      </c>
      <c r="BE60" s="363" t="str">
        <f aca="false">IF(AND($B60="D08",$C60="G4"),BE59&amp;IF(BE59="","",CHAR(10))&amp;$A60,BE59)</f>
        <v>◐ 047 種子教師與技術移轉
◐ 049 變革管理與使用者採納</v>
      </c>
      <c r="BF60" s="0" t="str">
        <f aca="false">IF(AND($B60="D08",$C60="G5"),BF59&amp;IF(BF59="","",CHAR(10))&amp;$A60,BF59)</f>
        <v>◐ 048 模擬中心與開院演練</v>
      </c>
      <c r="BG60" s="0" t="str">
        <f aca="false">IF(AND($B60="D08",$C60="G6"),BG59&amp;IF(BG59="","",CHAR(10))&amp;$A60,BG59)</f>
        <v/>
      </c>
      <c r="BH60" s="0" t="str">
        <f aca="false">IF(AND($B60="D09",$C60="G0"),BH59&amp;IF(BH59="","",CHAR(10))&amp;$A60,BH59)</f>
        <v/>
      </c>
      <c r="BI60" s="0" t="str">
        <f aca="false">IF(AND($B60="D09",$C60="G1"),BI59&amp;IF(BI59="","",CHAR(10))&amp;$A60,BI59)</f>
        <v/>
      </c>
      <c r="BJ60" s="0" t="str">
        <f aca="false">IF(AND($B60="D09",$C60="G2"),BJ59&amp;IF(BJ59="","",CHAR(10))&amp;$A60,BJ59)</f>
        <v>◐ 050 整合採購與供應商治理</v>
      </c>
      <c r="BK60" s="0" t="str">
        <f aca="false">IF(AND($B60="D09",$C60="G3"),BK59&amp;IF(BK59="","",CHAR(10))&amp;$A60,BK59)</f>
        <v/>
      </c>
      <c r="BL60" s="363" t="str">
        <f aca="false">IF(AND($B60="D09",$C60="G4"),BL59&amp;IF(BL59="","",CHAR(10))&amp;$A60,BL59)</f>
        <v>◐ 051 藥品耗材與SPD物流
◐ 052 冷鏈與特殊物料
● 053 CMMS與設施維運</v>
      </c>
      <c r="BM60" s="0" t="str">
        <f aca="false">IF(AND($B60="D09",$C60="G5"),BM59&amp;IF(BM59="","",CHAR(10))&amp;$A60,BM59)</f>
        <v>◐ 054 在地備品、維修與汰換</v>
      </c>
      <c r="BN60" s="0" t="str">
        <f aca="false">IF(AND($B60="D09",$C60="G6"),BN59&amp;IF(BN59="","",CHAR(10))&amp;$A60,BN59)</f>
        <v/>
      </c>
      <c r="BO60" s="0" t="str">
        <f aca="false">IF(AND($B60="D10",$C60="G0"),BO59&amp;IF(BO59="","",CHAR(10))&amp;$A60,BO59)</f>
        <v/>
      </c>
      <c r="BP60" s="0" t="str">
        <f aca="false">IF(AND($B60="D10",$C60="G1"),BP59&amp;IF(BP59="","",CHAR(10))&amp;$A60,BP59)</f>
        <v>◐ 055 全生命週期成本模型</v>
      </c>
      <c r="BQ60" s="0" t="str">
        <f aca="false">IF(AND($B60="D10",$C60="G2"),BQ59&amp;IF(BQ59="","",CHAR(10))&amp;$A60,BQ59)</f>
        <v/>
      </c>
      <c r="BR60" s="0" t="str">
        <f aca="false">IF(AND($B60="D10",$C60="G3"),BR59&amp;IF(BR59="","",CHAR(10))&amp;$A60,BR59)</f>
        <v/>
      </c>
      <c r="BS60" s="0" t="str">
        <f aca="false">IF(AND($B60="D10",$C60="G4"),BS59&amp;IF(BS59="","",CHAR(10))&amp;$A60,BS59)</f>
        <v>○ 056 健保申報與數位理賠</v>
      </c>
      <c r="BT60" s="0" t="str">
        <f aca="false">IF(AND($B60="D10",$C60="G5"),BT59&amp;IF(BT59="","",CHAR(10))&amp;$A60,BT59)</f>
        <v/>
      </c>
      <c r="BU60" s="0" t="str">
        <f aca="false">IF(AND($B60="D10",$C60="G6"),BU59&amp;IF(BU59="","",CHAR(10))&amp;$A60,BU59)</f>
        <v/>
      </c>
      <c r="BX60" s="0" t="n">
        <f aca="false">IF(AND(03_能力總表_Master!$A60&lt;&gt;"",LEFT(03_能力總表_Master!$H60,2)="缺口"),MAX($BX$4:BX59)+1,"")</f>
        <v>7</v>
      </c>
      <c r="BY60" s="0" t="str">
        <f aca="false">IF(AND(03_能力總表_Master!$A60&lt;&gt;"",03_能力總表_Master!$J60=12_夥伴視角_PartnerView!$C$4),MAX($BY$4:BY59)+1,"")</f>
        <v/>
      </c>
      <c r="CC60" s="0" t="str">
        <f aca="false">IF(AND(03_能力總表_Master!$A60&lt;&gt;"",IFERROR(INDEX(16_能力商機矩陣_CapOppMap!$D60:$CO60,MATCH(LEFT(17_商機作戰卡_OppView!$C$4,6),16_能力商機矩陣_CapOppMap!$D$4:$CO$4,0)),"")="✓"),MAX($CC$4:CC59)+1,"")</f>
        <v/>
      </c>
    </row>
    <row r="61" customFormat="false" ht="95.5" hidden="false" customHeight="false" outlineLevel="0" collapsed="false">
      <c r="A61" s="0" t="str">
        <f aca="false">IF(03_能力總表_Master!$A61="","",IF(LEFT(03_能力總表_Master!$H61,2)="群晶","● ",IF(ISNUMBER(SEARCH("已確認",03_能力總表_Master!$H61)),"◆ ",IF(ISNUMBER(SEARCH("缺口",03_能力總表_Master!$H61)),"○ ","◐ ")))&amp;RIGHT(03_能力總表_Master!$A61,3)&amp;" "&amp;03_能力總表_Master!$E61)</f>
        <v>○ 057 現金流、支付與收入週期</v>
      </c>
      <c r="B61" s="0" t="str">
        <f aca="false">IF(03_能力總表_Master!$A61="","",LEFT(03_能力總表_Master!$B61,3))</f>
        <v>D10</v>
      </c>
      <c r="C61" s="0" t="str">
        <f aca="false">IF(03_能力總表_Master!$A61="","",03_能力總表_Master!$C61)</f>
        <v>G4</v>
      </c>
      <c r="D61" s="363" t="str">
        <f aca="false">IF(AND($B61="D01",$C61="G0"),D60&amp;IF(D60="","",CHAR(10))&amp;$A61,D60)</f>
        <v>◐ 001 政府授權與計畫章程
◐ 002 利害關係人與權力地圖
◐ 005 聯盟治理與利益衝突</v>
      </c>
      <c r="E61" s="363" t="str">
        <f aca="false">IF(AND($B61="D01",$C61="G1"),E60&amp;IF(E60="","",CHAR(10))&amp;$A61,E60)</f>
        <v>◐ 003 交易模式選擇
◐ 004 法規與執照路徑</v>
      </c>
      <c r="F61" s="0" t="str">
        <f aca="false">IF(AND($B61="D01",$C61="G2"),F60&amp;IF(F60="","",CHAR(10))&amp;$A61,F60)</f>
        <v>◐ 006 績效契約與變更控制</v>
      </c>
      <c r="G61" s="0" t="str">
        <f aca="false">IF(AND($B61="D01",$C61="G3"),G60&amp;IF(G60="","",CHAR(10))&amp;$A61,G60)</f>
        <v/>
      </c>
      <c r="H61" s="0" t="str">
        <f aca="false">IF(AND($B61="D01",$C61="G4"),H60&amp;IF(H60="","",CHAR(10))&amp;$A61,H60)</f>
        <v/>
      </c>
      <c r="I61" s="0" t="str">
        <f aca="false">IF(AND($B61="D01",$C61="G5"),I60&amp;IF(I60="","",CHAR(10))&amp;$A61,I60)</f>
        <v/>
      </c>
      <c r="J61" s="0" t="str">
        <f aca="false">IF(AND($B61="D01",$C61="G6"),J60&amp;IF(J60="","",CHAR(10))&amp;$A61,J60)</f>
        <v/>
      </c>
      <c r="K61" s="0" t="str">
        <f aca="false">IF(AND($B61="D02",$C61="G0"),K60&amp;IF(K60="","",CHAR(10))&amp;$A61,K60)</f>
        <v/>
      </c>
      <c r="L61" s="363" t="str">
        <f aca="false">IF(AND($B61="D02",$C61="G1"),L60&amp;IF(L60="","",CHAR(10))&amp;$A61,L60)</f>
        <v>◐ 007 人口需求與病例量預測
◐ 008 醫院定位與服務組合
◐ 009 重點專科優先化
◐ 010 病人流程與容量設計
◐ 011 轉診與區域照護網絡
◐ 012 臨床治理與責任架構</v>
      </c>
      <c r="M61" s="0" t="str">
        <f aca="false">IF(AND($B61="D02",$C61="G2"),M60&amp;IF(M60="","",CHAR(10))&amp;$A61,M60)</f>
        <v/>
      </c>
      <c r="N61" s="0" t="str">
        <f aca="false">IF(AND($B61="D02",$C61="G3"),N60&amp;IF(N60="","",CHAR(10))&amp;$A61,N60)</f>
        <v/>
      </c>
      <c r="O61" s="0" t="str">
        <f aca="false">IF(AND($B61="D02",$C61="G4"),O60&amp;IF(O60="","",CHAR(10))&amp;$A61,O60)</f>
        <v/>
      </c>
      <c r="P61" s="0" t="str">
        <f aca="false">IF(AND($B61="D02",$C61="G5"),P60&amp;IF(P60="","",CHAR(10))&amp;$A61,P60)</f>
        <v/>
      </c>
      <c r="Q61" s="0" t="str">
        <f aca="false">IF(AND($B61="D02",$C61="G6"),Q60&amp;IF(Q60="","",CHAR(10))&amp;$A61,Q60)</f>
        <v/>
      </c>
      <c r="R61" s="0" t="str">
        <f aca="false">IF(AND($B61="D03",$C61="G0"),R60&amp;IF(R60="","",CHAR(10))&amp;$A61,R60)</f>
        <v/>
      </c>
      <c r="S61" s="0" t="str">
        <f aca="false">IF(AND($B61="D03",$C61="G1"),S60&amp;IF(S60="","",CHAR(10))&amp;$A61,S60)</f>
        <v>◐ 013 場址與醫院總體規劃</v>
      </c>
      <c r="T61" s="363" t="str">
        <f aca="false">IF(AND($B61="D03",$C61="G2"),T60&amp;IF(T60="","",CHAR(10))&amp;$A61,T60)</f>
        <v>◐ 014 醫療建築功能計畫
◐ 015 感染控制與潔污動線
◐ 019 綠色與氣候韌性醫院</v>
      </c>
      <c r="U61" s="363" t="str">
        <f aca="false">IF(AND($B61="D03",$C61="G3"),U60&amp;IF(U60="","",CHAR(10))&amp;$A61,U60)</f>
        <v>● 016 電力、備援與微電網
◐ 017 醫療氣體與關鍵公用系統
◐ 018 醫療廢棄物與水資源</v>
      </c>
      <c r="V61" s="0" t="str">
        <f aca="false">IF(AND($B61="D03",$C61="G4"),V60&amp;IF(V60="","",CHAR(10))&amp;$A61,V60)</f>
        <v/>
      </c>
      <c r="W61" s="0" t="str">
        <f aca="false">IF(AND($B61="D03",$C61="G5"),W60&amp;IF(W60="","",CHAR(10))&amp;$A61,W60)</f>
        <v/>
      </c>
      <c r="X61" s="0" t="str">
        <f aca="false">IF(AND($B61="D03",$C61="G6"),X60&amp;IF(X60="","",CHAR(10))&amp;$A61,X60)</f>
        <v/>
      </c>
      <c r="Y61" s="0" t="str">
        <f aca="false">IF(AND($B61="D04",$C61="G0"),Y60&amp;IF(Y60="","",CHAR(10))&amp;$A61,Y60)</f>
        <v/>
      </c>
      <c r="Z61" s="0" t="str">
        <f aca="false">IF(AND($B61="D04",$C61="G1"),Z60&amp;IF(Z60="","",CHAR(10))&amp;$A61,Z60)</f>
        <v/>
      </c>
      <c r="AA61" s="0" t="str">
        <f aca="false">IF(AND($B61="D04",$C61="G2"),AA60&amp;IF(AA60="","",CHAR(10))&amp;$A61,AA60)</f>
        <v/>
      </c>
      <c r="AB61" s="0" t="str">
        <f aca="false">IF(AND($B61="D04",$C61="G3"),AB60&amp;IF(AB60="","",CHAR(10))&amp;$A61,AB60)</f>
        <v>● 020 IDC與邊緣運算底座</v>
      </c>
      <c r="AC61" s="363" t="str">
        <f aca="false">IF(AND($B61="D04",$C61="G4"),AC60&amp;IF(AC60="","",CHAR(10))&amp;$A61,AC60)</f>
        <v>● 021 有線無線網路與分區
◐ 022 資安營運與零信任
● 023 BMS與能源管理
● 024 RTLS與資產／人員定位
● 025 智慧病房、護理呼叫與感測
● 026 災難復原與營運持續</v>
      </c>
      <c r="AD61" s="0" t="str">
        <f aca="false">IF(AND($B61="D04",$C61="G5"),AD60&amp;IF(AD60="","",CHAR(10))&amp;$A61,AD60)</f>
        <v/>
      </c>
      <c r="AE61" s="0" t="str">
        <f aca="false">IF(AND($B61="D04",$C61="G6"),AE60&amp;IF(AE60="","",CHAR(10))&amp;$A61,AE60)</f>
        <v/>
      </c>
      <c r="AF61" s="0" t="str">
        <f aca="false">IF(AND($B61="D05",$C61="G0"),AF60&amp;IF(AF60="","",CHAR(10))&amp;$A61,AF60)</f>
        <v/>
      </c>
      <c r="AG61" s="0" t="str">
        <f aca="false">IF(AND($B61="D05",$C61="G1"),AG60&amp;IF(AG60="","",CHAR(10))&amp;$A61,AG60)</f>
        <v/>
      </c>
      <c r="AH61" s="0" t="str">
        <f aca="false">IF(AND($B61="D05",$C61="G2"),AH60&amp;IF(AH60="","",CHAR(10))&amp;$A61,AH60)</f>
        <v>◐ 027 醫材需求與設備計畫</v>
      </c>
      <c r="AI61" s="0" t="str">
        <f aca="false">IF(AND($B61="D05",$C61="G3"),AI60&amp;IF(AI60="","",CHAR(10))&amp;$A61,AI60)</f>
        <v/>
      </c>
      <c r="AJ61" s="363" t="str">
        <f aca="false">IF(AND($B61="D05",$C61="G4"),AJ60&amp;IF(AJ60="","",CHAR(10))&amp;$A61,AJ60)</f>
        <v>○ 028 影像設備、PACS與報告流程
○ 029 實驗室自動化與LIS
○ 030 手術室與重症整合
◐ 031 醫材介接與裝置身分
◐ 032 醫療工程與設備生命週期</v>
      </c>
      <c r="AK61" s="0" t="str">
        <f aca="false">IF(AND($B61="D05",$C61="G5"),AK60&amp;IF(AK60="","",CHAR(10))&amp;$A61,AK60)</f>
        <v/>
      </c>
      <c r="AL61" s="0" t="str">
        <f aca="false">IF(AND($B61="D05",$C61="G6"),AL60&amp;IF(AL60="","",CHAR(10))&amp;$A61,AL60)</f>
        <v/>
      </c>
      <c r="AM61" s="0" t="str">
        <f aca="false">IF(AND($B61="D06",$C61="G0"),AM60&amp;IF(AM60="","",CHAR(10))&amp;$A61,AM60)</f>
        <v/>
      </c>
      <c r="AN61" s="0" t="str">
        <f aca="false">IF(AND($B61="D06",$C61="G1"),AN60&amp;IF(AN60="","",CHAR(10))&amp;$A61,AN60)</f>
        <v/>
      </c>
      <c r="AO61" s="0" t="str">
        <f aca="false">IF(AND($B61="D06",$C61="G2"),AO60&amp;IF(AO60="","",CHAR(10))&amp;$A61,AO60)</f>
        <v/>
      </c>
      <c r="AP61" s="363" t="str">
        <f aca="false">IF(AND($B61="D06",$C61="G3"),AP60&amp;IF(AP60="","",CHAR(10))&amp;$A61,AP60)</f>
        <v>◐ 033 HIS／EMR核心平台
◐ 036 臨床術語與主資料治理</v>
      </c>
      <c r="AQ61" s="363" t="str">
        <f aca="false">IF(AND($B61="D06",$C61="G4"),AQ60&amp;IF(AQ60="","",CHAR(10))&amp;$A61,AQ60)</f>
        <v>◐ 034 FHIR介接與API管理
○ 035 主病人索引與身分整合
◐ 037 電子醫囑、用藥與決策支援
◐ 038 資料平台、BI與營運指揮</v>
      </c>
      <c r="AR61" s="0" t="str">
        <f aca="false">IF(AND($B61="D06",$C61="G5"),AR60&amp;IF(AR60="","",CHAR(10))&amp;$A61,AR60)</f>
        <v>○ 039 病人入口、行動服務與VNeID準備</v>
      </c>
      <c r="AS61" s="0" t="str">
        <f aca="false">IF(AND($B61="D06",$C61="G6"),AS60&amp;IF(AS60="","",CHAR(10))&amp;$A61,AS60)</f>
        <v/>
      </c>
      <c r="AT61" s="0" t="str">
        <f aca="false">IF(AND($B61="D07",$C61="G0"),AT60&amp;IF(AT60="","",CHAR(10))&amp;$A61,AT60)</f>
        <v/>
      </c>
      <c r="AU61" s="0" t="str">
        <f aca="false">IF(AND($B61="D07",$C61="G1"),AU60&amp;IF(AU60="","",CHAR(10))&amp;$A61,AU60)</f>
        <v/>
      </c>
      <c r="AV61" s="0" t="str">
        <f aca="false">IF(AND($B61="D07",$C61="G2"),AV60&amp;IF(AV60="","",CHAR(10))&amp;$A61,AV60)</f>
        <v>◐ 040 品質管理與JCI路線圖</v>
      </c>
      <c r="AW61" s="363" t="str">
        <f aca="false">IF(AND($B61="D07",$C61="G3"),AW60&amp;IF(AW60="","",CHAR(10))&amp;$A61,AW60)</f>
        <v>◐ 041 感染預防與控制制度
◐ 043 事件通報與根因改善</v>
      </c>
      <c r="AX61" s="0" t="str">
        <f aca="false">IF(AND($B61="D07",$C61="G4"),AX60&amp;IF(AX60="","",CHAR(10))&amp;$A61,AX60)</f>
        <v>◐ 042 用藥安全閉環</v>
      </c>
      <c r="AY61" s="0" t="str">
        <f aca="false">IF(AND($B61="D07",$C61="G5"),AY60&amp;IF(AY60="","",CHAR(10))&amp;$A61,AY60)</f>
        <v>◐ 044 開院臨床安全驗證</v>
      </c>
      <c r="AZ61" s="0" t="str">
        <f aca="false">IF(AND($B61="D07",$C61="G6"),AZ60&amp;IF(AZ60="","",CHAR(10))&amp;$A61,AZ60)</f>
        <v/>
      </c>
      <c r="BA61" s="0" t="str">
        <f aca="false">IF(AND($B61="D08",$C61="G0"),BA60&amp;IF(BA60="","",CHAR(10))&amp;$A61,BA60)</f>
        <v/>
      </c>
      <c r="BB61" s="0" t="str">
        <f aca="false">IF(AND($B61="D08",$C61="G1"),BB60&amp;IF(BB60="","",CHAR(10))&amp;$A61,BB60)</f>
        <v/>
      </c>
      <c r="BC61" s="0" t="str">
        <f aca="false">IF(AND($B61="D08",$C61="G2"),BC60&amp;IF(BC60="","",CHAR(10))&amp;$A61,BC60)</f>
        <v>○ 045 人力與輪班模型</v>
      </c>
      <c r="BD61" s="0" t="str">
        <f aca="false">IF(AND($B61="D08",$C61="G3"),BD60&amp;IF(BD60="","",CHAR(10))&amp;$A61,BD60)</f>
        <v>◐ 046 職能矩陣與授權</v>
      </c>
      <c r="BE61" s="363" t="str">
        <f aca="false">IF(AND($B61="D08",$C61="G4"),BE60&amp;IF(BE60="","",CHAR(10))&amp;$A61,BE60)</f>
        <v>◐ 047 種子教師與技術移轉
◐ 049 變革管理與使用者採納</v>
      </c>
      <c r="BF61" s="0" t="str">
        <f aca="false">IF(AND($B61="D08",$C61="G5"),BF60&amp;IF(BF60="","",CHAR(10))&amp;$A61,BF60)</f>
        <v>◐ 048 模擬中心與開院演練</v>
      </c>
      <c r="BG61" s="0" t="str">
        <f aca="false">IF(AND($B61="D08",$C61="G6"),BG60&amp;IF(BG60="","",CHAR(10))&amp;$A61,BG60)</f>
        <v/>
      </c>
      <c r="BH61" s="0" t="str">
        <f aca="false">IF(AND($B61="D09",$C61="G0"),BH60&amp;IF(BH60="","",CHAR(10))&amp;$A61,BH60)</f>
        <v/>
      </c>
      <c r="BI61" s="0" t="str">
        <f aca="false">IF(AND($B61="D09",$C61="G1"),BI60&amp;IF(BI60="","",CHAR(10))&amp;$A61,BI60)</f>
        <v/>
      </c>
      <c r="BJ61" s="0" t="str">
        <f aca="false">IF(AND($B61="D09",$C61="G2"),BJ60&amp;IF(BJ60="","",CHAR(10))&amp;$A61,BJ60)</f>
        <v>◐ 050 整合採購與供應商治理</v>
      </c>
      <c r="BK61" s="0" t="str">
        <f aca="false">IF(AND($B61="D09",$C61="G3"),BK60&amp;IF(BK60="","",CHAR(10))&amp;$A61,BK60)</f>
        <v/>
      </c>
      <c r="BL61" s="363" t="str">
        <f aca="false">IF(AND($B61="D09",$C61="G4"),BL60&amp;IF(BL60="","",CHAR(10))&amp;$A61,BL60)</f>
        <v>◐ 051 藥品耗材與SPD物流
◐ 052 冷鏈與特殊物料
● 053 CMMS與設施維運</v>
      </c>
      <c r="BM61" s="0" t="str">
        <f aca="false">IF(AND($B61="D09",$C61="G5"),BM60&amp;IF(BM60="","",CHAR(10))&amp;$A61,BM60)</f>
        <v>◐ 054 在地備品、維修與汰換</v>
      </c>
      <c r="BN61" s="0" t="str">
        <f aca="false">IF(AND($B61="D09",$C61="G6"),BN60&amp;IF(BN60="","",CHAR(10))&amp;$A61,BN60)</f>
        <v/>
      </c>
      <c r="BO61" s="0" t="str">
        <f aca="false">IF(AND($B61="D10",$C61="G0"),BO60&amp;IF(BO60="","",CHAR(10))&amp;$A61,BO60)</f>
        <v/>
      </c>
      <c r="BP61" s="0" t="str">
        <f aca="false">IF(AND($B61="D10",$C61="G1"),BP60&amp;IF(BP60="","",CHAR(10))&amp;$A61,BP60)</f>
        <v>◐ 055 全生命週期成本模型</v>
      </c>
      <c r="BQ61" s="0" t="str">
        <f aca="false">IF(AND($B61="D10",$C61="G2"),BQ60&amp;IF(BQ60="","",CHAR(10))&amp;$A61,BQ60)</f>
        <v/>
      </c>
      <c r="BR61" s="0" t="str">
        <f aca="false">IF(AND($B61="D10",$C61="G3"),BR60&amp;IF(BR60="","",CHAR(10))&amp;$A61,BR60)</f>
        <v/>
      </c>
      <c r="BS61" s="363" t="str">
        <f aca="false">IF(AND($B61="D10",$C61="G4"),BS60&amp;IF(BS60="","",CHAR(10))&amp;$A61,BS60)</f>
        <v>○ 056 健保申報與數位理賠
○ 057 現金流、支付與收入週期</v>
      </c>
      <c r="BT61" s="0" t="str">
        <f aca="false">IF(AND($B61="D10",$C61="G5"),BT60&amp;IF(BT60="","",CHAR(10))&amp;$A61,BT60)</f>
        <v/>
      </c>
      <c r="BU61" s="0" t="str">
        <f aca="false">IF(AND($B61="D10",$C61="G6"),BU60&amp;IF(BU60="","",CHAR(10))&amp;$A61,BU60)</f>
        <v/>
      </c>
      <c r="BX61" s="0" t="n">
        <f aca="false">IF(AND(03_能力總表_Master!$A61&lt;&gt;"",LEFT(03_能力總表_Master!$H61,2)="缺口"),MAX($BX$4:BX60)+1,"")</f>
        <v>8</v>
      </c>
      <c r="BY61" s="0" t="str">
        <f aca="false">IF(AND(03_能力總表_Master!$A61&lt;&gt;"",03_能力總表_Master!$J61=12_夥伴視角_PartnerView!$C$4),MAX($BY$4:BY60)+1,"")</f>
        <v/>
      </c>
      <c r="CC61" s="0" t="str">
        <f aca="false">IF(AND(03_能力總表_Master!$A61&lt;&gt;"",IFERROR(INDEX(16_能力商機矩陣_CapOppMap!$D61:$CO61,MATCH(LEFT(17_商機作戰卡_OppView!$C$4,6),16_能力商機矩陣_CapOppMap!$D$4:$CO$4,0)),"")="✓"),MAX($CC$4:CC60)+1,"")</f>
        <v/>
      </c>
    </row>
    <row r="62" customFormat="false" ht="95.5" hidden="false" customHeight="false" outlineLevel="0" collapsed="false">
      <c r="A62" s="0" t="str">
        <f aca="false">IF(03_能力總表_Master!$A62="","",IF(LEFT(03_能力總表_Master!$H62,2)="群晶","● ",IF(ISNUMBER(SEARCH("已確認",03_能力總表_Master!$H62)),"◆ ",IF(ISNUMBER(SEARCH("缺口",03_能力總表_Master!$H62)),"○ ","◐ ")))&amp;RIGHT(03_能力總表_Master!$A62,3)&amp;" "&amp;03_能力總表_Master!$E62)</f>
        <v>○ 058 國際醫療與高價值服務</v>
      </c>
      <c r="B62" s="0" t="str">
        <f aca="false">IF(03_能力總表_Master!$A62="","",LEFT(03_能力總表_Master!$B62,3))</f>
        <v>D10</v>
      </c>
      <c r="C62" s="0" t="str">
        <f aca="false">IF(03_能力總表_Master!$A62="","",03_能力總表_Master!$C62)</f>
        <v>G5</v>
      </c>
      <c r="D62" s="363" t="str">
        <f aca="false">IF(AND($B62="D01",$C62="G0"),D61&amp;IF(D61="","",CHAR(10))&amp;$A62,D61)</f>
        <v>◐ 001 政府授權與計畫章程
◐ 002 利害關係人與權力地圖
◐ 005 聯盟治理與利益衝突</v>
      </c>
      <c r="E62" s="363" t="str">
        <f aca="false">IF(AND($B62="D01",$C62="G1"),E61&amp;IF(E61="","",CHAR(10))&amp;$A62,E61)</f>
        <v>◐ 003 交易模式選擇
◐ 004 法規與執照路徑</v>
      </c>
      <c r="F62" s="0" t="str">
        <f aca="false">IF(AND($B62="D01",$C62="G2"),F61&amp;IF(F61="","",CHAR(10))&amp;$A62,F61)</f>
        <v>◐ 006 績效契約與變更控制</v>
      </c>
      <c r="G62" s="0" t="str">
        <f aca="false">IF(AND($B62="D01",$C62="G3"),G61&amp;IF(G61="","",CHAR(10))&amp;$A62,G61)</f>
        <v/>
      </c>
      <c r="H62" s="0" t="str">
        <f aca="false">IF(AND($B62="D01",$C62="G4"),H61&amp;IF(H61="","",CHAR(10))&amp;$A62,H61)</f>
        <v/>
      </c>
      <c r="I62" s="0" t="str">
        <f aca="false">IF(AND($B62="D01",$C62="G5"),I61&amp;IF(I61="","",CHAR(10))&amp;$A62,I61)</f>
        <v/>
      </c>
      <c r="J62" s="0" t="str">
        <f aca="false">IF(AND($B62="D01",$C62="G6"),J61&amp;IF(J61="","",CHAR(10))&amp;$A62,J61)</f>
        <v/>
      </c>
      <c r="K62" s="0" t="str">
        <f aca="false">IF(AND($B62="D02",$C62="G0"),K61&amp;IF(K61="","",CHAR(10))&amp;$A62,K61)</f>
        <v/>
      </c>
      <c r="L62" s="363" t="str">
        <f aca="false">IF(AND($B62="D02",$C62="G1"),L61&amp;IF(L61="","",CHAR(10))&amp;$A62,L61)</f>
        <v>◐ 007 人口需求與病例量預測
◐ 008 醫院定位與服務組合
◐ 009 重點專科優先化
◐ 010 病人流程與容量設計
◐ 011 轉診與區域照護網絡
◐ 012 臨床治理與責任架構</v>
      </c>
      <c r="M62" s="0" t="str">
        <f aca="false">IF(AND($B62="D02",$C62="G2"),M61&amp;IF(M61="","",CHAR(10))&amp;$A62,M61)</f>
        <v/>
      </c>
      <c r="N62" s="0" t="str">
        <f aca="false">IF(AND($B62="D02",$C62="G3"),N61&amp;IF(N61="","",CHAR(10))&amp;$A62,N61)</f>
        <v/>
      </c>
      <c r="O62" s="0" t="str">
        <f aca="false">IF(AND($B62="D02",$C62="G4"),O61&amp;IF(O61="","",CHAR(10))&amp;$A62,O61)</f>
        <v/>
      </c>
      <c r="P62" s="0" t="str">
        <f aca="false">IF(AND($B62="D02",$C62="G5"),P61&amp;IF(P61="","",CHAR(10))&amp;$A62,P61)</f>
        <v/>
      </c>
      <c r="Q62" s="0" t="str">
        <f aca="false">IF(AND($B62="D02",$C62="G6"),Q61&amp;IF(Q61="","",CHAR(10))&amp;$A62,Q61)</f>
        <v/>
      </c>
      <c r="R62" s="0" t="str">
        <f aca="false">IF(AND($B62="D03",$C62="G0"),R61&amp;IF(R61="","",CHAR(10))&amp;$A62,R61)</f>
        <v/>
      </c>
      <c r="S62" s="0" t="str">
        <f aca="false">IF(AND($B62="D03",$C62="G1"),S61&amp;IF(S61="","",CHAR(10))&amp;$A62,S61)</f>
        <v>◐ 013 場址與醫院總體規劃</v>
      </c>
      <c r="T62" s="363" t="str">
        <f aca="false">IF(AND($B62="D03",$C62="G2"),T61&amp;IF(T61="","",CHAR(10))&amp;$A62,T61)</f>
        <v>◐ 014 醫療建築功能計畫
◐ 015 感染控制與潔污動線
◐ 019 綠色與氣候韌性醫院</v>
      </c>
      <c r="U62" s="363" t="str">
        <f aca="false">IF(AND($B62="D03",$C62="G3"),U61&amp;IF(U61="","",CHAR(10))&amp;$A62,U61)</f>
        <v>● 016 電力、備援與微電網
◐ 017 醫療氣體與關鍵公用系統
◐ 018 醫療廢棄物與水資源</v>
      </c>
      <c r="V62" s="0" t="str">
        <f aca="false">IF(AND($B62="D03",$C62="G4"),V61&amp;IF(V61="","",CHAR(10))&amp;$A62,V61)</f>
        <v/>
      </c>
      <c r="W62" s="0" t="str">
        <f aca="false">IF(AND($B62="D03",$C62="G5"),W61&amp;IF(W61="","",CHAR(10))&amp;$A62,W61)</f>
        <v/>
      </c>
      <c r="X62" s="0" t="str">
        <f aca="false">IF(AND($B62="D03",$C62="G6"),X61&amp;IF(X61="","",CHAR(10))&amp;$A62,X61)</f>
        <v/>
      </c>
      <c r="Y62" s="0" t="str">
        <f aca="false">IF(AND($B62="D04",$C62="G0"),Y61&amp;IF(Y61="","",CHAR(10))&amp;$A62,Y61)</f>
        <v/>
      </c>
      <c r="Z62" s="0" t="str">
        <f aca="false">IF(AND($B62="D04",$C62="G1"),Z61&amp;IF(Z61="","",CHAR(10))&amp;$A62,Z61)</f>
        <v/>
      </c>
      <c r="AA62" s="0" t="str">
        <f aca="false">IF(AND($B62="D04",$C62="G2"),AA61&amp;IF(AA61="","",CHAR(10))&amp;$A62,AA61)</f>
        <v/>
      </c>
      <c r="AB62" s="0" t="str">
        <f aca="false">IF(AND($B62="D04",$C62="G3"),AB61&amp;IF(AB61="","",CHAR(10))&amp;$A62,AB61)</f>
        <v>● 020 IDC與邊緣運算底座</v>
      </c>
      <c r="AC62" s="363" t="str">
        <f aca="false">IF(AND($B62="D04",$C62="G4"),AC61&amp;IF(AC61="","",CHAR(10))&amp;$A62,AC61)</f>
        <v>● 021 有線無線網路與分區
◐ 022 資安營運與零信任
● 023 BMS與能源管理
● 024 RTLS與資產／人員定位
● 025 智慧病房、護理呼叫與感測
● 026 災難復原與營運持續</v>
      </c>
      <c r="AD62" s="0" t="str">
        <f aca="false">IF(AND($B62="D04",$C62="G5"),AD61&amp;IF(AD61="","",CHAR(10))&amp;$A62,AD61)</f>
        <v/>
      </c>
      <c r="AE62" s="0" t="str">
        <f aca="false">IF(AND($B62="D04",$C62="G6"),AE61&amp;IF(AE61="","",CHAR(10))&amp;$A62,AE61)</f>
        <v/>
      </c>
      <c r="AF62" s="0" t="str">
        <f aca="false">IF(AND($B62="D05",$C62="G0"),AF61&amp;IF(AF61="","",CHAR(10))&amp;$A62,AF61)</f>
        <v/>
      </c>
      <c r="AG62" s="0" t="str">
        <f aca="false">IF(AND($B62="D05",$C62="G1"),AG61&amp;IF(AG61="","",CHAR(10))&amp;$A62,AG61)</f>
        <v/>
      </c>
      <c r="AH62" s="0" t="str">
        <f aca="false">IF(AND($B62="D05",$C62="G2"),AH61&amp;IF(AH61="","",CHAR(10))&amp;$A62,AH61)</f>
        <v>◐ 027 醫材需求與設備計畫</v>
      </c>
      <c r="AI62" s="0" t="str">
        <f aca="false">IF(AND($B62="D05",$C62="G3"),AI61&amp;IF(AI61="","",CHAR(10))&amp;$A62,AI61)</f>
        <v/>
      </c>
      <c r="AJ62" s="363" t="str">
        <f aca="false">IF(AND($B62="D05",$C62="G4"),AJ61&amp;IF(AJ61="","",CHAR(10))&amp;$A62,AJ61)</f>
        <v>○ 028 影像設備、PACS與報告流程
○ 029 實驗室自動化與LIS
○ 030 手術室與重症整合
◐ 031 醫材介接與裝置身分
◐ 032 醫療工程與設備生命週期</v>
      </c>
      <c r="AK62" s="0" t="str">
        <f aca="false">IF(AND($B62="D05",$C62="G5"),AK61&amp;IF(AK61="","",CHAR(10))&amp;$A62,AK61)</f>
        <v/>
      </c>
      <c r="AL62" s="0" t="str">
        <f aca="false">IF(AND($B62="D05",$C62="G6"),AL61&amp;IF(AL61="","",CHAR(10))&amp;$A62,AL61)</f>
        <v/>
      </c>
      <c r="AM62" s="0" t="str">
        <f aca="false">IF(AND($B62="D06",$C62="G0"),AM61&amp;IF(AM61="","",CHAR(10))&amp;$A62,AM61)</f>
        <v/>
      </c>
      <c r="AN62" s="0" t="str">
        <f aca="false">IF(AND($B62="D06",$C62="G1"),AN61&amp;IF(AN61="","",CHAR(10))&amp;$A62,AN61)</f>
        <v/>
      </c>
      <c r="AO62" s="0" t="str">
        <f aca="false">IF(AND($B62="D06",$C62="G2"),AO61&amp;IF(AO61="","",CHAR(10))&amp;$A62,AO61)</f>
        <v/>
      </c>
      <c r="AP62" s="363" t="str">
        <f aca="false">IF(AND($B62="D06",$C62="G3"),AP61&amp;IF(AP61="","",CHAR(10))&amp;$A62,AP61)</f>
        <v>◐ 033 HIS／EMR核心平台
◐ 036 臨床術語與主資料治理</v>
      </c>
      <c r="AQ62" s="363" t="str">
        <f aca="false">IF(AND($B62="D06",$C62="G4"),AQ61&amp;IF(AQ61="","",CHAR(10))&amp;$A62,AQ61)</f>
        <v>◐ 034 FHIR介接與API管理
○ 035 主病人索引與身分整合
◐ 037 電子醫囑、用藥與決策支援
◐ 038 資料平台、BI與營運指揮</v>
      </c>
      <c r="AR62" s="0" t="str">
        <f aca="false">IF(AND($B62="D06",$C62="G5"),AR61&amp;IF(AR61="","",CHAR(10))&amp;$A62,AR61)</f>
        <v>○ 039 病人入口、行動服務與VNeID準備</v>
      </c>
      <c r="AS62" s="0" t="str">
        <f aca="false">IF(AND($B62="D06",$C62="G6"),AS61&amp;IF(AS61="","",CHAR(10))&amp;$A62,AS61)</f>
        <v/>
      </c>
      <c r="AT62" s="0" t="str">
        <f aca="false">IF(AND($B62="D07",$C62="G0"),AT61&amp;IF(AT61="","",CHAR(10))&amp;$A62,AT61)</f>
        <v/>
      </c>
      <c r="AU62" s="0" t="str">
        <f aca="false">IF(AND($B62="D07",$C62="G1"),AU61&amp;IF(AU61="","",CHAR(10))&amp;$A62,AU61)</f>
        <v/>
      </c>
      <c r="AV62" s="0" t="str">
        <f aca="false">IF(AND($B62="D07",$C62="G2"),AV61&amp;IF(AV61="","",CHAR(10))&amp;$A62,AV61)</f>
        <v>◐ 040 品質管理與JCI路線圖</v>
      </c>
      <c r="AW62" s="363" t="str">
        <f aca="false">IF(AND($B62="D07",$C62="G3"),AW61&amp;IF(AW61="","",CHAR(10))&amp;$A62,AW61)</f>
        <v>◐ 041 感染預防與控制制度
◐ 043 事件通報與根因改善</v>
      </c>
      <c r="AX62" s="0" t="str">
        <f aca="false">IF(AND($B62="D07",$C62="G4"),AX61&amp;IF(AX61="","",CHAR(10))&amp;$A62,AX61)</f>
        <v>◐ 042 用藥安全閉環</v>
      </c>
      <c r="AY62" s="0" t="str">
        <f aca="false">IF(AND($B62="D07",$C62="G5"),AY61&amp;IF(AY61="","",CHAR(10))&amp;$A62,AY61)</f>
        <v>◐ 044 開院臨床安全驗證</v>
      </c>
      <c r="AZ62" s="0" t="str">
        <f aca="false">IF(AND($B62="D07",$C62="G6"),AZ61&amp;IF(AZ61="","",CHAR(10))&amp;$A62,AZ61)</f>
        <v/>
      </c>
      <c r="BA62" s="0" t="str">
        <f aca="false">IF(AND($B62="D08",$C62="G0"),BA61&amp;IF(BA61="","",CHAR(10))&amp;$A62,BA61)</f>
        <v/>
      </c>
      <c r="BB62" s="0" t="str">
        <f aca="false">IF(AND($B62="D08",$C62="G1"),BB61&amp;IF(BB61="","",CHAR(10))&amp;$A62,BB61)</f>
        <v/>
      </c>
      <c r="BC62" s="0" t="str">
        <f aca="false">IF(AND($B62="D08",$C62="G2"),BC61&amp;IF(BC61="","",CHAR(10))&amp;$A62,BC61)</f>
        <v>○ 045 人力與輪班模型</v>
      </c>
      <c r="BD62" s="0" t="str">
        <f aca="false">IF(AND($B62="D08",$C62="G3"),BD61&amp;IF(BD61="","",CHAR(10))&amp;$A62,BD61)</f>
        <v>◐ 046 職能矩陣與授權</v>
      </c>
      <c r="BE62" s="363" t="str">
        <f aca="false">IF(AND($B62="D08",$C62="G4"),BE61&amp;IF(BE61="","",CHAR(10))&amp;$A62,BE61)</f>
        <v>◐ 047 種子教師與技術移轉
◐ 049 變革管理與使用者採納</v>
      </c>
      <c r="BF62" s="0" t="str">
        <f aca="false">IF(AND($B62="D08",$C62="G5"),BF61&amp;IF(BF61="","",CHAR(10))&amp;$A62,BF61)</f>
        <v>◐ 048 模擬中心與開院演練</v>
      </c>
      <c r="BG62" s="0" t="str">
        <f aca="false">IF(AND($B62="D08",$C62="G6"),BG61&amp;IF(BG61="","",CHAR(10))&amp;$A62,BG61)</f>
        <v/>
      </c>
      <c r="BH62" s="0" t="str">
        <f aca="false">IF(AND($B62="D09",$C62="G0"),BH61&amp;IF(BH61="","",CHAR(10))&amp;$A62,BH61)</f>
        <v/>
      </c>
      <c r="BI62" s="0" t="str">
        <f aca="false">IF(AND($B62="D09",$C62="G1"),BI61&amp;IF(BI61="","",CHAR(10))&amp;$A62,BI61)</f>
        <v/>
      </c>
      <c r="BJ62" s="0" t="str">
        <f aca="false">IF(AND($B62="D09",$C62="G2"),BJ61&amp;IF(BJ61="","",CHAR(10))&amp;$A62,BJ61)</f>
        <v>◐ 050 整合採購與供應商治理</v>
      </c>
      <c r="BK62" s="0" t="str">
        <f aca="false">IF(AND($B62="D09",$C62="G3"),BK61&amp;IF(BK61="","",CHAR(10))&amp;$A62,BK61)</f>
        <v/>
      </c>
      <c r="BL62" s="363" t="str">
        <f aca="false">IF(AND($B62="D09",$C62="G4"),BL61&amp;IF(BL61="","",CHAR(10))&amp;$A62,BL61)</f>
        <v>◐ 051 藥品耗材與SPD物流
◐ 052 冷鏈與特殊物料
● 053 CMMS與設施維運</v>
      </c>
      <c r="BM62" s="0" t="str">
        <f aca="false">IF(AND($B62="D09",$C62="G5"),BM61&amp;IF(BM61="","",CHAR(10))&amp;$A62,BM61)</f>
        <v>◐ 054 在地備品、維修與汰換</v>
      </c>
      <c r="BN62" s="0" t="str">
        <f aca="false">IF(AND($B62="D09",$C62="G6"),BN61&amp;IF(BN61="","",CHAR(10))&amp;$A62,BN61)</f>
        <v/>
      </c>
      <c r="BO62" s="0" t="str">
        <f aca="false">IF(AND($B62="D10",$C62="G0"),BO61&amp;IF(BO61="","",CHAR(10))&amp;$A62,BO61)</f>
        <v/>
      </c>
      <c r="BP62" s="0" t="str">
        <f aca="false">IF(AND($B62="D10",$C62="G1"),BP61&amp;IF(BP61="","",CHAR(10))&amp;$A62,BP61)</f>
        <v>◐ 055 全生命週期成本模型</v>
      </c>
      <c r="BQ62" s="0" t="str">
        <f aca="false">IF(AND($B62="D10",$C62="G2"),BQ61&amp;IF(BQ61="","",CHAR(10))&amp;$A62,BQ61)</f>
        <v/>
      </c>
      <c r="BR62" s="0" t="str">
        <f aca="false">IF(AND($B62="D10",$C62="G3"),BR61&amp;IF(BR61="","",CHAR(10))&amp;$A62,BR61)</f>
        <v/>
      </c>
      <c r="BS62" s="363" t="str">
        <f aca="false">IF(AND($B62="D10",$C62="G4"),BS61&amp;IF(BS61="","",CHAR(10))&amp;$A62,BS61)</f>
        <v>○ 056 健保申報與數位理賠
○ 057 現金流、支付與收入週期</v>
      </c>
      <c r="BT62" s="0" t="str">
        <f aca="false">IF(AND($B62="D10",$C62="G5"),BT61&amp;IF(BT61="","",CHAR(10))&amp;$A62,BT61)</f>
        <v>○ 058 國際醫療與高價值服務</v>
      </c>
      <c r="BU62" s="0" t="str">
        <f aca="false">IF(AND($B62="D10",$C62="G6"),BU61&amp;IF(BU61="","",CHAR(10))&amp;$A62,BU61)</f>
        <v/>
      </c>
      <c r="BX62" s="0" t="n">
        <f aca="false">IF(AND(03_能力總表_Master!$A62&lt;&gt;"",LEFT(03_能力總表_Master!$H62,2)="缺口"),MAX($BX$4:BX61)+1,"")</f>
        <v>9</v>
      </c>
      <c r="BY62" s="0" t="str">
        <f aca="false">IF(AND(03_能力總表_Master!$A62&lt;&gt;"",03_能力總表_Master!$J62=12_夥伴視角_PartnerView!$C$4),MAX($BY$4:BY61)+1,"")</f>
        <v/>
      </c>
      <c r="CC62" s="0" t="str">
        <f aca="false">IF(AND(03_能力總表_Master!$A62&lt;&gt;"",IFERROR(INDEX(16_能力商機矩陣_CapOppMap!$D62:$CO62,MATCH(LEFT(17_商機作戰卡_OppView!$C$4,6),16_能力商機矩陣_CapOppMap!$D$4:$CO$4,0)),"")="✓"),MAX($CC$4:CC61)+1,"")</f>
        <v/>
      </c>
    </row>
    <row r="63" customFormat="false" ht="95.5" hidden="false" customHeight="false" outlineLevel="0" collapsed="false">
      <c r="A63" s="0" t="str">
        <f aca="false">IF(03_能力總表_Master!$A63="","",IF(LEFT(03_能力總表_Master!$H63,2)="群晶","● ",IF(ISNUMBER(SEARCH("已確認",03_能力總表_Master!$H63)),"◆ ",IF(ISNUMBER(SEARCH("缺口",03_能力總表_Master!$H63)),"○ ","◐ ")))&amp;RIGHT(03_能力總表_Master!$A63,3)&amp;" "&amp;03_能力總表_Master!$E63)</f>
        <v>◐ 059 PPP／JV財務與風險分配</v>
      </c>
      <c r="B63" s="0" t="str">
        <f aca="false">IF(03_能力總表_Master!$A63="","",LEFT(03_能力總表_Master!$B63,3))</f>
        <v>D10</v>
      </c>
      <c r="C63" s="0" t="str">
        <f aca="false">IF(03_能力總表_Master!$A63="","",03_能力總表_Master!$C63)</f>
        <v>G2</v>
      </c>
      <c r="D63" s="363" t="str">
        <f aca="false">IF(AND($B63="D01",$C63="G0"),D62&amp;IF(D62="","",CHAR(10))&amp;$A63,D62)</f>
        <v>◐ 001 政府授權與計畫章程
◐ 002 利害關係人與權力地圖
◐ 005 聯盟治理與利益衝突</v>
      </c>
      <c r="E63" s="363" t="str">
        <f aca="false">IF(AND($B63="D01",$C63="G1"),E62&amp;IF(E62="","",CHAR(10))&amp;$A63,E62)</f>
        <v>◐ 003 交易模式選擇
◐ 004 法規與執照路徑</v>
      </c>
      <c r="F63" s="0" t="str">
        <f aca="false">IF(AND($B63="D01",$C63="G2"),F62&amp;IF(F62="","",CHAR(10))&amp;$A63,F62)</f>
        <v>◐ 006 績效契約與變更控制</v>
      </c>
      <c r="G63" s="0" t="str">
        <f aca="false">IF(AND($B63="D01",$C63="G3"),G62&amp;IF(G62="","",CHAR(10))&amp;$A63,G62)</f>
        <v/>
      </c>
      <c r="H63" s="0" t="str">
        <f aca="false">IF(AND($B63="D01",$C63="G4"),H62&amp;IF(H62="","",CHAR(10))&amp;$A63,H62)</f>
        <v/>
      </c>
      <c r="I63" s="0" t="str">
        <f aca="false">IF(AND($B63="D01",$C63="G5"),I62&amp;IF(I62="","",CHAR(10))&amp;$A63,I62)</f>
        <v/>
      </c>
      <c r="J63" s="0" t="str">
        <f aca="false">IF(AND($B63="D01",$C63="G6"),J62&amp;IF(J62="","",CHAR(10))&amp;$A63,J62)</f>
        <v/>
      </c>
      <c r="K63" s="0" t="str">
        <f aca="false">IF(AND($B63="D02",$C63="G0"),K62&amp;IF(K62="","",CHAR(10))&amp;$A63,K62)</f>
        <v/>
      </c>
      <c r="L63" s="363" t="str">
        <f aca="false">IF(AND($B63="D02",$C63="G1"),L62&amp;IF(L62="","",CHAR(10))&amp;$A63,L62)</f>
        <v>◐ 007 人口需求與病例量預測
◐ 008 醫院定位與服務組合
◐ 009 重點專科優先化
◐ 010 病人流程與容量設計
◐ 011 轉診與區域照護網絡
◐ 012 臨床治理與責任架構</v>
      </c>
      <c r="M63" s="0" t="str">
        <f aca="false">IF(AND($B63="D02",$C63="G2"),M62&amp;IF(M62="","",CHAR(10))&amp;$A63,M62)</f>
        <v/>
      </c>
      <c r="N63" s="0" t="str">
        <f aca="false">IF(AND($B63="D02",$C63="G3"),N62&amp;IF(N62="","",CHAR(10))&amp;$A63,N62)</f>
        <v/>
      </c>
      <c r="O63" s="0" t="str">
        <f aca="false">IF(AND($B63="D02",$C63="G4"),O62&amp;IF(O62="","",CHAR(10))&amp;$A63,O62)</f>
        <v/>
      </c>
      <c r="P63" s="0" t="str">
        <f aca="false">IF(AND($B63="D02",$C63="G5"),P62&amp;IF(P62="","",CHAR(10))&amp;$A63,P62)</f>
        <v/>
      </c>
      <c r="Q63" s="0" t="str">
        <f aca="false">IF(AND($B63="D02",$C63="G6"),Q62&amp;IF(Q62="","",CHAR(10))&amp;$A63,Q62)</f>
        <v/>
      </c>
      <c r="R63" s="0" t="str">
        <f aca="false">IF(AND($B63="D03",$C63="G0"),R62&amp;IF(R62="","",CHAR(10))&amp;$A63,R62)</f>
        <v/>
      </c>
      <c r="S63" s="0" t="str">
        <f aca="false">IF(AND($B63="D03",$C63="G1"),S62&amp;IF(S62="","",CHAR(10))&amp;$A63,S62)</f>
        <v>◐ 013 場址與醫院總體規劃</v>
      </c>
      <c r="T63" s="363" t="str">
        <f aca="false">IF(AND($B63="D03",$C63="G2"),T62&amp;IF(T62="","",CHAR(10))&amp;$A63,T62)</f>
        <v>◐ 014 醫療建築功能計畫
◐ 015 感染控制與潔污動線
◐ 019 綠色與氣候韌性醫院</v>
      </c>
      <c r="U63" s="363" t="str">
        <f aca="false">IF(AND($B63="D03",$C63="G3"),U62&amp;IF(U62="","",CHAR(10))&amp;$A63,U62)</f>
        <v>● 016 電力、備援與微電網
◐ 017 醫療氣體與關鍵公用系統
◐ 018 醫療廢棄物與水資源</v>
      </c>
      <c r="V63" s="0" t="str">
        <f aca="false">IF(AND($B63="D03",$C63="G4"),V62&amp;IF(V62="","",CHAR(10))&amp;$A63,V62)</f>
        <v/>
      </c>
      <c r="W63" s="0" t="str">
        <f aca="false">IF(AND($B63="D03",$C63="G5"),W62&amp;IF(W62="","",CHAR(10))&amp;$A63,W62)</f>
        <v/>
      </c>
      <c r="X63" s="0" t="str">
        <f aca="false">IF(AND($B63="D03",$C63="G6"),X62&amp;IF(X62="","",CHAR(10))&amp;$A63,X62)</f>
        <v/>
      </c>
      <c r="Y63" s="0" t="str">
        <f aca="false">IF(AND($B63="D04",$C63="G0"),Y62&amp;IF(Y62="","",CHAR(10))&amp;$A63,Y62)</f>
        <v/>
      </c>
      <c r="Z63" s="0" t="str">
        <f aca="false">IF(AND($B63="D04",$C63="G1"),Z62&amp;IF(Z62="","",CHAR(10))&amp;$A63,Z62)</f>
        <v/>
      </c>
      <c r="AA63" s="0" t="str">
        <f aca="false">IF(AND($B63="D04",$C63="G2"),AA62&amp;IF(AA62="","",CHAR(10))&amp;$A63,AA62)</f>
        <v/>
      </c>
      <c r="AB63" s="0" t="str">
        <f aca="false">IF(AND($B63="D04",$C63="G3"),AB62&amp;IF(AB62="","",CHAR(10))&amp;$A63,AB62)</f>
        <v>● 020 IDC與邊緣運算底座</v>
      </c>
      <c r="AC63" s="363" t="str">
        <f aca="false">IF(AND($B63="D04",$C63="G4"),AC62&amp;IF(AC62="","",CHAR(10))&amp;$A63,AC62)</f>
        <v>● 021 有線無線網路與分區
◐ 022 資安營運與零信任
● 023 BMS與能源管理
● 024 RTLS與資產／人員定位
● 025 智慧病房、護理呼叫與感測
● 026 災難復原與營運持續</v>
      </c>
      <c r="AD63" s="0" t="str">
        <f aca="false">IF(AND($B63="D04",$C63="G5"),AD62&amp;IF(AD62="","",CHAR(10))&amp;$A63,AD62)</f>
        <v/>
      </c>
      <c r="AE63" s="0" t="str">
        <f aca="false">IF(AND($B63="D04",$C63="G6"),AE62&amp;IF(AE62="","",CHAR(10))&amp;$A63,AE62)</f>
        <v/>
      </c>
      <c r="AF63" s="0" t="str">
        <f aca="false">IF(AND($B63="D05",$C63="G0"),AF62&amp;IF(AF62="","",CHAR(10))&amp;$A63,AF62)</f>
        <v/>
      </c>
      <c r="AG63" s="0" t="str">
        <f aca="false">IF(AND($B63="D05",$C63="G1"),AG62&amp;IF(AG62="","",CHAR(10))&amp;$A63,AG62)</f>
        <v/>
      </c>
      <c r="AH63" s="0" t="str">
        <f aca="false">IF(AND($B63="D05",$C63="G2"),AH62&amp;IF(AH62="","",CHAR(10))&amp;$A63,AH62)</f>
        <v>◐ 027 醫材需求與設備計畫</v>
      </c>
      <c r="AI63" s="0" t="str">
        <f aca="false">IF(AND($B63="D05",$C63="G3"),AI62&amp;IF(AI62="","",CHAR(10))&amp;$A63,AI62)</f>
        <v/>
      </c>
      <c r="AJ63" s="363" t="str">
        <f aca="false">IF(AND($B63="D05",$C63="G4"),AJ62&amp;IF(AJ62="","",CHAR(10))&amp;$A63,AJ62)</f>
        <v>○ 028 影像設備、PACS與報告流程
○ 029 實驗室自動化與LIS
○ 030 手術室與重症整合
◐ 031 醫材介接與裝置身分
◐ 032 醫療工程與設備生命週期</v>
      </c>
      <c r="AK63" s="0" t="str">
        <f aca="false">IF(AND($B63="D05",$C63="G5"),AK62&amp;IF(AK62="","",CHAR(10))&amp;$A63,AK62)</f>
        <v/>
      </c>
      <c r="AL63" s="0" t="str">
        <f aca="false">IF(AND($B63="D05",$C63="G6"),AL62&amp;IF(AL62="","",CHAR(10))&amp;$A63,AL62)</f>
        <v/>
      </c>
      <c r="AM63" s="0" t="str">
        <f aca="false">IF(AND($B63="D06",$C63="G0"),AM62&amp;IF(AM62="","",CHAR(10))&amp;$A63,AM62)</f>
        <v/>
      </c>
      <c r="AN63" s="0" t="str">
        <f aca="false">IF(AND($B63="D06",$C63="G1"),AN62&amp;IF(AN62="","",CHAR(10))&amp;$A63,AN62)</f>
        <v/>
      </c>
      <c r="AO63" s="0" t="str">
        <f aca="false">IF(AND($B63="D06",$C63="G2"),AO62&amp;IF(AO62="","",CHAR(10))&amp;$A63,AO62)</f>
        <v/>
      </c>
      <c r="AP63" s="363" t="str">
        <f aca="false">IF(AND($B63="D06",$C63="G3"),AP62&amp;IF(AP62="","",CHAR(10))&amp;$A63,AP62)</f>
        <v>◐ 033 HIS／EMR核心平台
◐ 036 臨床術語與主資料治理</v>
      </c>
      <c r="AQ63" s="363" t="str">
        <f aca="false">IF(AND($B63="D06",$C63="G4"),AQ62&amp;IF(AQ62="","",CHAR(10))&amp;$A63,AQ62)</f>
        <v>◐ 034 FHIR介接與API管理
○ 035 主病人索引與身分整合
◐ 037 電子醫囑、用藥與決策支援
◐ 038 資料平台、BI與營運指揮</v>
      </c>
      <c r="AR63" s="0" t="str">
        <f aca="false">IF(AND($B63="D06",$C63="G5"),AR62&amp;IF(AR62="","",CHAR(10))&amp;$A63,AR62)</f>
        <v>○ 039 病人入口、行動服務與VNeID準備</v>
      </c>
      <c r="AS63" s="0" t="str">
        <f aca="false">IF(AND($B63="D06",$C63="G6"),AS62&amp;IF(AS62="","",CHAR(10))&amp;$A63,AS62)</f>
        <v/>
      </c>
      <c r="AT63" s="0" t="str">
        <f aca="false">IF(AND($B63="D07",$C63="G0"),AT62&amp;IF(AT62="","",CHAR(10))&amp;$A63,AT62)</f>
        <v/>
      </c>
      <c r="AU63" s="0" t="str">
        <f aca="false">IF(AND($B63="D07",$C63="G1"),AU62&amp;IF(AU62="","",CHAR(10))&amp;$A63,AU62)</f>
        <v/>
      </c>
      <c r="AV63" s="0" t="str">
        <f aca="false">IF(AND($B63="D07",$C63="G2"),AV62&amp;IF(AV62="","",CHAR(10))&amp;$A63,AV62)</f>
        <v>◐ 040 品質管理與JCI路線圖</v>
      </c>
      <c r="AW63" s="363" t="str">
        <f aca="false">IF(AND($B63="D07",$C63="G3"),AW62&amp;IF(AW62="","",CHAR(10))&amp;$A63,AW62)</f>
        <v>◐ 041 感染預防與控制制度
◐ 043 事件通報與根因改善</v>
      </c>
      <c r="AX63" s="0" t="str">
        <f aca="false">IF(AND($B63="D07",$C63="G4"),AX62&amp;IF(AX62="","",CHAR(10))&amp;$A63,AX62)</f>
        <v>◐ 042 用藥安全閉環</v>
      </c>
      <c r="AY63" s="0" t="str">
        <f aca="false">IF(AND($B63="D07",$C63="G5"),AY62&amp;IF(AY62="","",CHAR(10))&amp;$A63,AY62)</f>
        <v>◐ 044 開院臨床安全驗證</v>
      </c>
      <c r="AZ63" s="0" t="str">
        <f aca="false">IF(AND($B63="D07",$C63="G6"),AZ62&amp;IF(AZ62="","",CHAR(10))&amp;$A63,AZ62)</f>
        <v/>
      </c>
      <c r="BA63" s="0" t="str">
        <f aca="false">IF(AND($B63="D08",$C63="G0"),BA62&amp;IF(BA62="","",CHAR(10))&amp;$A63,BA62)</f>
        <v/>
      </c>
      <c r="BB63" s="0" t="str">
        <f aca="false">IF(AND($B63="D08",$C63="G1"),BB62&amp;IF(BB62="","",CHAR(10))&amp;$A63,BB62)</f>
        <v/>
      </c>
      <c r="BC63" s="0" t="str">
        <f aca="false">IF(AND($B63="D08",$C63="G2"),BC62&amp;IF(BC62="","",CHAR(10))&amp;$A63,BC62)</f>
        <v>○ 045 人力與輪班模型</v>
      </c>
      <c r="BD63" s="0" t="str">
        <f aca="false">IF(AND($B63="D08",$C63="G3"),BD62&amp;IF(BD62="","",CHAR(10))&amp;$A63,BD62)</f>
        <v>◐ 046 職能矩陣與授權</v>
      </c>
      <c r="BE63" s="363" t="str">
        <f aca="false">IF(AND($B63="D08",$C63="G4"),BE62&amp;IF(BE62="","",CHAR(10))&amp;$A63,BE62)</f>
        <v>◐ 047 種子教師與技術移轉
◐ 049 變革管理與使用者採納</v>
      </c>
      <c r="BF63" s="0" t="str">
        <f aca="false">IF(AND($B63="D08",$C63="G5"),BF62&amp;IF(BF62="","",CHAR(10))&amp;$A63,BF62)</f>
        <v>◐ 048 模擬中心與開院演練</v>
      </c>
      <c r="BG63" s="0" t="str">
        <f aca="false">IF(AND($B63="D08",$C63="G6"),BG62&amp;IF(BG62="","",CHAR(10))&amp;$A63,BG62)</f>
        <v/>
      </c>
      <c r="BH63" s="0" t="str">
        <f aca="false">IF(AND($B63="D09",$C63="G0"),BH62&amp;IF(BH62="","",CHAR(10))&amp;$A63,BH62)</f>
        <v/>
      </c>
      <c r="BI63" s="0" t="str">
        <f aca="false">IF(AND($B63="D09",$C63="G1"),BI62&amp;IF(BI62="","",CHAR(10))&amp;$A63,BI62)</f>
        <v/>
      </c>
      <c r="BJ63" s="0" t="str">
        <f aca="false">IF(AND($B63="D09",$C63="G2"),BJ62&amp;IF(BJ62="","",CHAR(10))&amp;$A63,BJ62)</f>
        <v>◐ 050 整合採購與供應商治理</v>
      </c>
      <c r="BK63" s="0" t="str">
        <f aca="false">IF(AND($B63="D09",$C63="G3"),BK62&amp;IF(BK62="","",CHAR(10))&amp;$A63,BK62)</f>
        <v/>
      </c>
      <c r="BL63" s="363" t="str">
        <f aca="false">IF(AND($B63="D09",$C63="G4"),BL62&amp;IF(BL62="","",CHAR(10))&amp;$A63,BL62)</f>
        <v>◐ 051 藥品耗材與SPD物流
◐ 052 冷鏈與特殊物料
● 053 CMMS與設施維運</v>
      </c>
      <c r="BM63" s="0" t="str">
        <f aca="false">IF(AND($B63="D09",$C63="G5"),BM62&amp;IF(BM62="","",CHAR(10))&amp;$A63,BM62)</f>
        <v>◐ 054 在地備品、維修與汰換</v>
      </c>
      <c r="BN63" s="0" t="str">
        <f aca="false">IF(AND($B63="D09",$C63="G6"),BN62&amp;IF(BN62="","",CHAR(10))&amp;$A63,BN62)</f>
        <v/>
      </c>
      <c r="BO63" s="0" t="str">
        <f aca="false">IF(AND($B63="D10",$C63="G0"),BO62&amp;IF(BO62="","",CHAR(10))&amp;$A63,BO62)</f>
        <v/>
      </c>
      <c r="BP63" s="0" t="str">
        <f aca="false">IF(AND($B63="D10",$C63="G1"),BP62&amp;IF(BP62="","",CHAR(10))&amp;$A63,BP62)</f>
        <v>◐ 055 全生命週期成本模型</v>
      </c>
      <c r="BQ63" s="0" t="str">
        <f aca="false">IF(AND($B63="D10",$C63="G2"),BQ62&amp;IF(BQ62="","",CHAR(10))&amp;$A63,BQ62)</f>
        <v>◐ 059 PPP／JV財務與風險分配</v>
      </c>
      <c r="BR63" s="0" t="str">
        <f aca="false">IF(AND($B63="D10",$C63="G3"),BR62&amp;IF(BR62="","",CHAR(10))&amp;$A63,BR62)</f>
        <v/>
      </c>
      <c r="BS63" s="363" t="str">
        <f aca="false">IF(AND($B63="D10",$C63="G4"),BS62&amp;IF(BS62="","",CHAR(10))&amp;$A63,BS62)</f>
        <v>○ 056 健保申報與數位理賠
○ 057 現金流、支付與收入週期</v>
      </c>
      <c r="BT63" s="0" t="str">
        <f aca="false">IF(AND($B63="D10",$C63="G5"),BT62&amp;IF(BT62="","",CHAR(10))&amp;$A63,BT62)</f>
        <v>○ 058 國際醫療與高價值服務</v>
      </c>
      <c r="BU63" s="0" t="str">
        <f aca="false">IF(AND($B63="D10",$C63="G6"),BU62&amp;IF(BU62="","",CHAR(10))&amp;$A63,BU62)</f>
        <v/>
      </c>
      <c r="BX63" s="0" t="str">
        <f aca="false">IF(AND(03_能力總表_Master!$A63&lt;&gt;"",LEFT(03_能力總表_Master!$H63,2)="缺口"),MAX($BX$4:BX62)+1,"")</f>
        <v/>
      </c>
      <c r="BY63" s="0" t="str">
        <f aca="false">IF(AND(03_能力總表_Master!$A63&lt;&gt;"",03_能力總表_Master!$J63=12_夥伴視角_PartnerView!$C$4),MAX($BY$4:BY62)+1,"")</f>
        <v/>
      </c>
      <c r="CC63" s="0" t="str">
        <f aca="false">IF(AND(03_能力總表_Master!$A63&lt;&gt;"",IFERROR(INDEX(16_能力商機矩陣_CapOppMap!$D63:$CO63,MATCH(LEFT(17_商機作戰卡_OppView!$C$4,6),16_能力商機矩陣_CapOppMap!$D$4:$CO$4,0)),"")="✓"),MAX($CC$4:CC62)+1,"")</f>
        <v/>
      </c>
    </row>
    <row r="64" customFormat="false" ht="95.5" hidden="false" customHeight="false" outlineLevel="0" collapsed="false">
      <c r="A64" s="0" t="str">
        <f aca="false">IF(03_能力總表_Master!$A64="","",IF(LEFT(03_能力總表_Master!$H64,2)="群晶","● ",IF(ISNUMBER(SEARCH("已確認",03_能力總表_Master!$H64)),"◆ ",IF(ISNUMBER(SEARCH("缺口",03_能力總表_Master!$H64)),"○ ","◐ ")))&amp;RIGHT(03_能力總表_Master!$A64,3)&amp;" "&amp;03_能力總表_Master!$E64)</f>
        <v>◐ 060 效益實現與複製藍圖</v>
      </c>
      <c r="B64" s="0" t="str">
        <f aca="false">IF(03_能力總表_Master!$A64="","",LEFT(03_能力總表_Master!$B64,3))</f>
        <v>D10</v>
      </c>
      <c r="C64" s="0" t="str">
        <f aca="false">IF(03_能力總表_Master!$A64="","",03_能力總表_Master!$C64)</f>
        <v>G6</v>
      </c>
      <c r="D64" s="363" t="str">
        <f aca="false">IF(AND($B64="D01",$C64="G0"),D63&amp;IF(D63="","",CHAR(10))&amp;$A64,D63)</f>
        <v>◐ 001 政府授權與計畫章程
◐ 002 利害關係人與權力地圖
◐ 005 聯盟治理與利益衝突</v>
      </c>
      <c r="E64" s="363" t="str">
        <f aca="false">IF(AND($B64="D01",$C64="G1"),E63&amp;IF(E63="","",CHAR(10))&amp;$A64,E63)</f>
        <v>◐ 003 交易模式選擇
◐ 004 法規與執照路徑</v>
      </c>
      <c r="F64" s="0" t="str">
        <f aca="false">IF(AND($B64="D01",$C64="G2"),F63&amp;IF(F63="","",CHAR(10))&amp;$A64,F63)</f>
        <v>◐ 006 績效契約與變更控制</v>
      </c>
      <c r="G64" s="0" t="str">
        <f aca="false">IF(AND($B64="D01",$C64="G3"),G63&amp;IF(G63="","",CHAR(10))&amp;$A64,G63)</f>
        <v/>
      </c>
      <c r="H64" s="0" t="str">
        <f aca="false">IF(AND($B64="D01",$C64="G4"),H63&amp;IF(H63="","",CHAR(10))&amp;$A64,H63)</f>
        <v/>
      </c>
      <c r="I64" s="0" t="str">
        <f aca="false">IF(AND($B64="D01",$C64="G5"),I63&amp;IF(I63="","",CHAR(10))&amp;$A64,I63)</f>
        <v/>
      </c>
      <c r="J64" s="0" t="str">
        <f aca="false">IF(AND($B64="D01",$C64="G6"),J63&amp;IF(J63="","",CHAR(10))&amp;$A64,J63)</f>
        <v/>
      </c>
      <c r="K64" s="0" t="str">
        <f aca="false">IF(AND($B64="D02",$C64="G0"),K63&amp;IF(K63="","",CHAR(10))&amp;$A64,K63)</f>
        <v/>
      </c>
      <c r="L64" s="363" t="str">
        <f aca="false">IF(AND($B64="D02",$C64="G1"),L63&amp;IF(L63="","",CHAR(10))&amp;$A64,L63)</f>
        <v>◐ 007 人口需求與病例量預測
◐ 008 醫院定位與服務組合
◐ 009 重點專科優先化
◐ 010 病人流程與容量設計
◐ 011 轉診與區域照護網絡
◐ 012 臨床治理與責任架構</v>
      </c>
      <c r="M64" s="0" t="str">
        <f aca="false">IF(AND($B64="D02",$C64="G2"),M63&amp;IF(M63="","",CHAR(10))&amp;$A64,M63)</f>
        <v/>
      </c>
      <c r="N64" s="0" t="str">
        <f aca="false">IF(AND($B64="D02",$C64="G3"),N63&amp;IF(N63="","",CHAR(10))&amp;$A64,N63)</f>
        <v/>
      </c>
      <c r="O64" s="0" t="str">
        <f aca="false">IF(AND($B64="D02",$C64="G4"),O63&amp;IF(O63="","",CHAR(10))&amp;$A64,O63)</f>
        <v/>
      </c>
      <c r="P64" s="0" t="str">
        <f aca="false">IF(AND($B64="D02",$C64="G5"),P63&amp;IF(P63="","",CHAR(10))&amp;$A64,P63)</f>
        <v/>
      </c>
      <c r="Q64" s="0" t="str">
        <f aca="false">IF(AND($B64="D02",$C64="G6"),Q63&amp;IF(Q63="","",CHAR(10))&amp;$A64,Q63)</f>
        <v/>
      </c>
      <c r="R64" s="0" t="str">
        <f aca="false">IF(AND($B64="D03",$C64="G0"),R63&amp;IF(R63="","",CHAR(10))&amp;$A64,R63)</f>
        <v/>
      </c>
      <c r="S64" s="0" t="str">
        <f aca="false">IF(AND($B64="D03",$C64="G1"),S63&amp;IF(S63="","",CHAR(10))&amp;$A64,S63)</f>
        <v>◐ 013 場址與醫院總體規劃</v>
      </c>
      <c r="T64" s="363" t="str">
        <f aca="false">IF(AND($B64="D03",$C64="G2"),T63&amp;IF(T63="","",CHAR(10))&amp;$A64,T63)</f>
        <v>◐ 014 醫療建築功能計畫
◐ 015 感染控制與潔污動線
◐ 019 綠色與氣候韌性醫院</v>
      </c>
      <c r="U64" s="363" t="str">
        <f aca="false">IF(AND($B64="D03",$C64="G3"),U63&amp;IF(U63="","",CHAR(10))&amp;$A64,U63)</f>
        <v>● 016 電力、備援與微電網
◐ 017 醫療氣體與關鍵公用系統
◐ 018 醫療廢棄物與水資源</v>
      </c>
      <c r="V64" s="0" t="str">
        <f aca="false">IF(AND($B64="D03",$C64="G4"),V63&amp;IF(V63="","",CHAR(10))&amp;$A64,V63)</f>
        <v/>
      </c>
      <c r="W64" s="0" t="str">
        <f aca="false">IF(AND($B64="D03",$C64="G5"),W63&amp;IF(W63="","",CHAR(10))&amp;$A64,W63)</f>
        <v/>
      </c>
      <c r="X64" s="0" t="str">
        <f aca="false">IF(AND($B64="D03",$C64="G6"),X63&amp;IF(X63="","",CHAR(10))&amp;$A64,X63)</f>
        <v/>
      </c>
      <c r="Y64" s="0" t="str">
        <f aca="false">IF(AND($B64="D04",$C64="G0"),Y63&amp;IF(Y63="","",CHAR(10))&amp;$A64,Y63)</f>
        <v/>
      </c>
      <c r="Z64" s="0" t="str">
        <f aca="false">IF(AND($B64="D04",$C64="G1"),Z63&amp;IF(Z63="","",CHAR(10))&amp;$A64,Z63)</f>
        <v/>
      </c>
      <c r="AA64" s="0" t="str">
        <f aca="false">IF(AND($B64="D04",$C64="G2"),AA63&amp;IF(AA63="","",CHAR(10))&amp;$A64,AA63)</f>
        <v/>
      </c>
      <c r="AB64" s="0" t="str">
        <f aca="false">IF(AND($B64="D04",$C64="G3"),AB63&amp;IF(AB63="","",CHAR(10))&amp;$A64,AB63)</f>
        <v>● 020 IDC與邊緣運算底座</v>
      </c>
      <c r="AC64" s="363" t="str">
        <f aca="false">IF(AND($B64="D04",$C64="G4"),AC63&amp;IF(AC63="","",CHAR(10))&amp;$A64,AC63)</f>
        <v>● 021 有線無線網路與分區
◐ 022 資安營運與零信任
● 023 BMS與能源管理
● 024 RTLS與資產／人員定位
● 025 智慧病房、護理呼叫與感測
● 026 災難復原與營運持續</v>
      </c>
      <c r="AD64" s="0" t="str">
        <f aca="false">IF(AND($B64="D04",$C64="G5"),AD63&amp;IF(AD63="","",CHAR(10))&amp;$A64,AD63)</f>
        <v/>
      </c>
      <c r="AE64" s="0" t="str">
        <f aca="false">IF(AND($B64="D04",$C64="G6"),AE63&amp;IF(AE63="","",CHAR(10))&amp;$A64,AE63)</f>
        <v/>
      </c>
      <c r="AF64" s="0" t="str">
        <f aca="false">IF(AND($B64="D05",$C64="G0"),AF63&amp;IF(AF63="","",CHAR(10))&amp;$A64,AF63)</f>
        <v/>
      </c>
      <c r="AG64" s="0" t="str">
        <f aca="false">IF(AND($B64="D05",$C64="G1"),AG63&amp;IF(AG63="","",CHAR(10))&amp;$A64,AG63)</f>
        <v/>
      </c>
      <c r="AH64" s="0" t="str">
        <f aca="false">IF(AND($B64="D05",$C64="G2"),AH63&amp;IF(AH63="","",CHAR(10))&amp;$A64,AH63)</f>
        <v>◐ 027 醫材需求與設備計畫</v>
      </c>
      <c r="AI64" s="0" t="str">
        <f aca="false">IF(AND($B64="D05",$C64="G3"),AI63&amp;IF(AI63="","",CHAR(10))&amp;$A64,AI63)</f>
        <v/>
      </c>
      <c r="AJ64" s="363" t="str">
        <f aca="false">IF(AND($B64="D05",$C64="G4"),AJ63&amp;IF(AJ63="","",CHAR(10))&amp;$A64,AJ63)</f>
        <v>○ 028 影像設備、PACS與報告流程
○ 029 實驗室自動化與LIS
○ 030 手術室與重症整合
◐ 031 醫材介接與裝置身分
◐ 032 醫療工程與設備生命週期</v>
      </c>
      <c r="AK64" s="0" t="str">
        <f aca="false">IF(AND($B64="D05",$C64="G5"),AK63&amp;IF(AK63="","",CHAR(10))&amp;$A64,AK63)</f>
        <v/>
      </c>
      <c r="AL64" s="0" t="str">
        <f aca="false">IF(AND($B64="D05",$C64="G6"),AL63&amp;IF(AL63="","",CHAR(10))&amp;$A64,AL63)</f>
        <v/>
      </c>
      <c r="AM64" s="0" t="str">
        <f aca="false">IF(AND($B64="D06",$C64="G0"),AM63&amp;IF(AM63="","",CHAR(10))&amp;$A64,AM63)</f>
        <v/>
      </c>
      <c r="AN64" s="0" t="str">
        <f aca="false">IF(AND($B64="D06",$C64="G1"),AN63&amp;IF(AN63="","",CHAR(10))&amp;$A64,AN63)</f>
        <v/>
      </c>
      <c r="AO64" s="0" t="str">
        <f aca="false">IF(AND($B64="D06",$C64="G2"),AO63&amp;IF(AO63="","",CHAR(10))&amp;$A64,AO63)</f>
        <v/>
      </c>
      <c r="AP64" s="363" t="str">
        <f aca="false">IF(AND($B64="D06",$C64="G3"),AP63&amp;IF(AP63="","",CHAR(10))&amp;$A64,AP63)</f>
        <v>◐ 033 HIS／EMR核心平台
◐ 036 臨床術語與主資料治理</v>
      </c>
      <c r="AQ64" s="363" t="str">
        <f aca="false">IF(AND($B64="D06",$C64="G4"),AQ63&amp;IF(AQ63="","",CHAR(10))&amp;$A64,AQ63)</f>
        <v>◐ 034 FHIR介接與API管理
○ 035 主病人索引與身分整合
◐ 037 電子醫囑、用藥與決策支援
◐ 038 資料平台、BI與營運指揮</v>
      </c>
      <c r="AR64" s="0" t="str">
        <f aca="false">IF(AND($B64="D06",$C64="G5"),AR63&amp;IF(AR63="","",CHAR(10))&amp;$A64,AR63)</f>
        <v>○ 039 病人入口、行動服務與VNeID準備</v>
      </c>
      <c r="AS64" s="0" t="str">
        <f aca="false">IF(AND($B64="D06",$C64="G6"),AS63&amp;IF(AS63="","",CHAR(10))&amp;$A64,AS63)</f>
        <v/>
      </c>
      <c r="AT64" s="0" t="str">
        <f aca="false">IF(AND($B64="D07",$C64="G0"),AT63&amp;IF(AT63="","",CHAR(10))&amp;$A64,AT63)</f>
        <v/>
      </c>
      <c r="AU64" s="0" t="str">
        <f aca="false">IF(AND($B64="D07",$C64="G1"),AU63&amp;IF(AU63="","",CHAR(10))&amp;$A64,AU63)</f>
        <v/>
      </c>
      <c r="AV64" s="0" t="str">
        <f aca="false">IF(AND($B64="D07",$C64="G2"),AV63&amp;IF(AV63="","",CHAR(10))&amp;$A64,AV63)</f>
        <v>◐ 040 品質管理與JCI路線圖</v>
      </c>
      <c r="AW64" s="363" t="str">
        <f aca="false">IF(AND($B64="D07",$C64="G3"),AW63&amp;IF(AW63="","",CHAR(10))&amp;$A64,AW63)</f>
        <v>◐ 041 感染預防與控制制度
◐ 043 事件通報與根因改善</v>
      </c>
      <c r="AX64" s="0" t="str">
        <f aca="false">IF(AND($B64="D07",$C64="G4"),AX63&amp;IF(AX63="","",CHAR(10))&amp;$A64,AX63)</f>
        <v>◐ 042 用藥安全閉環</v>
      </c>
      <c r="AY64" s="0" t="str">
        <f aca="false">IF(AND($B64="D07",$C64="G5"),AY63&amp;IF(AY63="","",CHAR(10))&amp;$A64,AY63)</f>
        <v>◐ 044 開院臨床安全驗證</v>
      </c>
      <c r="AZ64" s="0" t="str">
        <f aca="false">IF(AND($B64="D07",$C64="G6"),AZ63&amp;IF(AZ63="","",CHAR(10))&amp;$A64,AZ63)</f>
        <v/>
      </c>
      <c r="BA64" s="0" t="str">
        <f aca="false">IF(AND($B64="D08",$C64="G0"),BA63&amp;IF(BA63="","",CHAR(10))&amp;$A64,BA63)</f>
        <v/>
      </c>
      <c r="BB64" s="0" t="str">
        <f aca="false">IF(AND($B64="D08",$C64="G1"),BB63&amp;IF(BB63="","",CHAR(10))&amp;$A64,BB63)</f>
        <v/>
      </c>
      <c r="BC64" s="0" t="str">
        <f aca="false">IF(AND($B64="D08",$C64="G2"),BC63&amp;IF(BC63="","",CHAR(10))&amp;$A64,BC63)</f>
        <v>○ 045 人力與輪班模型</v>
      </c>
      <c r="BD64" s="0" t="str">
        <f aca="false">IF(AND($B64="D08",$C64="G3"),BD63&amp;IF(BD63="","",CHAR(10))&amp;$A64,BD63)</f>
        <v>◐ 046 職能矩陣與授權</v>
      </c>
      <c r="BE64" s="363" t="str">
        <f aca="false">IF(AND($B64="D08",$C64="G4"),BE63&amp;IF(BE63="","",CHAR(10))&amp;$A64,BE63)</f>
        <v>◐ 047 種子教師與技術移轉
◐ 049 變革管理與使用者採納</v>
      </c>
      <c r="BF64" s="0" t="str">
        <f aca="false">IF(AND($B64="D08",$C64="G5"),BF63&amp;IF(BF63="","",CHAR(10))&amp;$A64,BF63)</f>
        <v>◐ 048 模擬中心與開院演練</v>
      </c>
      <c r="BG64" s="0" t="str">
        <f aca="false">IF(AND($B64="D08",$C64="G6"),BG63&amp;IF(BG63="","",CHAR(10))&amp;$A64,BG63)</f>
        <v/>
      </c>
      <c r="BH64" s="0" t="str">
        <f aca="false">IF(AND($B64="D09",$C64="G0"),BH63&amp;IF(BH63="","",CHAR(10))&amp;$A64,BH63)</f>
        <v/>
      </c>
      <c r="BI64" s="0" t="str">
        <f aca="false">IF(AND($B64="D09",$C64="G1"),BI63&amp;IF(BI63="","",CHAR(10))&amp;$A64,BI63)</f>
        <v/>
      </c>
      <c r="BJ64" s="0" t="str">
        <f aca="false">IF(AND($B64="D09",$C64="G2"),BJ63&amp;IF(BJ63="","",CHAR(10))&amp;$A64,BJ63)</f>
        <v>◐ 050 整合採購與供應商治理</v>
      </c>
      <c r="BK64" s="0" t="str">
        <f aca="false">IF(AND($B64="D09",$C64="G3"),BK63&amp;IF(BK63="","",CHAR(10))&amp;$A64,BK63)</f>
        <v/>
      </c>
      <c r="BL64" s="363" t="str">
        <f aca="false">IF(AND($B64="D09",$C64="G4"),BL63&amp;IF(BL63="","",CHAR(10))&amp;$A64,BL63)</f>
        <v>◐ 051 藥品耗材與SPD物流
◐ 052 冷鏈與特殊物料
● 053 CMMS與設施維運</v>
      </c>
      <c r="BM64" s="0" t="str">
        <f aca="false">IF(AND($B64="D09",$C64="G5"),BM63&amp;IF(BM63="","",CHAR(10))&amp;$A64,BM63)</f>
        <v>◐ 054 在地備品、維修與汰換</v>
      </c>
      <c r="BN64" s="0" t="str">
        <f aca="false">IF(AND($B64="D09",$C64="G6"),BN63&amp;IF(BN63="","",CHAR(10))&amp;$A64,BN63)</f>
        <v/>
      </c>
      <c r="BO64" s="0" t="str">
        <f aca="false">IF(AND($B64="D10",$C64="G0"),BO63&amp;IF(BO63="","",CHAR(10))&amp;$A64,BO63)</f>
        <v/>
      </c>
      <c r="BP64" s="0" t="str">
        <f aca="false">IF(AND($B64="D10",$C64="G1"),BP63&amp;IF(BP63="","",CHAR(10))&amp;$A64,BP63)</f>
        <v>◐ 055 全生命週期成本模型</v>
      </c>
      <c r="BQ64" s="0" t="str">
        <f aca="false">IF(AND($B64="D10",$C64="G2"),BQ63&amp;IF(BQ63="","",CHAR(10))&amp;$A64,BQ63)</f>
        <v>◐ 059 PPP／JV財務與風險分配</v>
      </c>
      <c r="BR64" s="0" t="str">
        <f aca="false">IF(AND($B64="D10",$C64="G3"),BR63&amp;IF(BR63="","",CHAR(10))&amp;$A64,BR63)</f>
        <v/>
      </c>
      <c r="BS64" s="363" t="str">
        <f aca="false">IF(AND($B64="D10",$C64="G4"),BS63&amp;IF(BS63="","",CHAR(10))&amp;$A64,BS63)</f>
        <v>○ 056 健保申報與數位理賠
○ 057 現金流、支付與收入週期</v>
      </c>
      <c r="BT64" s="0" t="str">
        <f aca="false">IF(AND($B64="D10",$C64="G5"),BT63&amp;IF(BT63="","",CHAR(10))&amp;$A64,BT63)</f>
        <v>○ 058 國際醫療與高價值服務</v>
      </c>
      <c r="BU64" s="0" t="str">
        <f aca="false">IF(AND($B64="D10",$C64="G6"),BU63&amp;IF(BU63="","",CHAR(10))&amp;$A64,BU63)</f>
        <v>◐ 060 效益實現與複製藍圖</v>
      </c>
      <c r="BX64" s="0" t="str">
        <f aca="false">IF(AND(03_能力總表_Master!$A64&lt;&gt;"",LEFT(03_能力總表_Master!$H64,2)="缺口"),MAX($BX$4:BX63)+1,"")</f>
        <v/>
      </c>
      <c r="BY64" s="0" t="str">
        <f aca="false">IF(AND(03_能力總表_Master!$A64&lt;&gt;"",03_能力總表_Master!$J64=12_夥伴視角_PartnerView!$C$4),MAX($BY$4:BY63)+1,"")</f>
        <v/>
      </c>
      <c r="CC64" s="0" t="str">
        <f aca="false">IF(AND(03_能力總表_Master!$A64&lt;&gt;"",IFERROR(INDEX(16_能力商機矩陣_CapOppMap!$D64:$CO64,MATCH(LEFT(17_商機作戰卡_OppView!$C$4,6),16_能力商機矩陣_CapOppMap!$D$4:$CO$4,0)),"")="✓"),MAX($CC$4:CC63)+1,"")</f>
        <v/>
      </c>
    </row>
    <row r="65" customFormat="false" ht="95.5" hidden="false" customHeight="false" outlineLevel="0" collapsed="false">
      <c r="A65" s="0" t="str">
        <f aca="false">IF(03_能力總表_Master!$A65="","",IF(LEFT(03_能力總表_Master!$H65,2)="群晶","● ",IF(ISNUMBER(SEARCH("已確認",03_能力總表_Master!$H65)),"◆ ",IF(ISNUMBER(SEARCH("缺口",03_能力總表_Master!$H65)),"○ ","◐ ")))&amp;RIGHT(03_能力總表_Master!$A65,3)&amp;" "&amp;03_能力總表_Master!$E65)</f>
        <v/>
      </c>
      <c r="B65" s="0" t="str">
        <f aca="false">IF(03_能力總表_Master!$A65="","",LEFT(03_能力總表_Master!$B65,3))</f>
        <v/>
      </c>
      <c r="C65" s="0" t="str">
        <f aca="false">IF(03_能力總表_Master!$A65="","",03_能力總表_Master!$C65)</f>
        <v/>
      </c>
      <c r="D65" s="363" t="str">
        <f aca="false">IF(AND($B65="D01",$C65="G0"),D64&amp;IF(D64="","",CHAR(10))&amp;$A65,D64)</f>
        <v>◐ 001 政府授權與計畫章程
◐ 002 利害關係人與權力地圖
◐ 005 聯盟治理與利益衝突</v>
      </c>
      <c r="E65" s="363" t="str">
        <f aca="false">IF(AND($B65="D01",$C65="G1"),E64&amp;IF(E64="","",CHAR(10))&amp;$A65,E64)</f>
        <v>◐ 003 交易模式選擇
◐ 004 法規與執照路徑</v>
      </c>
      <c r="F65" s="0" t="str">
        <f aca="false">IF(AND($B65="D01",$C65="G2"),F64&amp;IF(F64="","",CHAR(10))&amp;$A65,F64)</f>
        <v>◐ 006 績效契約與變更控制</v>
      </c>
      <c r="G65" s="0" t="str">
        <f aca="false">IF(AND($B65="D01",$C65="G3"),G64&amp;IF(G64="","",CHAR(10))&amp;$A65,G64)</f>
        <v/>
      </c>
      <c r="H65" s="0" t="str">
        <f aca="false">IF(AND($B65="D01",$C65="G4"),H64&amp;IF(H64="","",CHAR(10))&amp;$A65,H64)</f>
        <v/>
      </c>
      <c r="I65" s="0" t="str">
        <f aca="false">IF(AND($B65="D01",$C65="G5"),I64&amp;IF(I64="","",CHAR(10))&amp;$A65,I64)</f>
        <v/>
      </c>
      <c r="J65" s="0" t="str">
        <f aca="false">IF(AND($B65="D01",$C65="G6"),J64&amp;IF(J64="","",CHAR(10))&amp;$A65,J64)</f>
        <v/>
      </c>
      <c r="K65" s="0" t="str">
        <f aca="false">IF(AND($B65="D02",$C65="G0"),K64&amp;IF(K64="","",CHAR(10))&amp;$A65,K64)</f>
        <v/>
      </c>
      <c r="L65" s="363" t="str">
        <f aca="false">IF(AND($B65="D02",$C65="G1"),L64&amp;IF(L64="","",CHAR(10))&amp;$A65,L64)</f>
        <v>◐ 007 人口需求與病例量預測
◐ 008 醫院定位與服務組合
◐ 009 重點專科優先化
◐ 010 病人流程與容量設計
◐ 011 轉診與區域照護網絡
◐ 012 臨床治理與責任架構</v>
      </c>
      <c r="M65" s="0" t="str">
        <f aca="false">IF(AND($B65="D02",$C65="G2"),M64&amp;IF(M64="","",CHAR(10))&amp;$A65,M64)</f>
        <v/>
      </c>
      <c r="N65" s="0" t="str">
        <f aca="false">IF(AND($B65="D02",$C65="G3"),N64&amp;IF(N64="","",CHAR(10))&amp;$A65,N64)</f>
        <v/>
      </c>
      <c r="O65" s="0" t="str">
        <f aca="false">IF(AND($B65="D02",$C65="G4"),O64&amp;IF(O64="","",CHAR(10))&amp;$A65,O64)</f>
        <v/>
      </c>
      <c r="P65" s="0" t="str">
        <f aca="false">IF(AND($B65="D02",$C65="G5"),P64&amp;IF(P64="","",CHAR(10))&amp;$A65,P64)</f>
        <v/>
      </c>
      <c r="Q65" s="0" t="str">
        <f aca="false">IF(AND($B65="D02",$C65="G6"),Q64&amp;IF(Q64="","",CHAR(10))&amp;$A65,Q64)</f>
        <v/>
      </c>
      <c r="R65" s="0" t="str">
        <f aca="false">IF(AND($B65="D03",$C65="G0"),R64&amp;IF(R64="","",CHAR(10))&amp;$A65,R64)</f>
        <v/>
      </c>
      <c r="S65" s="0" t="str">
        <f aca="false">IF(AND($B65="D03",$C65="G1"),S64&amp;IF(S64="","",CHAR(10))&amp;$A65,S64)</f>
        <v>◐ 013 場址與醫院總體規劃</v>
      </c>
      <c r="T65" s="363" t="str">
        <f aca="false">IF(AND($B65="D03",$C65="G2"),T64&amp;IF(T64="","",CHAR(10))&amp;$A65,T64)</f>
        <v>◐ 014 醫療建築功能計畫
◐ 015 感染控制與潔污動線
◐ 019 綠色與氣候韌性醫院</v>
      </c>
      <c r="U65" s="363" t="str">
        <f aca="false">IF(AND($B65="D03",$C65="G3"),U64&amp;IF(U64="","",CHAR(10))&amp;$A65,U64)</f>
        <v>● 016 電力、備援與微電網
◐ 017 醫療氣體與關鍵公用系統
◐ 018 醫療廢棄物與水資源</v>
      </c>
      <c r="V65" s="0" t="str">
        <f aca="false">IF(AND($B65="D03",$C65="G4"),V64&amp;IF(V64="","",CHAR(10))&amp;$A65,V64)</f>
        <v/>
      </c>
      <c r="W65" s="0" t="str">
        <f aca="false">IF(AND($B65="D03",$C65="G5"),W64&amp;IF(W64="","",CHAR(10))&amp;$A65,W64)</f>
        <v/>
      </c>
      <c r="X65" s="0" t="str">
        <f aca="false">IF(AND($B65="D03",$C65="G6"),X64&amp;IF(X64="","",CHAR(10))&amp;$A65,X64)</f>
        <v/>
      </c>
      <c r="Y65" s="0" t="str">
        <f aca="false">IF(AND($B65="D04",$C65="G0"),Y64&amp;IF(Y64="","",CHAR(10))&amp;$A65,Y64)</f>
        <v/>
      </c>
      <c r="Z65" s="0" t="str">
        <f aca="false">IF(AND($B65="D04",$C65="G1"),Z64&amp;IF(Z64="","",CHAR(10))&amp;$A65,Z64)</f>
        <v/>
      </c>
      <c r="AA65" s="0" t="str">
        <f aca="false">IF(AND($B65="D04",$C65="G2"),AA64&amp;IF(AA64="","",CHAR(10))&amp;$A65,AA64)</f>
        <v/>
      </c>
      <c r="AB65" s="0" t="str">
        <f aca="false">IF(AND($B65="D04",$C65="G3"),AB64&amp;IF(AB64="","",CHAR(10))&amp;$A65,AB64)</f>
        <v>● 020 IDC與邊緣運算底座</v>
      </c>
      <c r="AC65" s="363" t="str">
        <f aca="false">IF(AND($B65="D04",$C65="G4"),AC64&amp;IF(AC64="","",CHAR(10))&amp;$A65,AC64)</f>
        <v>● 021 有線無線網路與分區
◐ 022 資安營運與零信任
● 023 BMS與能源管理
● 024 RTLS與資產／人員定位
● 025 智慧病房、護理呼叫與感測
● 026 災難復原與營運持續</v>
      </c>
      <c r="AD65" s="0" t="str">
        <f aca="false">IF(AND($B65="D04",$C65="G5"),AD64&amp;IF(AD64="","",CHAR(10))&amp;$A65,AD64)</f>
        <v/>
      </c>
      <c r="AE65" s="0" t="str">
        <f aca="false">IF(AND($B65="D04",$C65="G6"),AE64&amp;IF(AE64="","",CHAR(10))&amp;$A65,AE64)</f>
        <v/>
      </c>
      <c r="AF65" s="0" t="str">
        <f aca="false">IF(AND($B65="D05",$C65="G0"),AF64&amp;IF(AF64="","",CHAR(10))&amp;$A65,AF64)</f>
        <v/>
      </c>
      <c r="AG65" s="0" t="str">
        <f aca="false">IF(AND($B65="D05",$C65="G1"),AG64&amp;IF(AG64="","",CHAR(10))&amp;$A65,AG64)</f>
        <v/>
      </c>
      <c r="AH65" s="0" t="str">
        <f aca="false">IF(AND($B65="D05",$C65="G2"),AH64&amp;IF(AH64="","",CHAR(10))&amp;$A65,AH64)</f>
        <v>◐ 027 醫材需求與設備計畫</v>
      </c>
      <c r="AI65" s="0" t="str">
        <f aca="false">IF(AND($B65="D05",$C65="G3"),AI64&amp;IF(AI64="","",CHAR(10))&amp;$A65,AI64)</f>
        <v/>
      </c>
      <c r="AJ65" s="363" t="str">
        <f aca="false">IF(AND($B65="D05",$C65="G4"),AJ64&amp;IF(AJ64="","",CHAR(10))&amp;$A65,AJ64)</f>
        <v>○ 028 影像設備、PACS與報告流程
○ 029 實驗室自動化與LIS
○ 030 手術室與重症整合
◐ 031 醫材介接與裝置身分
◐ 032 醫療工程與設備生命週期</v>
      </c>
      <c r="AK65" s="0" t="str">
        <f aca="false">IF(AND($B65="D05",$C65="G5"),AK64&amp;IF(AK64="","",CHAR(10))&amp;$A65,AK64)</f>
        <v/>
      </c>
      <c r="AL65" s="0" t="str">
        <f aca="false">IF(AND($B65="D05",$C65="G6"),AL64&amp;IF(AL64="","",CHAR(10))&amp;$A65,AL64)</f>
        <v/>
      </c>
      <c r="AM65" s="0" t="str">
        <f aca="false">IF(AND($B65="D06",$C65="G0"),AM64&amp;IF(AM64="","",CHAR(10))&amp;$A65,AM64)</f>
        <v/>
      </c>
      <c r="AN65" s="0" t="str">
        <f aca="false">IF(AND($B65="D06",$C65="G1"),AN64&amp;IF(AN64="","",CHAR(10))&amp;$A65,AN64)</f>
        <v/>
      </c>
      <c r="AO65" s="0" t="str">
        <f aca="false">IF(AND($B65="D06",$C65="G2"),AO64&amp;IF(AO64="","",CHAR(10))&amp;$A65,AO64)</f>
        <v/>
      </c>
      <c r="AP65" s="363" t="str">
        <f aca="false">IF(AND($B65="D06",$C65="G3"),AP64&amp;IF(AP64="","",CHAR(10))&amp;$A65,AP64)</f>
        <v>◐ 033 HIS／EMR核心平台
◐ 036 臨床術語與主資料治理</v>
      </c>
      <c r="AQ65" s="363" t="str">
        <f aca="false">IF(AND($B65="D06",$C65="G4"),AQ64&amp;IF(AQ64="","",CHAR(10))&amp;$A65,AQ64)</f>
        <v>◐ 034 FHIR介接與API管理
○ 035 主病人索引與身分整合
◐ 037 電子醫囑、用藥與決策支援
◐ 038 資料平台、BI與營運指揮</v>
      </c>
      <c r="AR65" s="0" t="str">
        <f aca="false">IF(AND($B65="D06",$C65="G5"),AR64&amp;IF(AR64="","",CHAR(10))&amp;$A65,AR64)</f>
        <v>○ 039 病人入口、行動服務與VNeID準備</v>
      </c>
      <c r="AS65" s="0" t="str">
        <f aca="false">IF(AND($B65="D06",$C65="G6"),AS64&amp;IF(AS64="","",CHAR(10))&amp;$A65,AS64)</f>
        <v/>
      </c>
      <c r="AT65" s="0" t="str">
        <f aca="false">IF(AND($B65="D07",$C65="G0"),AT64&amp;IF(AT64="","",CHAR(10))&amp;$A65,AT64)</f>
        <v/>
      </c>
      <c r="AU65" s="0" t="str">
        <f aca="false">IF(AND($B65="D07",$C65="G1"),AU64&amp;IF(AU64="","",CHAR(10))&amp;$A65,AU64)</f>
        <v/>
      </c>
      <c r="AV65" s="0" t="str">
        <f aca="false">IF(AND($B65="D07",$C65="G2"),AV64&amp;IF(AV64="","",CHAR(10))&amp;$A65,AV64)</f>
        <v>◐ 040 品質管理與JCI路線圖</v>
      </c>
      <c r="AW65" s="363" t="str">
        <f aca="false">IF(AND($B65="D07",$C65="G3"),AW64&amp;IF(AW64="","",CHAR(10))&amp;$A65,AW64)</f>
        <v>◐ 041 感染預防與控制制度
◐ 043 事件通報與根因改善</v>
      </c>
      <c r="AX65" s="0" t="str">
        <f aca="false">IF(AND($B65="D07",$C65="G4"),AX64&amp;IF(AX64="","",CHAR(10))&amp;$A65,AX64)</f>
        <v>◐ 042 用藥安全閉環</v>
      </c>
      <c r="AY65" s="0" t="str">
        <f aca="false">IF(AND($B65="D07",$C65="G5"),AY64&amp;IF(AY64="","",CHAR(10))&amp;$A65,AY64)</f>
        <v>◐ 044 開院臨床安全驗證</v>
      </c>
      <c r="AZ65" s="0" t="str">
        <f aca="false">IF(AND($B65="D07",$C65="G6"),AZ64&amp;IF(AZ64="","",CHAR(10))&amp;$A65,AZ64)</f>
        <v/>
      </c>
      <c r="BA65" s="0" t="str">
        <f aca="false">IF(AND($B65="D08",$C65="G0"),BA64&amp;IF(BA64="","",CHAR(10))&amp;$A65,BA64)</f>
        <v/>
      </c>
      <c r="BB65" s="0" t="str">
        <f aca="false">IF(AND($B65="D08",$C65="G1"),BB64&amp;IF(BB64="","",CHAR(10))&amp;$A65,BB64)</f>
        <v/>
      </c>
      <c r="BC65" s="0" t="str">
        <f aca="false">IF(AND($B65="D08",$C65="G2"),BC64&amp;IF(BC64="","",CHAR(10))&amp;$A65,BC64)</f>
        <v>○ 045 人力與輪班模型</v>
      </c>
      <c r="BD65" s="0" t="str">
        <f aca="false">IF(AND($B65="D08",$C65="G3"),BD64&amp;IF(BD64="","",CHAR(10))&amp;$A65,BD64)</f>
        <v>◐ 046 職能矩陣與授權</v>
      </c>
      <c r="BE65" s="363" t="str">
        <f aca="false">IF(AND($B65="D08",$C65="G4"),BE64&amp;IF(BE64="","",CHAR(10))&amp;$A65,BE64)</f>
        <v>◐ 047 種子教師與技術移轉
◐ 049 變革管理與使用者採納</v>
      </c>
      <c r="BF65" s="0" t="str">
        <f aca="false">IF(AND($B65="D08",$C65="G5"),BF64&amp;IF(BF64="","",CHAR(10))&amp;$A65,BF64)</f>
        <v>◐ 048 模擬中心與開院演練</v>
      </c>
      <c r="BG65" s="0" t="str">
        <f aca="false">IF(AND($B65="D08",$C65="G6"),BG64&amp;IF(BG64="","",CHAR(10))&amp;$A65,BG64)</f>
        <v/>
      </c>
      <c r="BH65" s="0" t="str">
        <f aca="false">IF(AND($B65="D09",$C65="G0"),BH64&amp;IF(BH64="","",CHAR(10))&amp;$A65,BH64)</f>
        <v/>
      </c>
      <c r="BI65" s="0" t="str">
        <f aca="false">IF(AND($B65="D09",$C65="G1"),BI64&amp;IF(BI64="","",CHAR(10))&amp;$A65,BI64)</f>
        <v/>
      </c>
      <c r="BJ65" s="0" t="str">
        <f aca="false">IF(AND($B65="D09",$C65="G2"),BJ64&amp;IF(BJ64="","",CHAR(10))&amp;$A65,BJ64)</f>
        <v>◐ 050 整合採購與供應商治理</v>
      </c>
      <c r="BK65" s="0" t="str">
        <f aca="false">IF(AND($B65="D09",$C65="G3"),BK64&amp;IF(BK64="","",CHAR(10))&amp;$A65,BK64)</f>
        <v/>
      </c>
      <c r="BL65" s="363" t="str">
        <f aca="false">IF(AND($B65="D09",$C65="G4"),BL64&amp;IF(BL64="","",CHAR(10))&amp;$A65,BL64)</f>
        <v>◐ 051 藥品耗材與SPD物流
◐ 052 冷鏈與特殊物料
● 053 CMMS與設施維運</v>
      </c>
      <c r="BM65" s="0" t="str">
        <f aca="false">IF(AND($B65="D09",$C65="G5"),BM64&amp;IF(BM64="","",CHAR(10))&amp;$A65,BM64)</f>
        <v>◐ 054 在地備品、維修與汰換</v>
      </c>
      <c r="BN65" s="0" t="str">
        <f aca="false">IF(AND($B65="D09",$C65="G6"),BN64&amp;IF(BN64="","",CHAR(10))&amp;$A65,BN64)</f>
        <v/>
      </c>
      <c r="BO65" s="0" t="str">
        <f aca="false">IF(AND($B65="D10",$C65="G0"),BO64&amp;IF(BO64="","",CHAR(10))&amp;$A65,BO64)</f>
        <v/>
      </c>
      <c r="BP65" s="0" t="str">
        <f aca="false">IF(AND($B65="D10",$C65="G1"),BP64&amp;IF(BP64="","",CHAR(10))&amp;$A65,BP64)</f>
        <v>◐ 055 全生命週期成本模型</v>
      </c>
      <c r="BQ65" s="0" t="str">
        <f aca="false">IF(AND($B65="D10",$C65="G2"),BQ64&amp;IF(BQ64="","",CHAR(10))&amp;$A65,BQ64)</f>
        <v>◐ 059 PPP／JV財務與風險分配</v>
      </c>
      <c r="BR65" s="0" t="str">
        <f aca="false">IF(AND($B65="D10",$C65="G3"),BR64&amp;IF(BR64="","",CHAR(10))&amp;$A65,BR64)</f>
        <v/>
      </c>
      <c r="BS65" s="363" t="str">
        <f aca="false">IF(AND($B65="D10",$C65="G4"),BS64&amp;IF(BS64="","",CHAR(10))&amp;$A65,BS64)</f>
        <v>○ 056 健保申報與數位理賠
○ 057 現金流、支付與收入週期</v>
      </c>
      <c r="BT65" s="0" t="str">
        <f aca="false">IF(AND($B65="D10",$C65="G5"),BT64&amp;IF(BT64="","",CHAR(10))&amp;$A65,BT64)</f>
        <v>○ 058 國際醫療與高價值服務</v>
      </c>
      <c r="BU65" s="0" t="str">
        <f aca="false">IF(AND($B65="D10",$C65="G6"),BU64&amp;IF(BU64="","",CHAR(10))&amp;$A65,BU64)</f>
        <v>◐ 060 效益實現與複製藍圖</v>
      </c>
      <c r="BX65" s="0" t="str">
        <f aca="false">IF(AND(03_能力總表_Master!$A65&lt;&gt;"",LEFT(03_能力總表_Master!$H65,2)="缺口"),MAX($BX$4:BX64)+1,"")</f>
        <v/>
      </c>
      <c r="BY65" s="0" t="str">
        <f aca="false">IF(AND(03_能力總表_Master!$A65&lt;&gt;"",03_能力總表_Master!$J65=12_夥伴視角_PartnerView!$C$4),MAX($BY$4:BY64)+1,"")</f>
        <v/>
      </c>
      <c r="CC65" s="0" t="str">
        <f aca="false">IF(AND(03_能力總表_Master!$A65&lt;&gt;"",IFERROR(INDEX(16_能力商機矩陣_CapOppMap!$D65:$CO65,MATCH(LEFT(17_商機作戰卡_OppView!$C$4,6),16_能力商機矩陣_CapOppMap!$D$4:$CO$4,0)),"")="✓"),MAX($CC$4:CC64)+1,"")</f>
        <v/>
      </c>
    </row>
    <row r="66" customFormat="false" ht="95.5" hidden="false" customHeight="false" outlineLevel="0" collapsed="false">
      <c r="A66" s="0" t="str">
        <f aca="false">IF(03_能力總表_Master!$A66="","",IF(LEFT(03_能力總表_Master!$H66,2)="群晶","● ",IF(ISNUMBER(SEARCH("已確認",03_能力總表_Master!$H66)),"◆ ",IF(ISNUMBER(SEARCH("缺口",03_能力總表_Master!$H66)),"○ ","◐ ")))&amp;RIGHT(03_能力總表_Master!$A66,3)&amp;" "&amp;03_能力總表_Master!$E66)</f>
        <v/>
      </c>
      <c r="B66" s="0" t="str">
        <f aca="false">IF(03_能力總表_Master!$A66="","",LEFT(03_能力總表_Master!$B66,3))</f>
        <v/>
      </c>
      <c r="C66" s="0" t="str">
        <f aca="false">IF(03_能力總表_Master!$A66="","",03_能力總表_Master!$C66)</f>
        <v/>
      </c>
      <c r="D66" s="363" t="str">
        <f aca="false">IF(AND($B66="D01",$C66="G0"),D65&amp;IF(D65="","",CHAR(10))&amp;$A66,D65)</f>
        <v>◐ 001 政府授權與計畫章程
◐ 002 利害關係人與權力地圖
◐ 005 聯盟治理與利益衝突</v>
      </c>
      <c r="E66" s="363" t="str">
        <f aca="false">IF(AND($B66="D01",$C66="G1"),E65&amp;IF(E65="","",CHAR(10))&amp;$A66,E65)</f>
        <v>◐ 003 交易模式選擇
◐ 004 法規與執照路徑</v>
      </c>
      <c r="F66" s="0" t="str">
        <f aca="false">IF(AND($B66="D01",$C66="G2"),F65&amp;IF(F65="","",CHAR(10))&amp;$A66,F65)</f>
        <v>◐ 006 績效契約與變更控制</v>
      </c>
      <c r="G66" s="0" t="str">
        <f aca="false">IF(AND($B66="D01",$C66="G3"),G65&amp;IF(G65="","",CHAR(10))&amp;$A66,G65)</f>
        <v/>
      </c>
      <c r="H66" s="0" t="str">
        <f aca="false">IF(AND($B66="D01",$C66="G4"),H65&amp;IF(H65="","",CHAR(10))&amp;$A66,H65)</f>
        <v/>
      </c>
      <c r="I66" s="0" t="str">
        <f aca="false">IF(AND($B66="D01",$C66="G5"),I65&amp;IF(I65="","",CHAR(10))&amp;$A66,I65)</f>
        <v/>
      </c>
      <c r="J66" s="0" t="str">
        <f aca="false">IF(AND($B66="D01",$C66="G6"),J65&amp;IF(J65="","",CHAR(10))&amp;$A66,J65)</f>
        <v/>
      </c>
      <c r="K66" s="0" t="str">
        <f aca="false">IF(AND($B66="D02",$C66="G0"),K65&amp;IF(K65="","",CHAR(10))&amp;$A66,K65)</f>
        <v/>
      </c>
      <c r="L66" s="363" t="str">
        <f aca="false">IF(AND($B66="D02",$C66="G1"),L65&amp;IF(L65="","",CHAR(10))&amp;$A66,L65)</f>
        <v>◐ 007 人口需求與病例量預測
◐ 008 醫院定位與服務組合
◐ 009 重點專科優先化
◐ 010 病人流程與容量設計
◐ 011 轉診與區域照護網絡
◐ 012 臨床治理與責任架構</v>
      </c>
      <c r="M66" s="0" t="str">
        <f aca="false">IF(AND($B66="D02",$C66="G2"),M65&amp;IF(M65="","",CHAR(10))&amp;$A66,M65)</f>
        <v/>
      </c>
      <c r="N66" s="0" t="str">
        <f aca="false">IF(AND($B66="D02",$C66="G3"),N65&amp;IF(N65="","",CHAR(10))&amp;$A66,N65)</f>
        <v/>
      </c>
      <c r="O66" s="0" t="str">
        <f aca="false">IF(AND($B66="D02",$C66="G4"),O65&amp;IF(O65="","",CHAR(10))&amp;$A66,O65)</f>
        <v/>
      </c>
      <c r="P66" s="0" t="str">
        <f aca="false">IF(AND($B66="D02",$C66="G5"),P65&amp;IF(P65="","",CHAR(10))&amp;$A66,P65)</f>
        <v/>
      </c>
      <c r="Q66" s="0" t="str">
        <f aca="false">IF(AND($B66="D02",$C66="G6"),Q65&amp;IF(Q65="","",CHAR(10))&amp;$A66,Q65)</f>
        <v/>
      </c>
      <c r="R66" s="0" t="str">
        <f aca="false">IF(AND($B66="D03",$C66="G0"),R65&amp;IF(R65="","",CHAR(10))&amp;$A66,R65)</f>
        <v/>
      </c>
      <c r="S66" s="0" t="str">
        <f aca="false">IF(AND($B66="D03",$C66="G1"),S65&amp;IF(S65="","",CHAR(10))&amp;$A66,S65)</f>
        <v>◐ 013 場址與醫院總體規劃</v>
      </c>
      <c r="T66" s="363" t="str">
        <f aca="false">IF(AND($B66="D03",$C66="G2"),T65&amp;IF(T65="","",CHAR(10))&amp;$A66,T65)</f>
        <v>◐ 014 醫療建築功能計畫
◐ 015 感染控制與潔污動線
◐ 019 綠色與氣候韌性醫院</v>
      </c>
      <c r="U66" s="363" t="str">
        <f aca="false">IF(AND($B66="D03",$C66="G3"),U65&amp;IF(U65="","",CHAR(10))&amp;$A66,U65)</f>
        <v>● 016 電力、備援與微電網
◐ 017 醫療氣體與關鍵公用系統
◐ 018 醫療廢棄物與水資源</v>
      </c>
      <c r="V66" s="0" t="str">
        <f aca="false">IF(AND($B66="D03",$C66="G4"),V65&amp;IF(V65="","",CHAR(10))&amp;$A66,V65)</f>
        <v/>
      </c>
      <c r="W66" s="0" t="str">
        <f aca="false">IF(AND($B66="D03",$C66="G5"),W65&amp;IF(W65="","",CHAR(10))&amp;$A66,W65)</f>
        <v/>
      </c>
      <c r="X66" s="0" t="str">
        <f aca="false">IF(AND($B66="D03",$C66="G6"),X65&amp;IF(X65="","",CHAR(10))&amp;$A66,X65)</f>
        <v/>
      </c>
      <c r="Y66" s="0" t="str">
        <f aca="false">IF(AND($B66="D04",$C66="G0"),Y65&amp;IF(Y65="","",CHAR(10))&amp;$A66,Y65)</f>
        <v/>
      </c>
      <c r="Z66" s="0" t="str">
        <f aca="false">IF(AND($B66="D04",$C66="G1"),Z65&amp;IF(Z65="","",CHAR(10))&amp;$A66,Z65)</f>
        <v/>
      </c>
      <c r="AA66" s="0" t="str">
        <f aca="false">IF(AND($B66="D04",$C66="G2"),AA65&amp;IF(AA65="","",CHAR(10))&amp;$A66,AA65)</f>
        <v/>
      </c>
      <c r="AB66" s="0" t="str">
        <f aca="false">IF(AND($B66="D04",$C66="G3"),AB65&amp;IF(AB65="","",CHAR(10))&amp;$A66,AB65)</f>
        <v>● 020 IDC與邊緣運算底座</v>
      </c>
      <c r="AC66" s="363" t="str">
        <f aca="false">IF(AND($B66="D04",$C66="G4"),AC65&amp;IF(AC65="","",CHAR(10))&amp;$A66,AC65)</f>
        <v>● 021 有線無線網路與分區
◐ 022 資安營運與零信任
● 023 BMS與能源管理
● 024 RTLS與資產／人員定位
● 025 智慧病房、護理呼叫與感測
● 026 災難復原與營運持續</v>
      </c>
      <c r="AD66" s="0" t="str">
        <f aca="false">IF(AND($B66="D04",$C66="G5"),AD65&amp;IF(AD65="","",CHAR(10))&amp;$A66,AD65)</f>
        <v/>
      </c>
      <c r="AE66" s="0" t="str">
        <f aca="false">IF(AND($B66="D04",$C66="G6"),AE65&amp;IF(AE65="","",CHAR(10))&amp;$A66,AE65)</f>
        <v/>
      </c>
      <c r="AF66" s="0" t="str">
        <f aca="false">IF(AND($B66="D05",$C66="G0"),AF65&amp;IF(AF65="","",CHAR(10))&amp;$A66,AF65)</f>
        <v/>
      </c>
      <c r="AG66" s="0" t="str">
        <f aca="false">IF(AND($B66="D05",$C66="G1"),AG65&amp;IF(AG65="","",CHAR(10))&amp;$A66,AG65)</f>
        <v/>
      </c>
      <c r="AH66" s="0" t="str">
        <f aca="false">IF(AND($B66="D05",$C66="G2"),AH65&amp;IF(AH65="","",CHAR(10))&amp;$A66,AH65)</f>
        <v>◐ 027 醫材需求與設備計畫</v>
      </c>
      <c r="AI66" s="0" t="str">
        <f aca="false">IF(AND($B66="D05",$C66="G3"),AI65&amp;IF(AI65="","",CHAR(10))&amp;$A66,AI65)</f>
        <v/>
      </c>
      <c r="AJ66" s="363" t="str">
        <f aca="false">IF(AND($B66="D05",$C66="G4"),AJ65&amp;IF(AJ65="","",CHAR(10))&amp;$A66,AJ65)</f>
        <v>○ 028 影像設備、PACS與報告流程
○ 029 實驗室自動化與LIS
○ 030 手術室與重症整合
◐ 031 醫材介接與裝置身分
◐ 032 醫療工程與設備生命週期</v>
      </c>
      <c r="AK66" s="0" t="str">
        <f aca="false">IF(AND($B66="D05",$C66="G5"),AK65&amp;IF(AK65="","",CHAR(10))&amp;$A66,AK65)</f>
        <v/>
      </c>
      <c r="AL66" s="0" t="str">
        <f aca="false">IF(AND($B66="D05",$C66="G6"),AL65&amp;IF(AL65="","",CHAR(10))&amp;$A66,AL65)</f>
        <v/>
      </c>
      <c r="AM66" s="0" t="str">
        <f aca="false">IF(AND($B66="D06",$C66="G0"),AM65&amp;IF(AM65="","",CHAR(10))&amp;$A66,AM65)</f>
        <v/>
      </c>
      <c r="AN66" s="0" t="str">
        <f aca="false">IF(AND($B66="D06",$C66="G1"),AN65&amp;IF(AN65="","",CHAR(10))&amp;$A66,AN65)</f>
        <v/>
      </c>
      <c r="AO66" s="0" t="str">
        <f aca="false">IF(AND($B66="D06",$C66="G2"),AO65&amp;IF(AO65="","",CHAR(10))&amp;$A66,AO65)</f>
        <v/>
      </c>
      <c r="AP66" s="363" t="str">
        <f aca="false">IF(AND($B66="D06",$C66="G3"),AP65&amp;IF(AP65="","",CHAR(10))&amp;$A66,AP65)</f>
        <v>◐ 033 HIS／EMR核心平台
◐ 036 臨床術語與主資料治理</v>
      </c>
      <c r="AQ66" s="363" t="str">
        <f aca="false">IF(AND($B66="D06",$C66="G4"),AQ65&amp;IF(AQ65="","",CHAR(10))&amp;$A66,AQ65)</f>
        <v>◐ 034 FHIR介接與API管理
○ 035 主病人索引與身分整合
◐ 037 電子醫囑、用藥與決策支援
◐ 038 資料平台、BI與營運指揮</v>
      </c>
      <c r="AR66" s="0" t="str">
        <f aca="false">IF(AND($B66="D06",$C66="G5"),AR65&amp;IF(AR65="","",CHAR(10))&amp;$A66,AR65)</f>
        <v>○ 039 病人入口、行動服務與VNeID準備</v>
      </c>
      <c r="AS66" s="0" t="str">
        <f aca="false">IF(AND($B66="D06",$C66="G6"),AS65&amp;IF(AS65="","",CHAR(10))&amp;$A66,AS65)</f>
        <v/>
      </c>
      <c r="AT66" s="0" t="str">
        <f aca="false">IF(AND($B66="D07",$C66="G0"),AT65&amp;IF(AT65="","",CHAR(10))&amp;$A66,AT65)</f>
        <v/>
      </c>
      <c r="AU66" s="0" t="str">
        <f aca="false">IF(AND($B66="D07",$C66="G1"),AU65&amp;IF(AU65="","",CHAR(10))&amp;$A66,AU65)</f>
        <v/>
      </c>
      <c r="AV66" s="0" t="str">
        <f aca="false">IF(AND($B66="D07",$C66="G2"),AV65&amp;IF(AV65="","",CHAR(10))&amp;$A66,AV65)</f>
        <v>◐ 040 品質管理與JCI路線圖</v>
      </c>
      <c r="AW66" s="363" t="str">
        <f aca="false">IF(AND($B66="D07",$C66="G3"),AW65&amp;IF(AW65="","",CHAR(10))&amp;$A66,AW65)</f>
        <v>◐ 041 感染預防與控制制度
◐ 043 事件通報與根因改善</v>
      </c>
      <c r="AX66" s="0" t="str">
        <f aca="false">IF(AND($B66="D07",$C66="G4"),AX65&amp;IF(AX65="","",CHAR(10))&amp;$A66,AX65)</f>
        <v>◐ 042 用藥安全閉環</v>
      </c>
      <c r="AY66" s="0" t="str">
        <f aca="false">IF(AND($B66="D07",$C66="G5"),AY65&amp;IF(AY65="","",CHAR(10))&amp;$A66,AY65)</f>
        <v>◐ 044 開院臨床安全驗證</v>
      </c>
      <c r="AZ66" s="0" t="str">
        <f aca="false">IF(AND($B66="D07",$C66="G6"),AZ65&amp;IF(AZ65="","",CHAR(10))&amp;$A66,AZ65)</f>
        <v/>
      </c>
      <c r="BA66" s="0" t="str">
        <f aca="false">IF(AND($B66="D08",$C66="G0"),BA65&amp;IF(BA65="","",CHAR(10))&amp;$A66,BA65)</f>
        <v/>
      </c>
      <c r="BB66" s="0" t="str">
        <f aca="false">IF(AND($B66="D08",$C66="G1"),BB65&amp;IF(BB65="","",CHAR(10))&amp;$A66,BB65)</f>
        <v/>
      </c>
      <c r="BC66" s="0" t="str">
        <f aca="false">IF(AND($B66="D08",$C66="G2"),BC65&amp;IF(BC65="","",CHAR(10))&amp;$A66,BC65)</f>
        <v>○ 045 人力與輪班模型</v>
      </c>
      <c r="BD66" s="0" t="str">
        <f aca="false">IF(AND($B66="D08",$C66="G3"),BD65&amp;IF(BD65="","",CHAR(10))&amp;$A66,BD65)</f>
        <v>◐ 046 職能矩陣與授權</v>
      </c>
      <c r="BE66" s="363" t="str">
        <f aca="false">IF(AND($B66="D08",$C66="G4"),BE65&amp;IF(BE65="","",CHAR(10))&amp;$A66,BE65)</f>
        <v>◐ 047 種子教師與技術移轉
◐ 049 變革管理與使用者採納</v>
      </c>
      <c r="BF66" s="0" t="str">
        <f aca="false">IF(AND($B66="D08",$C66="G5"),BF65&amp;IF(BF65="","",CHAR(10))&amp;$A66,BF65)</f>
        <v>◐ 048 模擬中心與開院演練</v>
      </c>
      <c r="BG66" s="0" t="str">
        <f aca="false">IF(AND($B66="D08",$C66="G6"),BG65&amp;IF(BG65="","",CHAR(10))&amp;$A66,BG65)</f>
        <v/>
      </c>
      <c r="BH66" s="0" t="str">
        <f aca="false">IF(AND($B66="D09",$C66="G0"),BH65&amp;IF(BH65="","",CHAR(10))&amp;$A66,BH65)</f>
        <v/>
      </c>
      <c r="BI66" s="0" t="str">
        <f aca="false">IF(AND($B66="D09",$C66="G1"),BI65&amp;IF(BI65="","",CHAR(10))&amp;$A66,BI65)</f>
        <v/>
      </c>
      <c r="BJ66" s="0" t="str">
        <f aca="false">IF(AND($B66="D09",$C66="G2"),BJ65&amp;IF(BJ65="","",CHAR(10))&amp;$A66,BJ65)</f>
        <v>◐ 050 整合採購與供應商治理</v>
      </c>
      <c r="BK66" s="0" t="str">
        <f aca="false">IF(AND($B66="D09",$C66="G3"),BK65&amp;IF(BK65="","",CHAR(10))&amp;$A66,BK65)</f>
        <v/>
      </c>
      <c r="BL66" s="363" t="str">
        <f aca="false">IF(AND($B66="D09",$C66="G4"),BL65&amp;IF(BL65="","",CHAR(10))&amp;$A66,BL65)</f>
        <v>◐ 051 藥品耗材與SPD物流
◐ 052 冷鏈與特殊物料
● 053 CMMS與設施維運</v>
      </c>
      <c r="BM66" s="0" t="str">
        <f aca="false">IF(AND($B66="D09",$C66="G5"),BM65&amp;IF(BM65="","",CHAR(10))&amp;$A66,BM65)</f>
        <v>◐ 054 在地備品、維修與汰換</v>
      </c>
      <c r="BN66" s="0" t="str">
        <f aca="false">IF(AND($B66="D09",$C66="G6"),BN65&amp;IF(BN65="","",CHAR(10))&amp;$A66,BN65)</f>
        <v/>
      </c>
      <c r="BO66" s="0" t="str">
        <f aca="false">IF(AND($B66="D10",$C66="G0"),BO65&amp;IF(BO65="","",CHAR(10))&amp;$A66,BO65)</f>
        <v/>
      </c>
      <c r="BP66" s="0" t="str">
        <f aca="false">IF(AND($B66="D10",$C66="G1"),BP65&amp;IF(BP65="","",CHAR(10))&amp;$A66,BP65)</f>
        <v>◐ 055 全生命週期成本模型</v>
      </c>
      <c r="BQ66" s="0" t="str">
        <f aca="false">IF(AND($B66="D10",$C66="G2"),BQ65&amp;IF(BQ65="","",CHAR(10))&amp;$A66,BQ65)</f>
        <v>◐ 059 PPP／JV財務與風險分配</v>
      </c>
      <c r="BR66" s="0" t="str">
        <f aca="false">IF(AND($B66="D10",$C66="G3"),BR65&amp;IF(BR65="","",CHAR(10))&amp;$A66,BR65)</f>
        <v/>
      </c>
      <c r="BS66" s="363" t="str">
        <f aca="false">IF(AND($B66="D10",$C66="G4"),BS65&amp;IF(BS65="","",CHAR(10))&amp;$A66,BS65)</f>
        <v>○ 056 健保申報與數位理賠
○ 057 現金流、支付與收入週期</v>
      </c>
      <c r="BT66" s="0" t="str">
        <f aca="false">IF(AND($B66="D10",$C66="G5"),BT65&amp;IF(BT65="","",CHAR(10))&amp;$A66,BT65)</f>
        <v>○ 058 國際醫療與高價值服務</v>
      </c>
      <c r="BU66" s="0" t="str">
        <f aca="false">IF(AND($B66="D10",$C66="G6"),BU65&amp;IF(BU65="","",CHAR(10))&amp;$A66,BU65)</f>
        <v>◐ 060 效益實現與複製藍圖</v>
      </c>
      <c r="BX66" s="0" t="str">
        <f aca="false">IF(AND(03_能力總表_Master!$A66&lt;&gt;"",LEFT(03_能力總表_Master!$H66,2)="缺口"),MAX($BX$4:BX65)+1,"")</f>
        <v/>
      </c>
      <c r="BY66" s="0" t="str">
        <f aca="false">IF(AND(03_能力總表_Master!$A66&lt;&gt;"",03_能力總表_Master!$J66=12_夥伴視角_PartnerView!$C$4),MAX($BY$4:BY65)+1,"")</f>
        <v/>
      </c>
      <c r="CC66" s="0" t="str">
        <f aca="false">IF(AND(03_能力總表_Master!$A66&lt;&gt;"",IFERROR(INDEX(16_能力商機矩陣_CapOppMap!$D66:$CO66,MATCH(LEFT(17_商機作戰卡_OppView!$C$4,6),16_能力商機矩陣_CapOppMap!$D$4:$CO$4,0)),"")="✓"),MAX($CC$4:CC65)+1,"")</f>
        <v/>
      </c>
    </row>
    <row r="67" customFormat="false" ht="95.5" hidden="false" customHeight="false" outlineLevel="0" collapsed="false">
      <c r="A67" s="0" t="str">
        <f aca="false">IF(03_能力總表_Master!$A67="","",IF(LEFT(03_能力總表_Master!$H67,2)="群晶","● ",IF(ISNUMBER(SEARCH("已確認",03_能力總表_Master!$H67)),"◆ ",IF(ISNUMBER(SEARCH("缺口",03_能力總表_Master!$H67)),"○ ","◐ ")))&amp;RIGHT(03_能力總表_Master!$A67,3)&amp;" "&amp;03_能力總表_Master!$E67)</f>
        <v/>
      </c>
      <c r="B67" s="0" t="str">
        <f aca="false">IF(03_能力總表_Master!$A67="","",LEFT(03_能力總表_Master!$B67,3))</f>
        <v/>
      </c>
      <c r="C67" s="0" t="str">
        <f aca="false">IF(03_能力總表_Master!$A67="","",03_能力總表_Master!$C67)</f>
        <v/>
      </c>
      <c r="D67" s="363" t="str">
        <f aca="false">IF(AND($B67="D01",$C67="G0"),D66&amp;IF(D66="","",CHAR(10))&amp;$A67,D66)</f>
        <v>◐ 001 政府授權與計畫章程
◐ 002 利害關係人與權力地圖
◐ 005 聯盟治理與利益衝突</v>
      </c>
      <c r="E67" s="363" t="str">
        <f aca="false">IF(AND($B67="D01",$C67="G1"),E66&amp;IF(E66="","",CHAR(10))&amp;$A67,E66)</f>
        <v>◐ 003 交易模式選擇
◐ 004 法規與執照路徑</v>
      </c>
      <c r="F67" s="0" t="str">
        <f aca="false">IF(AND($B67="D01",$C67="G2"),F66&amp;IF(F66="","",CHAR(10))&amp;$A67,F66)</f>
        <v>◐ 006 績效契約與變更控制</v>
      </c>
      <c r="G67" s="0" t="str">
        <f aca="false">IF(AND($B67="D01",$C67="G3"),G66&amp;IF(G66="","",CHAR(10))&amp;$A67,G66)</f>
        <v/>
      </c>
      <c r="H67" s="0" t="str">
        <f aca="false">IF(AND($B67="D01",$C67="G4"),H66&amp;IF(H66="","",CHAR(10))&amp;$A67,H66)</f>
        <v/>
      </c>
      <c r="I67" s="0" t="str">
        <f aca="false">IF(AND($B67="D01",$C67="G5"),I66&amp;IF(I66="","",CHAR(10))&amp;$A67,I66)</f>
        <v/>
      </c>
      <c r="J67" s="0" t="str">
        <f aca="false">IF(AND($B67="D01",$C67="G6"),J66&amp;IF(J66="","",CHAR(10))&amp;$A67,J66)</f>
        <v/>
      </c>
      <c r="K67" s="0" t="str">
        <f aca="false">IF(AND($B67="D02",$C67="G0"),K66&amp;IF(K66="","",CHAR(10))&amp;$A67,K66)</f>
        <v/>
      </c>
      <c r="L67" s="363" t="str">
        <f aca="false">IF(AND($B67="D02",$C67="G1"),L66&amp;IF(L66="","",CHAR(10))&amp;$A67,L66)</f>
        <v>◐ 007 人口需求與病例量預測
◐ 008 醫院定位與服務組合
◐ 009 重點專科優先化
◐ 010 病人流程與容量設計
◐ 011 轉診與區域照護網絡
◐ 012 臨床治理與責任架構</v>
      </c>
      <c r="M67" s="0" t="str">
        <f aca="false">IF(AND($B67="D02",$C67="G2"),M66&amp;IF(M66="","",CHAR(10))&amp;$A67,M66)</f>
        <v/>
      </c>
      <c r="N67" s="0" t="str">
        <f aca="false">IF(AND($B67="D02",$C67="G3"),N66&amp;IF(N66="","",CHAR(10))&amp;$A67,N66)</f>
        <v/>
      </c>
      <c r="O67" s="0" t="str">
        <f aca="false">IF(AND($B67="D02",$C67="G4"),O66&amp;IF(O66="","",CHAR(10))&amp;$A67,O66)</f>
        <v/>
      </c>
      <c r="P67" s="0" t="str">
        <f aca="false">IF(AND($B67="D02",$C67="G5"),P66&amp;IF(P66="","",CHAR(10))&amp;$A67,P66)</f>
        <v/>
      </c>
      <c r="Q67" s="0" t="str">
        <f aca="false">IF(AND($B67="D02",$C67="G6"),Q66&amp;IF(Q66="","",CHAR(10))&amp;$A67,Q66)</f>
        <v/>
      </c>
      <c r="R67" s="0" t="str">
        <f aca="false">IF(AND($B67="D03",$C67="G0"),R66&amp;IF(R66="","",CHAR(10))&amp;$A67,R66)</f>
        <v/>
      </c>
      <c r="S67" s="0" t="str">
        <f aca="false">IF(AND($B67="D03",$C67="G1"),S66&amp;IF(S66="","",CHAR(10))&amp;$A67,S66)</f>
        <v>◐ 013 場址與醫院總體規劃</v>
      </c>
      <c r="T67" s="363" t="str">
        <f aca="false">IF(AND($B67="D03",$C67="G2"),T66&amp;IF(T66="","",CHAR(10))&amp;$A67,T66)</f>
        <v>◐ 014 醫療建築功能計畫
◐ 015 感染控制與潔污動線
◐ 019 綠色與氣候韌性醫院</v>
      </c>
      <c r="U67" s="363" t="str">
        <f aca="false">IF(AND($B67="D03",$C67="G3"),U66&amp;IF(U66="","",CHAR(10))&amp;$A67,U66)</f>
        <v>● 016 電力、備援與微電網
◐ 017 醫療氣體與關鍵公用系統
◐ 018 醫療廢棄物與水資源</v>
      </c>
      <c r="V67" s="0" t="str">
        <f aca="false">IF(AND($B67="D03",$C67="G4"),V66&amp;IF(V66="","",CHAR(10))&amp;$A67,V66)</f>
        <v/>
      </c>
      <c r="W67" s="0" t="str">
        <f aca="false">IF(AND($B67="D03",$C67="G5"),W66&amp;IF(W66="","",CHAR(10))&amp;$A67,W66)</f>
        <v/>
      </c>
      <c r="X67" s="0" t="str">
        <f aca="false">IF(AND($B67="D03",$C67="G6"),X66&amp;IF(X66="","",CHAR(10))&amp;$A67,X66)</f>
        <v/>
      </c>
      <c r="Y67" s="0" t="str">
        <f aca="false">IF(AND($B67="D04",$C67="G0"),Y66&amp;IF(Y66="","",CHAR(10))&amp;$A67,Y66)</f>
        <v/>
      </c>
      <c r="Z67" s="0" t="str">
        <f aca="false">IF(AND($B67="D04",$C67="G1"),Z66&amp;IF(Z66="","",CHAR(10))&amp;$A67,Z66)</f>
        <v/>
      </c>
      <c r="AA67" s="0" t="str">
        <f aca="false">IF(AND($B67="D04",$C67="G2"),AA66&amp;IF(AA66="","",CHAR(10))&amp;$A67,AA66)</f>
        <v/>
      </c>
      <c r="AB67" s="0" t="str">
        <f aca="false">IF(AND($B67="D04",$C67="G3"),AB66&amp;IF(AB66="","",CHAR(10))&amp;$A67,AB66)</f>
        <v>● 020 IDC與邊緣運算底座</v>
      </c>
      <c r="AC67" s="363" t="str">
        <f aca="false">IF(AND($B67="D04",$C67="G4"),AC66&amp;IF(AC66="","",CHAR(10))&amp;$A67,AC66)</f>
        <v>● 021 有線無線網路與分區
◐ 022 資安營運與零信任
● 023 BMS與能源管理
● 024 RTLS與資產／人員定位
● 025 智慧病房、護理呼叫與感測
● 026 災難復原與營運持續</v>
      </c>
      <c r="AD67" s="0" t="str">
        <f aca="false">IF(AND($B67="D04",$C67="G5"),AD66&amp;IF(AD66="","",CHAR(10))&amp;$A67,AD66)</f>
        <v/>
      </c>
      <c r="AE67" s="0" t="str">
        <f aca="false">IF(AND($B67="D04",$C67="G6"),AE66&amp;IF(AE66="","",CHAR(10))&amp;$A67,AE66)</f>
        <v/>
      </c>
      <c r="AF67" s="0" t="str">
        <f aca="false">IF(AND($B67="D05",$C67="G0"),AF66&amp;IF(AF66="","",CHAR(10))&amp;$A67,AF66)</f>
        <v/>
      </c>
      <c r="AG67" s="0" t="str">
        <f aca="false">IF(AND($B67="D05",$C67="G1"),AG66&amp;IF(AG66="","",CHAR(10))&amp;$A67,AG66)</f>
        <v/>
      </c>
      <c r="AH67" s="0" t="str">
        <f aca="false">IF(AND($B67="D05",$C67="G2"),AH66&amp;IF(AH66="","",CHAR(10))&amp;$A67,AH66)</f>
        <v>◐ 027 醫材需求與設備計畫</v>
      </c>
      <c r="AI67" s="0" t="str">
        <f aca="false">IF(AND($B67="D05",$C67="G3"),AI66&amp;IF(AI66="","",CHAR(10))&amp;$A67,AI66)</f>
        <v/>
      </c>
      <c r="AJ67" s="363" t="str">
        <f aca="false">IF(AND($B67="D05",$C67="G4"),AJ66&amp;IF(AJ66="","",CHAR(10))&amp;$A67,AJ66)</f>
        <v>○ 028 影像設備、PACS與報告流程
○ 029 實驗室自動化與LIS
○ 030 手術室與重症整合
◐ 031 醫材介接與裝置身分
◐ 032 醫療工程與設備生命週期</v>
      </c>
      <c r="AK67" s="0" t="str">
        <f aca="false">IF(AND($B67="D05",$C67="G5"),AK66&amp;IF(AK66="","",CHAR(10))&amp;$A67,AK66)</f>
        <v/>
      </c>
      <c r="AL67" s="0" t="str">
        <f aca="false">IF(AND($B67="D05",$C67="G6"),AL66&amp;IF(AL66="","",CHAR(10))&amp;$A67,AL66)</f>
        <v/>
      </c>
      <c r="AM67" s="0" t="str">
        <f aca="false">IF(AND($B67="D06",$C67="G0"),AM66&amp;IF(AM66="","",CHAR(10))&amp;$A67,AM66)</f>
        <v/>
      </c>
      <c r="AN67" s="0" t="str">
        <f aca="false">IF(AND($B67="D06",$C67="G1"),AN66&amp;IF(AN66="","",CHAR(10))&amp;$A67,AN66)</f>
        <v/>
      </c>
      <c r="AO67" s="0" t="str">
        <f aca="false">IF(AND($B67="D06",$C67="G2"),AO66&amp;IF(AO66="","",CHAR(10))&amp;$A67,AO66)</f>
        <v/>
      </c>
      <c r="AP67" s="363" t="str">
        <f aca="false">IF(AND($B67="D06",$C67="G3"),AP66&amp;IF(AP66="","",CHAR(10))&amp;$A67,AP66)</f>
        <v>◐ 033 HIS／EMR核心平台
◐ 036 臨床術語與主資料治理</v>
      </c>
      <c r="AQ67" s="363" t="str">
        <f aca="false">IF(AND($B67="D06",$C67="G4"),AQ66&amp;IF(AQ66="","",CHAR(10))&amp;$A67,AQ66)</f>
        <v>◐ 034 FHIR介接與API管理
○ 035 主病人索引與身分整合
◐ 037 電子醫囑、用藥與決策支援
◐ 038 資料平台、BI與營運指揮</v>
      </c>
      <c r="AR67" s="0" t="str">
        <f aca="false">IF(AND($B67="D06",$C67="G5"),AR66&amp;IF(AR66="","",CHAR(10))&amp;$A67,AR66)</f>
        <v>○ 039 病人入口、行動服務與VNeID準備</v>
      </c>
      <c r="AS67" s="0" t="str">
        <f aca="false">IF(AND($B67="D06",$C67="G6"),AS66&amp;IF(AS66="","",CHAR(10))&amp;$A67,AS66)</f>
        <v/>
      </c>
      <c r="AT67" s="0" t="str">
        <f aca="false">IF(AND($B67="D07",$C67="G0"),AT66&amp;IF(AT66="","",CHAR(10))&amp;$A67,AT66)</f>
        <v/>
      </c>
      <c r="AU67" s="0" t="str">
        <f aca="false">IF(AND($B67="D07",$C67="G1"),AU66&amp;IF(AU66="","",CHAR(10))&amp;$A67,AU66)</f>
        <v/>
      </c>
      <c r="AV67" s="0" t="str">
        <f aca="false">IF(AND($B67="D07",$C67="G2"),AV66&amp;IF(AV66="","",CHAR(10))&amp;$A67,AV66)</f>
        <v>◐ 040 品質管理與JCI路線圖</v>
      </c>
      <c r="AW67" s="363" t="str">
        <f aca="false">IF(AND($B67="D07",$C67="G3"),AW66&amp;IF(AW66="","",CHAR(10))&amp;$A67,AW66)</f>
        <v>◐ 041 感染預防與控制制度
◐ 043 事件通報與根因改善</v>
      </c>
      <c r="AX67" s="0" t="str">
        <f aca="false">IF(AND($B67="D07",$C67="G4"),AX66&amp;IF(AX66="","",CHAR(10))&amp;$A67,AX66)</f>
        <v>◐ 042 用藥安全閉環</v>
      </c>
      <c r="AY67" s="0" t="str">
        <f aca="false">IF(AND($B67="D07",$C67="G5"),AY66&amp;IF(AY66="","",CHAR(10))&amp;$A67,AY66)</f>
        <v>◐ 044 開院臨床安全驗證</v>
      </c>
      <c r="AZ67" s="0" t="str">
        <f aca="false">IF(AND($B67="D07",$C67="G6"),AZ66&amp;IF(AZ66="","",CHAR(10))&amp;$A67,AZ66)</f>
        <v/>
      </c>
      <c r="BA67" s="0" t="str">
        <f aca="false">IF(AND($B67="D08",$C67="G0"),BA66&amp;IF(BA66="","",CHAR(10))&amp;$A67,BA66)</f>
        <v/>
      </c>
      <c r="BB67" s="0" t="str">
        <f aca="false">IF(AND($B67="D08",$C67="G1"),BB66&amp;IF(BB66="","",CHAR(10))&amp;$A67,BB66)</f>
        <v/>
      </c>
      <c r="BC67" s="0" t="str">
        <f aca="false">IF(AND($B67="D08",$C67="G2"),BC66&amp;IF(BC66="","",CHAR(10))&amp;$A67,BC66)</f>
        <v>○ 045 人力與輪班模型</v>
      </c>
      <c r="BD67" s="0" t="str">
        <f aca="false">IF(AND($B67="D08",$C67="G3"),BD66&amp;IF(BD66="","",CHAR(10))&amp;$A67,BD66)</f>
        <v>◐ 046 職能矩陣與授權</v>
      </c>
      <c r="BE67" s="363" t="str">
        <f aca="false">IF(AND($B67="D08",$C67="G4"),BE66&amp;IF(BE66="","",CHAR(10))&amp;$A67,BE66)</f>
        <v>◐ 047 種子教師與技術移轉
◐ 049 變革管理與使用者採納</v>
      </c>
      <c r="BF67" s="0" t="str">
        <f aca="false">IF(AND($B67="D08",$C67="G5"),BF66&amp;IF(BF66="","",CHAR(10))&amp;$A67,BF66)</f>
        <v>◐ 048 模擬中心與開院演練</v>
      </c>
      <c r="BG67" s="0" t="str">
        <f aca="false">IF(AND($B67="D08",$C67="G6"),BG66&amp;IF(BG66="","",CHAR(10))&amp;$A67,BG66)</f>
        <v/>
      </c>
      <c r="BH67" s="0" t="str">
        <f aca="false">IF(AND($B67="D09",$C67="G0"),BH66&amp;IF(BH66="","",CHAR(10))&amp;$A67,BH66)</f>
        <v/>
      </c>
      <c r="BI67" s="0" t="str">
        <f aca="false">IF(AND($B67="D09",$C67="G1"),BI66&amp;IF(BI66="","",CHAR(10))&amp;$A67,BI66)</f>
        <v/>
      </c>
      <c r="BJ67" s="0" t="str">
        <f aca="false">IF(AND($B67="D09",$C67="G2"),BJ66&amp;IF(BJ66="","",CHAR(10))&amp;$A67,BJ66)</f>
        <v>◐ 050 整合採購與供應商治理</v>
      </c>
      <c r="BK67" s="0" t="str">
        <f aca="false">IF(AND($B67="D09",$C67="G3"),BK66&amp;IF(BK66="","",CHAR(10))&amp;$A67,BK66)</f>
        <v/>
      </c>
      <c r="BL67" s="363" t="str">
        <f aca="false">IF(AND($B67="D09",$C67="G4"),BL66&amp;IF(BL66="","",CHAR(10))&amp;$A67,BL66)</f>
        <v>◐ 051 藥品耗材與SPD物流
◐ 052 冷鏈與特殊物料
● 053 CMMS與設施維運</v>
      </c>
      <c r="BM67" s="0" t="str">
        <f aca="false">IF(AND($B67="D09",$C67="G5"),BM66&amp;IF(BM66="","",CHAR(10))&amp;$A67,BM66)</f>
        <v>◐ 054 在地備品、維修與汰換</v>
      </c>
      <c r="BN67" s="0" t="str">
        <f aca="false">IF(AND($B67="D09",$C67="G6"),BN66&amp;IF(BN66="","",CHAR(10))&amp;$A67,BN66)</f>
        <v/>
      </c>
      <c r="BO67" s="0" t="str">
        <f aca="false">IF(AND($B67="D10",$C67="G0"),BO66&amp;IF(BO66="","",CHAR(10))&amp;$A67,BO66)</f>
        <v/>
      </c>
      <c r="BP67" s="0" t="str">
        <f aca="false">IF(AND($B67="D10",$C67="G1"),BP66&amp;IF(BP66="","",CHAR(10))&amp;$A67,BP66)</f>
        <v>◐ 055 全生命週期成本模型</v>
      </c>
      <c r="BQ67" s="0" t="str">
        <f aca="false">IF(AND($B67="D10",$C67="G2"),BQ66&amp;IF(BQ66="","",CHAR(10))&amp;$A67,BQ66)</f>
        <v>◐ 059 PPP／JV財務與風險分配</v>
      </c>
      <c r="BR67" s="0" t="str">
        <f aca="false">IF(AND($B67="D10",$C67="G3"),BR66&amp;IF(BR66="","",CHAR(10))&amp;$A67,BR66)</f>
        <v/>
      </c>
      <c r="BS67" s="363" t="str">
        <f aca="false">IF(AND($B67="D10",$C67="G4"),BS66&amp;IF(BS66="","",CHAR(10))&amp;$A67,BS66)</f>
        <v>○ 056 健保申報與數位理賠
○ 057 現金流、支付與收入週期</v>
      </c>
      <c r="BT67" s="0" t="str">
        <f aca="false">IF(AND($B67="D10",$C67="G5"),BT66&amp;IF(BT66="","",CHAR(10))&amp;$A67,BT66)</f>
        <v>○ 058 國際醫療與高價值服務</v>
      </c>
      <c r="BU67" s="0" t="str">
        <f aca="false">IF(AND($B67="D10",$C67="G6"),BU66&amp;IF(BU66="","",CHAR(10))&amp;$A67,BU66)</f>
        <v>◐ 060 效益實現與複製藍圖</v>
      </c>
      <c r="BX67" s="0" t="str">
        <f aca="false">IF(AND(03_能力總表_Master!$A67&lt;&gt;"",LEFT(03_能力總表_Master!$H67,2)="缺口"),MAX($BX$4:BX66)+1,"")</f>
        <v/>
      </c>
      <c r="BY67" s="0" t="str">
        <f aca="false">IF(AND(03_能力總表_Master!$A67&lt;&gt;"",03_能力總表_Master!$J67=12_夥伴視角_PartnerView!$C$4),MAX($BY$4:BY66)+1,"")</f>
        <v/>
      </c>
      <c r="CC67" s="0" t="str">
        <f aca="false">IF(AND(03_能力總表_Master!$A67&lt;&gt;"",IFERROR(INDEX(16_能力商機矩陣_CapOppMap!$D67:$CO67,MATCH(LEFT(17_商機作戰卡_OppView!$C$4,6),16_能力商機矩陣_CapOppMap!$D$4:$CO$4,0)),"")="✓"),MAX($CC$4:CC66)+1,"")</f>
        <v/>
      </c>
    </row>
    <row r="68" customFormat="false" ht="95.5" hidden="false" customHeight="false" outlineLevel="0" collapsed="false">
      <c r="A68" s="0" t="str">
        <f aca="false">IF(03_能力總表_Master!$A68="","",IF(LEFT(03_能力總表_Master!$H68,2)="群晶","● ",IF(ISNUMBER(SEARCH("已確認",03_能力總表_Master!$H68)),"◆ ",IF(ISNUMBER(SEARCH("缺口",03_能力總表_Master!$H68)),"○ ","◐ ")))&amp;RIGHT(03_能力總表_Master!$A68,3)&amp;" "&amp;03_能力總表_Master!$E68)</f>
        <v/>
      </c>
      <c r="B68" s="0" t="str">
        <f aca="false">IF(03_能力總表_Master!$A68="","",LEFT(03_能力總表_Master!$B68,3))</f>
        <v/>
      </c>
      <c r="C68" s="0" t="str">
        <f aca="false">IF(03_能力總表_Master!$A68="","",03_能力總表_Master!$C68)</f>
        <v/>
      </c>
      <c r="D68" s="363" t="str">
        <f aca="false">IF(AND($B68="D01",$C68="G0"),D67&amp;IF(D67="","",CHAR(10))&amp;$A68,D67)</f>
        <v>◐ 001 政府授權與計畫章程
◐ 002 利害關係人與權力地圖
◐ 005 聯盟治理與利益衝突</v>
      </c>
      <c r="E68" s="363" t="str">
        <f aca="false">IF(AND($B68="D01",$C68="G1"),E67&amp;IF(E67="","",CHAR(10))&amp;$A68,E67)</f>
        <v>◐ 003 交易模式選擇
◐ 004 法規與執照路徑</v>
      </c>
      <c r="F68" s="0" t="str">
        <f aca="false">IF(AND($B68="D01",$C68="G2"),F67&amp;IF(F67="","",CHAR(10))&amp;$A68,F67)</f>
        <v>◐ 006 績效契約與變更控制</v>
      </c>
      <c r="G68" s="0" t="str">
        <f aca="false">IF(AND($B68="D01",$C68="G3"),G67&amp;IF(G67="","",CHAR(10))&amp;$A68,G67)</f>
        <v/>
      </c>
      <c r="H68" s="0" t="str">
        <f aca="false">IF(AND($B68="D01",$C68="G4"),H67&amp;IF(H67="","",CHAR(10))&amp;$A68,H67)</f>
        <v/>
      </c>
      <c r="I68" s="0" t="str">
        <f aca="false">IF(AND($B68="D01",$C68="G5"),I67&amp;IF(I67="","",CHAR(10))&amp;$A68,I67)</f>
        <v/>
      </c>
      <c r="J68" s="0" t="str">
        <f aca="false">IF(AND($B68="D01",$C68="G6"),J67&amp;IF(J67="","",CHAR(10))&amp;$A68,J67)</f>
        <v/>
      </c>
      <c r="K68" s="0" t="str">
        <f aca="false">IF(AND($B68="D02",$C68="G0"),K67&amp;IF(K67="","",CHAR(10))&amp;$A68,K67)</f>
        <v/>
      </c>
      <c r="L68" s="363" t="str">
        <f aca="false">IF(AND($B68="D02",$C68="G1"),L67&amp;IF(L67="","",CHAR(10))&amp;$A68,L67)</f>
        <v>◐ 007 人口需求與病例量預測
◐ 008 醫院定位與服務組合
◐ 009 重點專科優先化
◐ 010 病人流程與容量設計
◐ 011 轉診與區域照護網絡
◐ 012 臨床治理與責任架構</v>
      </c>
      <c r="M68" s="0" t="str">
        <f aca="false">IF(AND($B68="D02",$C68="G2"),M67&amp;IF(M67="","",CHAR(10))&amp;$A68,M67)</f>
        <v/>
      </c>
      <c r="N68" s="0" t="str">
        <f aca="false">IF(AND($B68="D02",$C68="G3"),N67&amp;IF(N67="","",CHAR(10))&amp;$A68,N67)</f>
        <v/>
      </c>
      <c r="O68" s="0" t="str">
        <f aca="false">IF(AND($B68="D02",$C68="G4"),O67&amp;IF(O67="","",CHAR(10))&amp;$A68,O67)</f>
        <v/>
      </c>
      <c r="P68" s="0" t="str">
        <f aca="false">IF(AND($B68="D02",$C68="G5"),P67&amp;IF(P67="","",CHAR(10))&amp;$A68,P67)</f>
        <v/>
      </c>
      <c r="Q68" s="0" t="str">
        <f aca="false">IF(AND($B68="D02",$C68="G6"),Q67&amp;IF(Q67="","",CHAR(10))&amp;$A68,Q67)</f>
        <v/>
      </c>
      <c r="R68" s="0" t="str">
        <f aca="false">IF(AND($B68="D03",$C68="G0"),R67&amp;IF(R67="","",CHAR(10))&amp;$A68,R67)</f>
        <v/>
      </c>
      <c r="S68" s="0" t="str">
        <f aca="false">IF(AND($B68="D03",$C68="G1"),S67&amp;IF(S67="","",CHAR(10))&amp;$A68,S67)</f>
        <v>◐ 013 場址與醫院總體規劃</v>
      </c>
      <c r="T68" s="363" t="str">
        <f aca="false">IF(AND($B68="D03",$C68="G2"),T67&amp;IF(T67="","",CHAR(10))&amp;$A68,T67)</f>
        <v>◐ 014 醫療建築功能計畫
◐ 015 感染控制與潔污動線
◐ 019 綠色與氣候韌性醫院</v>
      </c>
      <c r="U68" s="363" t="str">
        <f aca="false">IF(AND($B68="D03",$C68="G3"),U67&amp;IF(U67="","",CHAR(10))&amp;$A68,U67)</f>
        <v>● 016 電力、備援與微電網
◐ 017 醫療氣體與關鍵公用系統
◐ 018 醫療廢棄物與水資源</v>
      </c>
      <c r="V68" s="0" t="str">
        <f aca="false">IF(AND($B68="D03",$C68="G4"),V67&amp;IF(V67="","",CHAR(10))&amp;$A68,V67)</f>
        <v/>
      </c>
      <c r="W68" s="0" t="str">
        <f aca="false">IF(AND($B68="D03",$C68="G5"),W67&amp;IF(W67="","",CHAR(10))&amp;$A68,W67)</f>
        <v/>
      </c>
      <c r="X68" s="0" t="str">
        <f aca="false">IF(AND($B68="D03",$C68="G6"),X67&amp;IF(X67="","",CHAR(10))&amp;$A68,X67)</f>
        <v/>
      </c>
      <c r="Y68" s="0" t="str">
        <f aca="false">IF(AND($B68="D04",$C68="G0"),Y67&amp;IF(Y67="","",CHAR(10))&amp;$A68,Y67)</f>
        <v/>
      </c>
      <c r="Z68" s="0" t="str">
        <f aca="false">IF(AND($B68="D04",$C68="G1"),Z67&amp;IF(Z67="","",CHAR(10))&amp;$A68,Z67)</f>
        <v/>
      </c>
      <c r="AA68" s="0" t="str">
        <f aca="false">IF(AND($B68="D04",$C68="G2"),AA67&amp;IF(AA67="","",CHAR(10))&amp;$A68,AA67)</f>
        <v/>
      </c>
      <c r="AB68" s="0" t="str">
        <f aca="false">IF(AND($B68="D04",$C68="G3"),AB67&amp;IF(AB67="","",CHAR(10))&amp;$A68,AB67)</f>
        <v>● 020 IDC與邊緣運算底座</v>
      </c>
      <c r="AC68" s="363" t="str">
        <f aca="false">IF(AND($B68="D04",$C68="G4"),AC67&amp;IF(AC67="","",CHAR(10))&amp;$A68,AC67)</f>
        <v>● 021 有線無線網路與分區
◐ 022 資安營運與零信任
● 023 BMS與能源管理
● 024 RTLS與資產／人員定位
● 025 智慧病房、護理呼叫與感測
● 026 災難復原與營運持續</v>
      </c>
      <c r="AD68" s="0" t="str">
        <f aca="false">IF(AND($B68="D04",$C68="G5"),AD67&amp;IF(AD67="","",CHAR(10))&amp;$A68,AD67)</f>
        <v/>
      </c>
      <c r="AE68" s="0" t="str">
        <f aca="false">IF(AND($B68="D04",$C68="G6"),AE67&amp;IF(AE67="","",CHAR(10))&amp;$A68,AE67)</f>
        <v/>
      </c>
      <c r="AF68" s="0" t="str">
        <f aca="false">IF(AND($B68="D05",$C68="G0"),AF67&amp;IF(AF67="","",CHAR(10))&amp;$A68,AF67)</f>
        <v/>
      </c>
      <c r="AG68" s="0" t="str">
        <f aca="false">IF(AND($B68="D05",$C68="G1"),AG67&amp;IF(AG67="","",CHAR(10))&amp;$A68,AG67)</f>
        <v/>
      </c>
      <c r="AH68" s="0" t="str">
        <f aca="false">IF(AND($B68="D05",$C68="G2"),AH67&amp;IF(AH67="","",CHAR(10))&amp;$A68,AH67)</f>
        <v>◐ 027 醫材需求與設備計畫</v>
      </c>
      <c r="AI68" s="0" t="str">
        <f aca="false">IF(AND($B68="D05",$C68="G3"),AI67&amp;IF(AI67="","",CHAR(10))&amp;$A68,AI67)</f>
        <v/>
      </c>
      <c r="AJ68" s="363" t="str">
        <f aca="false">IF(AND($B68="D05",$C68="G4"),AJ67&amp;IF(AJ67="","",CHAR(10))&amp;$A68,AJ67)</f>
        <v>○ 028 影像設備、PACS與報告流程
○ 029 實驗室自動化與LIS
○ 030 手術室與重症整合
◐ 031 醫材介接與裝置身分
◐ 032 醫療工程與設備生命週期</v>
      </c>
      <c r="AK68" s="0" t="str">
        <f aca="false">IF(AND($B68="D05",$C68="G5"),AK67&amp;IF(AK67="","",CHAR(10))&amp;$A68,AK67)</f>
        <v/>
      </c>
      <c r="AL68" s="0" t="str">
        <f aca="false">IF(AND($B68="D05",$C68="G6"),AL67&amp;IF(AL67="","",CHAR(10))&amp;$A68,AL67)</f>
        <v/>
      </c>
      <c r="AM68" s="0" t="str">
        <f aca="false">IF(AND($B68="D06",$C68="G0"),AM67&amp;IF(AM67="","",CHAR(10))&amp;$A68,AM67)</f>
        <v/>
      </c>
      <c r="AN68" s="0" t="str">
        <f aca="false">IF(AND($B68="D06",$C68="G1"),AN67&amp;IF(AN67="","",CHAR(10))&amp;$A68,AN67)</f>
        <v/>
      </c>
      <c r="AO68" s="0" t="str">
        <f aca="false">IF(AND($B68="D06",$C68="G2"),AO67&amp;IF(AO67="","",CHAR(10))&amp;$A68,AO67)</f>
        <v/>
      </c>
      <c r="AP68" s="363" t="str">
        <f aca="false">IF(AND($B68="D06",$C68="G3"),AP67&amp;IF(AP67="","",CHAR(10))&amp;$A68,AP67)</f>
        <v>◐ 033 HIS／EMR核心平台
◐ 036 臨床術語與主資料治理</v>
      </c>
      <c r="AQ68" s="363" t="str">
        <f aca="false">IF(AND($B68="D06",$C68="G4"),AQ67&amp;IF(AQ67="","",CHAR(10))&amp;$A68,AQ67)</f>
        <v>◐ 034 FHIR介接與API管理
○ 035 主病人索引與身分整合
◐ 037 電子醫囑、用藥與決策支援
◐ 038 資料平台、BI與營運指揮</v>
      </c>
      <c r="AR68" s="0" t="str">
        <f aca="false">IF(AND($B68="D06",$C68="G5"),AR67&amp;IF(AR67="","",CHAR(10))&amp;$A68,AR67)</f>
        <v>○ 039 病人入口、行動服務與VNeID準備</v>
      </c>
      <c r="AS68" s="0" t="str">
        <f aca="false">IF(AND($B68="D06",$C68="G6"),AS67&amp;IF(AS67="","",CHAR(10))&amp;$A68,AS67)</f>
        <v/>
      </c>
      <c r="AT68" s="0" t="str">
        <f aca="false">IF(AND($B68="D07",$C68="G0"),AT67&amp;IF(AT67="","",CHAR(10))&amp;$A68,AT67)</f>
        <v/>
      </c>
      <c r="AU68" s="0" t="str">
        <f aca="false">IF(AND($B68="D07",$C68="G1"),AU67&amp;IF(AU67="","",CHAR(10))&amp;$A68,AU67)</f>
        <v/>
      </c>
      <c r="AV68" s="0" t="str">
        <f aca="false">IF(AND($B68="D07",$C68="G2"),AV67&amp;IF(AV67="","",CHAR(10))&amp;$A68,AV67)</f>
        <v>◐ 040 品質管理與JCI路線圖</v>
      </c>
      <c r="AW68" s="363" t="str">
        <f aca="false">IF(AND($B68="D07",$C68="G3"),AW67&amp;IF(AW67="","",CHAR(10))&amp;$A68,AW67)</f>
        <v>◐ 041 感染預防與控制制度
◐ 043 事件通報與根因改善</v>
      </c>
      <c r="AX68" s="0" t="str">
        <f aca="false">IF(AND($B68="D07",$C68="G4"),AX67&amp;IF(AX67="","",CHAR(10))&amp;$A68,AX67)</f>
        <v>◐ 042 用藥安全閉環</v>
      </c>
      <c r="AY68" s="0" t="str">
        <f aca="false">IF(AND($B68="D07",$C68="G5"),AY67&amp;IF(AY67="","",CHAR(10))&amp;$A68,AY67)</f>
        <v>◐ 044 開院臨床安全驗證</v>
      </c>
      <c r="AZ68" s="0" t="str">
        <f aca="false">IF(AND($B68="D07",$C68="G6"),AZ67&amp;IF(AZ67="","",CHAR(10))&amp;$A68,AZ67)</f>
        <v/>
      </c>
      <c r="BA68" s="0" t="str">
        <f aca="false">IF(AND($B68="D08",$C68="G0"),BA67&amp;IF(BA67="","",CHAR(10))&amp;$A68,BA67)</f>
        <v/>
      </c>
      <c r="BB68" s="0" t="str">
        <f aca="false">IF(AND($B68="D08",$C68="G1"),BB67&amp;IF(BB67="","",CHAR(10))&amp;$A68,BB67)</f>
        <v/>
      </c>
      <c r="BC68" s="0" t="str">
        <f aca="false">IF(AND($B68="D08",$C68="G2"),BC67&amp;IF(BC67="","",CHAR(10))&amp;$A68,BC67)</f>
        <v>○ 045 人力與輪班模型</v>
      </c>
      <c r="BD68" s="0" t="str">
        <f aca="false">IF(AND($B68="D08",$C68="G3"),BD67&amp;IF(BD67="","",CHAR(10))&amp;$A68,BD67)</f>
        <v>◐ 046 職能矩陣與授權</v>
      </c>
      <c r="BE68" s="363" t="str">
        <f aca="false">IF(AND($B68="D08",$C68="G4"),BE67&amp;IF(BE67="","",CHAR(10))&amp;$A68,BE67)</f>
        <v>◐ 047 種子教師與技術移轉
◐ 049 變革管理與使用者採納</v>
      </c>
      <c r="BF68" s="0" t="str">
        <f aca="false">IF(AND($B68="D08",$C68="G5"),BF67&amp;IF(BF67="","",CHAR(10))&amp;$A68,BF67)</f>
        <v>◐ 048 模擬中心與開院演練</v>
      </c>
      <c r="BG68" s="0" t="str">
        <f aca="false">IF(AND($B68="D08",$C68="G6"),BG67&amp;IF(BG67="","",CHAR(10))&amp;$A68,BG67)</f>
        <v/>
      </c>
      <c r="BH68" s="0" t="str">
        <f aca="false">IF(AND($B68="D09",$C68="G0"),BH67&amp;IF(BH67="","",CHAR(10))&amp;$A68,BH67)</f>
        <v/>
      </c>
      <c r="BI68" s="0" t="str">
        <f aca="false">IF(AND($B68="D09",$C68="G1"),BI67&amp;IF(BI67="","",CHAR(10))&amp;$A68,BI67)</f>
        <v/>
      </c>
      <c r="BJ68" s="0" t="str">
        <f aca="false">IF(AND($B68="D09",$C68="G2"),BJ67&amp;IF(BJ67="","",CHAR(10))&amp;$A68,BJ67)</f>
        <v>◐ 050 整合採購與供應商治理</v>
      </c>
      <c r="BK68" s="0" t="str">
        <f aca="false">IF(AND($B68="D09",$C68="G3"),BK67&amp;IF(BK67="","",CHAR(10))&amp;$A68,BK67)</f>
        <v/>
      </c>
      <c r="BL68" s="363" t="str">
        <f aca="false">IF(AND($B68="D09",$C68="G4"),BL67&amp;IF(BL67="","",CHAR(10))&amp;$A68,BL67)</f>
        <v>◐ 051 藥品耗材與SPD物流
◐ 052 冷鏈與特殊物料
● 053 CMMS與設施維運</v>
      </c>
      <c r="BM68" s="0" t="str">
        <f aca="false">IF(AND($B68="D09",$C68="G5"),BM67&amp;IF(BM67="","",CHAR(10))&amp;$A68,BM67)</f>
        <v>◐ 054 在地備品、維修與汰換</v>
      </c>
      <c r="BN68" s="0" t="str">
        <f aca="false">IF(AND($B68="D09",$C68="G6"),BN67&amp;IF(BN67="","",CHAR(10))&amp;$A68,BN67)</f>
        <v/>
      </c>
      <c r="BO68" s="0" t="str">
        <f aca="false">IF(AND($B68="D10",$C68="G0"),BO67&amp;IF(BO67="","",CHAR(10))&amp;$A68,BO67)</f>
        <v/>
      </c>
      <c r="BP68" s="0" t="str">
        <f aca="false">IF(AND($B68="D10",$C68="G1"),BP67&amp;IF(BP67="","",CHAR(10))&amp;$A68,BP67)</f>
        <v>◐ 055 全生命週期成本模型</v>
      </c>
      <c r="BQ68" s="0" t="str">
        <f aca="false">IF(AND($B68="D10",$C68="G2"),BQ67&amp;IF(BQ67="","",CHAR(10))&amp;$A68,BQ67)</f>
        <v>◐ 059 PPP／JV財務與風險分配</v>
      </c>
      <c r="BR68" s="0" t="str">
        <f aca="false">IF(AND($B68="D10",$C68="G3"),BR67&amp;IF(BR67="","",CHAR(10))&amp;$A68,BR67)</f>
        <v/>
      </c>
      <c r="BS68" s="363" t="str">
        <f aca="false">IF(AND($B68="D10",$C68="G4"),BS67&amp;IF(BS67="","",CHAR(10))&amp;$A68,BS67)</f>
        <v>○ 056 健保申報與數位理賠
○ 057 現金流、支付與收入週期</v>
      </c>
      <c r="BT68" s="0" t="str">
        <f aca="false">IF(AND($B68="D10",$C68="G5"),BT67&amp;IF(BT67="","",CHAR(10))&amp;$A68,BT67)</f>
        <v>○ 058 國際醫療與高價值服務</v>
      </c>
      <c r="BU68" s="0" t="str">
        <f aca="false">IF(AND($B68="D10",$C68="G6"),BU67&amp;IF(BU67="","",CHAR(10))&amp;$A68,BU67)</f>
        <v>◐ 060 效益實現與複製藍圖</v>
      </c>
      <c r="BX68" s="0" t="str">
        <f aca="false">IF(AND(03_能力總表_Master!$A68&lt;&gt;"",LEFT(03_能力總表_Master!$H68,2)="缺口"),MAX($BX$4:BX67)+1,"")</f>
        <v/>
      </c>
      <c r="BY68" s="0" t="str">
        <f aca="false">IF(AND(03_能力總表_Master!$A68&lt;&gt;"",03_能力總表_Master!$J68=12_夥伴視角_PartnerView!$C$4),MAX($BY$4:BY67)+1,"")</f>
        <v/>
      </c>
      <c r="CC68" s="0" t="str">
        <f aca="false">IF(AND(03_能力總表_Master!$A68&lt;&gt;"",IFERROR(INDEX(16_能力商機矩陣_CapOppMap!$D68:$CO68,MATCH(LEFT(17_商機作戰卡_OppView!$C$4,6),16_能力商機矩陣_CapOppMap!$D$4:$CO$4,0)),"")="✓"),MAX($CC$4:CC67)+1,"")</f>
        <v/>
      </c>
    </row>
    <row r="69" customFormat="false" ht="95.5" hidden="false" customHeight="false" outlineLevel="0" collapsed="false">
      <c r="A69" s="0" t="str">
        <f aca="false">IF(03_能力總表_Master!$A69="","",IF(LEFT(03_能力總表_Master!$H69,2)="群晶","● ",IF(ISNUMBER(SEARCH("已確認",03_能力總表_Master!$H69)),"◆ ",IF(ISNUMBER(SEARCH("缺口",03_能力總表_Master!$H69)),"○ ","◐ ")))&amp;RIGHT(03_能力總表_Master!$A69,3)&amp;" "&amp;03_能力總表_Master!$E69)</f>
        <v/>
      </c>
      <c r="B69" s="0" t="str">
        <f aca="false">IF(03_能力總表_Master!$A69="","",LEFT(03_能力總表_Master!$B69,3))</f>
        <v/>
      </c>
      <c r="C69" s="0" t="str">
        <f aca="false">IF(03_能力總表_Master!$A69="","",03_能力總表_Master!$C69)</f>
        <v/>
      </c>
      <c r="D69" s="363" t="str">
        <f aca="false">IF(AND($B69="D01",$C69="G0"),D68&amp;IF(D68="","",CHAR(10))&amp;$A69,D68)</f>
        <v>◐ 001 政府授權與計畫章程
◐ 002 利害關係人與權力地圖
◐ 005 聯盟治理與利益衝突</v>
      </c>
      <c r="E69" s="363" t="str">
        <f aca="false">IF(AND($B69="D01",$C69="G1"),E68&amp;IF(E68="","",CHAR(10))&amp;$A69,E68)</f>
        <v>◐ 003 交易模式選擇
◐ 004 法規與執照路徑</v>
      </c>
      <c r="F69" s="0" t="str">
        <f aca="false">IF(AND($B69="D01",$C69="G2"),F68&amp;IF(F68="","",CHAR(10))&amp;$A69,F68)</f>
        <v>◐ 006 績效契約與變更控制</v>
      </c>
      <c r="G69" s="0" t="str">
        <f aca="false">IF(AND($B69="D01",$C69="G3"),G68&amp;IF(G68="","",CHAR(10))&amp;$A69,G68)</f>
        <v/>
      </c>
      <c r="H69" s="0" t="str">
        <f aca="false">IF(AND($B69="D01",$C69="G4"),H68&amp;IF(H68="","",CHAR(10))&amp;$A69,H68)</f>
        <v/>
      </c>
      <c r="I69" s="0" t="str">
        <f aca="false">IF(AND($B69="D01",$C69="G5"),I68&amp;IF(I68="","",CHAR(10))&amp;$A69,I68)</f>
        <v/>
      </c>
      <c r="J69" s="0" t="str">
        <f aca="false">IF(AND($B69="D01",$C69="G6"),J68&amp;IF(J68="","",CHAR(10))&amp;$A69,J68)</f>
        <v/>
      </c>
      <c r="K69" s="0" t="str">
        <f aca="false">IF(AND($B69="D02",$C69="G0"),K68&amp;IF(K68="","",CHAR(10))&amp;$A69,K68)</f>
        <v/>
      </c>
      <c r="L69" s="363" t="str">
        <f aca="false">IF(AND($B69="D02",$C69="G1"),L68&amp;IF(L68="","",CHAR(10))&amp;$A69,L68)</f>
        <v>◐ 007 人口需求與病例量預測
◐ 008 醫院定位與服務組合
◐ 009 重點專科優先化
◐ 010 病人流程與容量設計
◐ 011 轉診與區域照護網絡
◐ 012 臨床治理與責任架構</v>
      </c>
      <c r="M69" s="0" t="str">
        <f aca="false">IF(AND($B69="D02",$C69="G2"),M68&amp;IF(M68="","",CHAR(10))&amp;$A69,M68)</f>
        <v/>
      </c>
      <c r="N69" s="0" t="str">
        <f aca="false">IF(AND($B69="D02",$C69="G3"),N68&amp;IF(N68="","",CHAR(10))&amp;$A69,N68)</f>
        <v/>
      </c>
      <c r="O69" s="0" t="str">
        <f aca="false">IF(AND($B69="D02",$C69="G4"),O68&amp;IF(O68="","",CHAR(10))&amp;$A69,O68)</f>
        <v/>
      </c>
      <c r="P69" s="0" t="str">
        <f aca="false">IF(AND($B69="D02",$C69="G5"),P68&amp;IF(P68="","",CHAR(10))&amp;$A69,P68)</f>
        <v/>
      </c>
      <c r="Q69" s="0" t="str">
        <f aca="false">IF(AND($B69="D02",$C69="G6"),Q68&amp;IF(Q68="","",CHAR(10))&amp;$A69,Q68)</f>
        <v/>
      </c>
      <c r="R69" s="0" t="str">
        <f aca="false">IF(AND($B69="D03",$C69="G0"),R68&amp;IF(R68="","",CHAR(10))&amp;$A69,R68)</f>
        <v/>
      </c>
      <c r="S69" s="0" t="str">
        <f aca="false">IF(AND($B69="D03",$C69="G1"),S68&amp;IF(S68="","",CHAR(10))&amp;$A69,S68)</f>
        <v>◐ 013 場址與醫院總體規劃</v>
      </c>
      <c r="T69" s="363" t="str">
        <f aca="false">IF(AND($B69="D03",$C69="G2"),T68&amp;IF(T68="","",CHAR(10))&amp;$A69,T68)</f>
        <v>◐ 014 醫療建築功能計畫
◐ 015 感染控制與潔污動線
◐ 019 綠色與氣候韌性醫院</v>
      </c>
      <c r="U69" s="363" t="str">
        <f aca="false">IF(AND($B69="D03",$C69="G3"),U68&amp;IF(U68="","",CHAR(10))&amp;$A69,U68)</f>
        <v>● 016 電力、備援與微電網
◐ 017 醫療氣體與關鍵公用系統
◐ 018 醫療廢棄物與水資源</v>
      </c>
      <c r="V69" s="0" t="str">
        <f aca="false">IF(AND($B69="D03",$C69="G4"),V68&amp;IF(V68="","",CHAR(10))&amp;$A69,V68)</f>
        <v/>
      </c>
      <c r="W69" s="0" t="str">
        <f aca="false">IF(AND($B69="D03",$C69="G5"),W68&amp;IF(W68="","",CHAR(10))&amp;$A69,W68)</f>
        <v/>
      </c>
      <c r="X69" s="0" t="str">
        <f aca="false">IF(AND($B69="D03",$C69="G6"),X68&amp;IF(X68="","",CHAR(10))&amp;$A69,X68)</f>
        <v/>
      </c>
      <c r="Y69" s="0" t="str">
        <f aca="false">IF(AND($B69="D04",$C69="G0"),Y68&amp;IF(Y68="","",CHAR(10))&amp;$A69,Y68)</f>
        <v/>
      </c>
      <c r="Z69" s="0" t="str">
        <f aca="false">IF(AND($B69="D04",$C69="G1"),Z68&amp;IF(Z68="","",CHAR(10))&amp;$A69,Z68)</f>
        <v/>
      </c>
      <c r="AA69" s="0" t="str">
        <f aca="false">IF(AND($B69="D04",$C69="G2"),AA68&amp;IF(AA68="","",CHAR(10))&amp;$A69,AA68)</f>
        <v/>
      </c>
      <c r="AB69" s="0" t="str">
        <f aca="false">IF(AND($B69="D04",$C69="G3"),AB68&amp;IF(AB68="","",CHAR(10))&amp;$A69,AB68)</f>
        <v>● 020 IDC與邊緣運算底座</v>
      </c>
      <c r="AC69" s="363" t="str">
        <f aca="false">IF(AND($B69="D04",$C69="G4"),AC68&amp;IF(AC68="","",CHAR(10))&amp;$A69,AC68)</f>
        <v>● 021 有線無線網路與分區
◐ 022 資安營運與零信任
● 023 BMS與能源管理
● 024 RTLS與資產／人員定位
● 025 智慧病房、護理呼叫與感測
● 026 災難復原與營運持續</v>
      </c>
      <c r="AD69" s="0" t="str">
        <f aca="false">IF(AND($B69="D04",$C69="G5"),AD68&amp;IF(AD68="","",CHAR(10))&amp;$A69,AD68)</f>
        <v/>
      </c>
      <c r="AE69" s="0" t="str">
        <f aca="false">IF(AND($B69="D04",$C69="G6"),AE68&amp;IF(AE68="","",CHAR(10))&amp;$A69,AE68)</f>
        <v/>
      </c>
      <c r="AF69" s="0" t="str">
        <f aca="false">IF(AND($B69="D05",$C69="G0"),AF68&amp;IF(AF68="","",CHAR(10))&amp;$A69,AF68)</f>
        <v/>
      </c>
      <c r="AG69" s="0" t="str">
        <f aca="false">IF(AND($B69="D05",$C69="G1"),AG68&amp;IF(AG68="","",CHAR(10))&amp;$A69,AG68)</f>
        <v/>
      </c>
      <c r="AH69" s="0" t="str">
        <f aca="false">IF(AND($B69="D05",$C69="G2"),AH68&amp;IF(AH68="","",CHAR(10))&amp;$A69,AH68)</f>
        <v>◐ 027 醫材需求與設備計畫</v>
      </c>
      <c r="AI69" s="0" t="str">
        <f aca="false">IF(AND($B69="D05",$C69="G3"),AI68&amp;IF(AI68="","",CHAR(10))&amp;$A69,AI68)</f>
        <v/>
      </c>
      <c r="AJ69" s="363" t="str">
        <f aca="false">IF(AND($B69="D05",$C69="G4"),AJ68&amp;IF(AJ68="","",CHAR(10))&amp;$A69,AJ68)</f>
        <v>○ 028 影像設備、PACS與報告流程
○ 029 實驗室自動化與LIS
○ 030 手術室與重症整合
◐ 031 醫材介接與裝置身分
◐ 032 醫療工程與設備生命週期</v>
      </c>
      <c r="AK69" s="0" t="str">
        <f aca="false">IF(AND($B69="D05",$C69="G5"),AK68&amp;IF(AK68="","",CHAR(10))&amp;$A69,AK68)</f>
        <v/>
      </c>
      <c r="AL69" s="0" t="str">
        <f aca="false">IF(AND($B69="D05",$C69="G6"),AL68&amp;IF(AL68="","",CHAR(10))&amp;$A69,AL68)</f>
        <v/>
      </c>
      <c r="AM69" s="0" t="str">
        <f aca="false">IF(AND($B69="D06",$C69="G0"),AM68&amp;IF(AM68="","",CHAR(10))&amp;$A69,AM68)</f>
        <v/>
      </c>
      <c r="AN69" s="0" t="str">
        <f aca="false">IF(AND($B69="D06",$C69="G1"),AN68&amp;IF(AN68="","",CHAR(10))&amp;$A69,AN68)</f>
        <v/>
      </c>
      <c r="AO69" s="0" t="str">
        <f aca="false">IF(AND($B69="D06",$C69="G2"),AO68&amp;IF(AO68="","",CHAR(10))&amp;$A69,AO68)</f>
        <v/>
      </c>
      <c r="AP69" s="363" t="str">
        <f aca="false">IF(AND($B69="D06",$C69="G3"),AP68&amp;IF(AP68="","",CHAR(10))&amp;$A69,AP68)</f>
        <v>◐ 033 HIS／EMR核心平台
◐ 036 臨床術語與主資料治理</v>
      </c>
      <c r="AQ69" s="363" t="str">
        <f aca="false">IF(AND($B69="D06",$C69="G4"),AQ68&amp;IF(AQ68="","",CHAR(10))&amp;$A69,AQ68)</f>
        <v>◐ 034 FHIR介接與API管理
○ 035 主病人索引與身分整合
◐ 037 電子醫囑、用藥與決策支援
◐ 038 資料平台、BI與營運指揮</v>
      </c>
      <c r="AR69" s="0" t="str">
        <f aca="false">IF(AND($B69="D06",$C69="G5"),AR68&amp;IF(AR68="","",CHAR(10))&amp;$A69,AR68)</f>
        <v>○ 039 病人入口、行動服務與VNeID準備</v>
      </c>
      <c r="AS69" s="0" t="str">
        <f aca="false">IF(AND($B69="D06",$C69="G6"),AS68&amp;IF(AS68="","",CHAR(10))&amp;$A69,AS68)</f>
        <v/>
      </c>
      <c r="AT69" s="0" t="str">
        <f aca="false">IF(AND($B69="D07",$C69="G0"),AT68&amp;IF(AT68="","",CHAR(10))&amp;$A69,AT68)</f>
        <v/>
      </c>
      <c r="AU69" s="0" t="str">
        <f aca="false">IF(AND($B69="D07",$C69="G1"),AU68&amp;IF(AU68="","",CHAR(10))&amp;$A69,AU68)</f>
        <v/>
      </c>
      <c r="AV69" s="0" t="str">
        <f aca="false">IF(AND($B69="D07",$C69="G2"),AV68&amp;IF(AV68="","",CHAR(10))&amp;$A69,AV68)</f>
        <v>◐ 040 品質管理與JCI路線圖</v>
      </c>
      <c r="AW69" s="363" t="str">
        <f aca="false">IF(AND($B69="D07",$C69="G3"),AW68&amp;IF(AW68="","",CHAR(10))&amp;$A69,AW68)</f>
        <v>◐ 041 感染預防與控制制度
◐ 043 事件通報與根因改善</v>
      </c>
      <c r="AX69" s="0" t="str">
        <f aca="false">IF(AND($B69="D07",$C69="G4"),AX68&amp;IF(AX68="","",CHAR(10))&amp;$A69,AX68)</f>
        <v>◐ 042 用藥安全閉環</v>
      </c>
      <c r="AY69" s="0" t="str">
        <f aca="false">IF(AND($B69="D07",$C69="G5"),AY68&amp;IF(AY68="","",CHAR(10))&amp;$A69,AY68)</f>
        <v>◐ 044 開院臨床安全驗證</v>
      </c>
      <c r="AZ69" s="0" t="str">
        <f aca="false">IF(AND($B69="D07",$C69="G6"),AZ68&amp;IF(AZ68="","",CHAR(10))&amp;$A69,AZ68)</f>
        <v/>
      </c>
      <c r="BA69" s="0" t="str">
        <f aca="false">IF(AND($B69="D08",$C69="G0"),BA68&amp;IF(BA68="","",CHAR(10))&amp;$A69,BA68)</f>
        <v/>
      </c>
      <c r="BB69" s="0" t="str">
        <f aca="false">IF(AND($B69="D08",$C69="G1"),BB68&amp;IF(BB68="","",CHAR(10))&amp;$A69,BB68)</f>
        <v/>
      </c>
      <c r="BC69" s="0" t="str">
        <f aca="false">IF(AND($B69="D08",$C69="G2"),BC68&amp;IF(BC68="","",CHAR(10))&amp;$A69,BC68)</f>
        <v>○ 045 人力與輪班模型</v>
      </c>
      <c r="BD69" s="0" t="str">
        <f aca="false">IF(AND($B69="D08",$C69="G3"),BD68&amp;IF(BD68="","",CHAR(10))&amp;$A69,BD68)</f>
        <v>◐ 046 職能矩陣與授權</v>
      </c>
      <c r="BE69" s="363" t="str">
        <f aca="false">IF(AND($B69="D08",$C69="G4"),BE68&amp;IF(BE68="","",CHAR(10))&amp;$A69,BE68)</f>
        <v>◐ 047 種子教師與技術移轉
◐ 049 變革管理與使用者採納</v>
      </c>
      <c r="BF69" s="0" t="str">
        <f aca="false">IF(AND($B69="D08",$C69="G5"),BF68&amp;IF(BF68="","",CHAR(10))&amp;$A69,BF68)</f>
        <v>◐ 048 模擬中心與開院演練</v>
      </c>
      <c r="BG69" s="0" t="str">
        <f aca="false">IF(AND($B69="D08",$C69="G6"),BG68&amp;IF(BG68="","",CHAR(10))&amp;$A69,BG68)</f>
        <v/>
      </c>
      <c r="BH69" s="0" t="str">
        <f aca="false">IF(AND($B69="D09",$C69="G0"),BH68&amp;IF(BH68="","",CHAR(10))&amp;$A69,BH68)</f>
        <v/>
      </c>
      <c r="BI69" s="0" t="str">
        <f aca="false">IF(AND($B69="D09",$C69="G1"),BI68&amp;IF(BI68="","",CHAR(10))&amp;$A69,BI68)</f>
        <v/>
      </c>
      <c r="BJ69" s="0" t="str">
        <f aca="false">IF(AND($B69="D09",$C69="G2"),BJ68&amp;IF(BJ68="","",CHAR(10))&amp;$A69,BJ68)</f>
        <v>◐ 050 整合採購與供應商治理</v>
      </c>
      <c r="BK69" s="0" t="str">
        <f aca="false">IF(AND($B69="D09",$C69="G3"),BK68&amp;IF(BK68="","",CHAR(10))&amp;$A69,BK68)</f>
        <v/>
      </c>
      <c r="BL69" s="363" t="str">
        <f aca="false">IF(AND($B69="D09",$C69="G4"),BL68&amp;IF(BL68="","",CHAR(10))&amp;$A69,BL68)</f>
        <v>◐ 051 藥品耗材與SPD物流
◐ 052 冷鏈與特殊物料
● 053 CMMS與設施維運</v>
      </c>
      <c r="BM69" s="0" t="str">
        <f aca="false">IF(AND($B69="D09",$C69="G5"),BM68&amp;IF(BM68="","",CHAR(10))&amp;$A69,BM68)</f>
        <v>◐ 054 在地備品、維修與汰換</v>
      </c>
      <c r="BN69" s="0" t="str">
        <f aca="false">IF(AND($B69="D09",$C69="G6"),BN68&amp;IF(BN68="","",CHAR(10))&amp;$A69,BN68)</f>
        <v/>
      </c>
      <c r="BO69" s="0" t="str">
        <f aca="false">IF(AND($B69="D10",$C69="G0"),BO68&amp;IF(BO68="","",CHAR(10))&amp;$A69,BO68)</f>
        <v/>
      </c>
      <c r="BP69" s="0" t="str">
        <f aca="false">IF(AND($B69="D10",$C69="G1"),BP68&amp;IF(BP68="","",CHAR(10))&amp;$A69,BP68)</f>
        <v>◐ 055 全生命週期成本模型</v>
      </c>
      <c r="BQ69" s="0" t="str">
        <f aca="false">IF(AND($B69="D10",$C69="G2"),BQ68&amp;IF(BQ68="","",CHAR(10))&amp;$A69,BQ68)</f>
        <v>◐ 059 PPP／JV財務與風險分配</v>
      </c>
      <c r="BR69" s="0" t="str">
        <f aca="false">IF(AND($B69="D10",$C69="G3"),BR68&amp;IF(BR68="","",CHAR(10))&amp;$A69,BR68)</f>
        <v/>
      </c>
      <c r="BS69" s="363" t="str">
        <f aca="false">IF(AND($B69="D10",$C69="G4"),BS68&amp;IF(BS68="","",CHAR(10))&amp;$A69,BS68)</f>
        <v>○ 056 健保申報與數位理賠
○ 057 現金流、支付與收入週期</v>
      </c>
      <c r="BT69" s="0" t="str">
        <f aca="false">IF(AND($B69="D10",$C69="G5"),BT68&amp;IF(BT68="","",CHAR(10))&amp;$A69,BT68)</f>
        <v>○ 058 國際醫療與高價值服務</v>
      </c>
      <c r="BU69" s="0" t="str">
        <f aca="false">IF(AND($B69="D10",$C69="G6"),BU68&amp;IF(BU68="","",CHAR(10))&amp;$A69,BU68)</f>
        <v>◐ 060 效益實現與複製藍圖</v>
      </c>
      <c r="BX69" s="0" t="str">
        <f aca="false">IF(AND(03_能力總表_Master!$A69&lt;&gt;"",LEFT(03_能力總表_Master!$H69,2)="缺口"),MAX($BX$4:BX68)+1,"")</f>
        <v/>
      </c>
      <c r="BY69" s="0" t="str">
        <f aca="false">IF(AND(03_能力總表_Master!$A69&lt;&gt;"",03_能力總表_Master!$J69=12_夥伴視角_PartnerView!$C$4),MAX($BY$4:BY68)+1,"")</f>
        <v/>
      </c>
      <c r="CC69" s="0" t="str">
        <f aca="false">IF(AND(03_能力總表_Master!$A69&lt;&gt;"",IFERROR(INDEX(16_能力商機矩陣_CapOppMap!$D69:$CO69,MATCH(LEFT(17_商機作戰卡_OppView!$C$4,6),16_能力商機矩陣_CapOppMap!$D$4:$CO$4,0)),"")="✓"),MAX($CC$4:CC68)+1,"")</f>
        <v/>
      </c>
    </row>
    <row r="70" customFormat="false" ht="95.5" hidden="false" customHeight="false" outlineLevel="0" collapsed="false">
      <c r="A70" s="0" t="str">
        <f aca="false">IF(03_能力總表_Master!$A70="","",IF(LEFT(03_能力總表_Master!$H70,2)="群晶","● ",IF(ISNUMBER(SEARCH("已確認",03_能力總表_Master!$H70)),"◆ ",IF(ISNUMBER(SEARCH("缺口",03_能力總表_Master!$H70)),"○ ","◐ ")))&amp;RIGHT(03_能力總表_Master!$A70,3)&amp;" "&amp;03_能力總表_Master!$E70)</f>
        <v/>
      </c>
      <c r="B70" s="0" t="str">
        <f aca="false">IF(03_能力總表_Master!$A70="","",LEFT(03_能力總表_Master!$B70,3))</f>
        <v/>
      </c>
      <c r="C70" s="0" t="str">
        <f aca="false">IF(03_能力總表_Master!$A70="","",03_能力總表_Master!$C70)</f>
        <v/>
      </c>
      <c r="D70" s="363" t="str">
        <f aca="false">IF(AND($B70="D01",$C70="G0"),D69&amp;IF(D69="","",CHAR(10))&amp;$A70,D69)</f>
        <v>◐ 001 政府授權與計畫章程
◐ 002 利害關係人與權力地圖
◐ 005 聯盟治理與利益衝突</v>
      </c>
      <c r="E70" s="363" t="str">
        <f aca="false">IF(AND($B70="D01",$C70="G1"),E69&amp;IF(E69="","",CHAR(10))&amp;$A70,E69)</f>
        <v>◐ 003 交易模式選擇
◐ 004 法規與執照路徑</v>
      </c>
      <c r="F70" s="0" t="str">
        <f aca="false">IF(AND($B70="D01",$C70="G2"),F69&amp;IF(F69="","",CHAR(10))&amp;$A70,F69)</f>
        <v>◐ 006 績效契約與變更控制</v>
      </c>
      <c r="G70" s="0" t="str">
        <f aca="false">IF(AND($B70="D01",$C70="G3"),G69&amp;IF(G69="","",CHAR(10))&amp;$A70,G69)</f>
        <v/>
      </c>
      <c r="H70" s="0" t="str">
        <f aca="false">IF(AND($B70="D01",$C70="G4"),H69&amp;IF(H69="","",CHAR(10))&amp;$A70,H69)</f>
        <v/>
      </c>
      <c r="I70" s="0" t="str">
        <f aca="false">IF(AND($B70="D01",$C70="G5"),I69&amp;IF(I69="","",CHAR(10))&amp;$A70,I69)</f>
        <v/>
      </c>
      <c r="J70" s="0" t="str">
        <f aca="false">IF(AND($B70="D01",$C70="G6"),J69&amp;IF(J69="","",CHAR(10))&amp;$A70,J69)</f>
        <v/>
      </c>
      <c r="K70" s="0" t="str">
        <f aca="false">IF(AND($B70="D02",$C70="G0"),K69&amp;IF(K69="","",CHAR(10))&amp;$A70,K69)</f>
        <v/>
      </c>
      <c r="L70" s="363" t="str">
        <f aca="false">IF(AND($B70="D02",$C70="G1"),L69&amp;IF(L69="","",CHAR(10))&amp;$A70,L69)</f>
        <v>◐ 007 人口需求與病例量預測
◐ 008 醫院定位與服務組合
◐ 009 重點專科優先化
◐ 010 病人流程與容量設計
◐ 011 轉診與區域照護網絡
◐ 012 臨床治理與責任架構</v>
      </c>
      <c r="M70" s="0" t="str">
        <f aca="false">IF(AND($B70="D02",$C70="G2"),M69&amp;IF(M69="","",CHAR(10))&amp;$A70,M69)</f>
        <v/>
      </c>
      <c r="N70" s="0" t="str">
        <f aca="false">IF(AND($B70="D02",$C70="G3"),N69&amp;IF(N69="","",CHAR(10))&amp;$A70,N69)</f>
        <v/>
      </c>
      <c r="O70" s="0" t="str">
        <f aca="false">IF(AND($B70="D02",$C70="G4"),O69&amp;IF(O69="","",CHAR(10))&amp;$A70,O69)</f>
        <v/>
      </c>
      <c r="P70" s="0" t="str">
        <f aca="false">IF(AND($B70="D02",$C70="G5"),P69&amp;IF(P69="","",CHAR(10))&amp;$A70,P69)</f>
        <v/>
      </c>
      <c r="Q70" s="0" t="str">
        <f aca="false">IF(AND($B70="D02",$C70="G6"),Q69&amp;IF(Q69="","",CHAR(10))&amp;$A70,Q69)</f>
        <v/>
      </c>
      <c r="R70" s="0" t="str">
        <f aca="false">IF(AND($B70="D03",$C70="G0"),R69&amp;IF(R69="","",CHAR(10))&amp;$A70,R69)</f>
        <v/>
      </c>
      <c r="S70" s="0" t="str">
        <f aca="false">IF(AND($B70="D03",$C70="G1"),S69&amp;IF(S69="","",CHAR(10))&amp;$A70,S69)</f>
        <v>◐ 013 場址與醫院總體規劃</v>
      </c>
      <c r="T70" s="363" t="str">
        <f aca="false">IF(AND($B70="D03",$C70="G2"),T69&amp;IF(T69="","",CHAR(10))&amp;$A70,T69)</f>
        <v>◐ 014 醫療建築功能計畫
◐ 015 感染控制與潔污動線
◐ 019 綠色與氣候韌性醫院</v>
      </c>
      <c r="U70" s="363" t="str">
        <f aca="false">IF(AND($B70="D03",$C70="G3"),U69&amp;IF(U69="","",CHAR(10))&amp;$A70,U69)</f>
        <v>● 016 電力、備援與微電網
◐ 017 醫療氣體與關鍵公用系統
◐ 018 醫療廢棄物與水資源</v>
      </c>
      <c r="V70" s="0" t="str">
        <f aca="false">IF(AND($B70="D03",$C70="G4"),V69&amp;IF(V69="","",CHAR(10))&amp;$A70,V69)</f>
        <v/>
      </c>
      <c r="W70" s="0" t="str">
        <f aca="false">IF(AND($B70="D03",$C70="G5"),W69&amp;IF(W69="","",CHAR(10))&amp;$A70,W69)</f>
        <v/>
      </c>
      <c r="X70" s="0" t="str">
        <f aca="false">IF(AND($B70="D03",$C70="G6"),X69&amp;IF(X69="","",CHAR(10))&amp;$A70,X69)</f>
        <v/>
      </c>
      <c r="Y70" s="0" t="str">
        <f aca="false">IF(AND($B70="D04",$C70="G0"),Y69&amp;IF(Y69="","",CHAR(10))&amp;$A70,Y69)</f>
        <v/>
      </c>
      <c r="Z70" s="0" t="str">
        <f aca="false">IF(AND($B70="D04",$C70="G1"),Z69&amp;IF(Z69="","",CHAR(10))&amp;$A70,Z69)</f>
        <v/>
      </c>
      <c r="AA70" s="0" t="str">
        <f aca="false">IF(AND($B70="D04",$C70="G2"),AA69&amp;IF(AA69="","",CHAR(10))&amp;$A70,AA69)</f>
        <v/>
      </c>
      <c r="AB70" s="0" t="str">
        <f aca="false">IF(AND($B70="D04",$C70="G3"),AB69&amp;IF(AB69="","",CHAR(10))&amp;$A70,AB69)</f>
        <v>● 020 IDC與邊緣運算底座</v>
      </c>
      <c r="AC70" s="363" t="str">
        <f aca="false">IF(AND($B70="D04",$C70="G4"),AC69&amp;IF(AC69="","",CHAR(10))&amp;$A70,AC69)</f>
        <v>● 021 有線無線網路與分區
◐ 022 資安營運與零信任
● 023 BMS與能源管理
● 024 RTLS與資產／人員定位
● 025 智慧病房、護理呼叫與感測
● 026 災難復原與營運持續</v>
      </c>
      <c r="AD70" s="0" t="str">
        <f aca="false">IF(AND($B70="D04",$C70="G5"),AD69&amp;IF(AD69="","",CHAR(10))&amp;$A70,AD69)</f>
        <v/>
      </c>
      <c r="AE70" s="0" t="str">
        <f aca="false">IF(AND($B70="D04",$C70="G6"),AE69&amp;IF(AE69="","",CHAR(10))&amp;$A70,AE69)</f>
        <v/>
      </c>
      <c r="AF70" s="0" t="str">
        <f aca="false">IF(AND($B70="D05",$C70="G0"),AF69&amp;IF(AF69="","",CHAR(10))&amp;$A70,AF69)</f>
        <v/>
      </c>
      <c r="AG70" s="0" t="str">
        <f aca="false">IF(AND($B70="D05",$C70="G1"),AG69&amp;IF(AG69="","",CHAR(10))&amp;$A70,AG69)</f>
        <v/>
      </c>
      <c r="AH70" s="0" t="str">
        <f aca="false">IF(AND($B70="D05",$C70="G2"),AH69&amp;IF(AH69="","",CHAR(10))&amp;$A70,AH69)</f>
        <v>◐ 027 醫材需求與設備計畫</v>
      </c>
      <c r="AI70" s="0" t="str">
        <f aca="false">IF(AND($B70="D05",$C70="G3"),AI69&amp;IF(AI69="","",CHAR(10))&amp;$A70,AI69)</f>
        <v/>
      </c>
      <c r="AJ70" s="363" t="str">
        <f aca="false">IF(AND($B70="D05",$C70="G4"),AJ69&amp;IF(AJ69="","",CHAR(10))&amp;$A70,AJ69)</f>
        <v>○ 028 影像設備、PACS與報告流程
○ 029 實驗室自動化與LIS
○ 030 手術室與重症整合
◐ 031 醫材介接與裝置身分
◐ 032 醫療工程與設備生命週期</v>
      </c>
      <c r="AK70" s="0" t="str">
        <f aca="false">IF(AND($B70="D05",$C70="G5"),AK69&amp;IF(AK69="","",CHAR(10))&amp;$A70,AK69)</f>
        <v/>
      </c>
      <c r="AL70" s="0" t="str">
        <f aca="false">IF(AND($B70="D05",$C70="G6"),AL69&amp;IF(AL69="","",CHAR(10))&amp;$A70,AL69)</f>
        <v/>
      </c>
      <c r="AM70" s="0" t="str">
        <f aca="false">IF(AND($B70="D06",$C70="G0"),AM69&amp;IF(AM69="","",CHAR(10))&amp;$A70,AM69)</f>
        <v/>
      </c>
      <c r="AN70" s="0" t="str">
        <f aca="false">IF(AND($B70="D06",$C70="G1"),AN69&amp;IF(AN69="","",CHAR(10))&amp;$A70,AN69)</f>
        <v/>
      </c>
      <c r="AO70" s="0" t="str">
        <f aca="false">IF(AND($B70="D06",$C70="G2"),AO69&amp;IF(AO69="","",CHAR(10))&amp;$A70,AO69)</f>
        <v/>
      </c>
      <c r="AP70" s="363" t="str">
        <f aca="false">IF(AND($B70="D06",$C70="G3"),AP69&amp;IF(AP69="","",CHAR(10))&amp;$A70,AP69)</f>
        <v>◐ 033 HIS／EMR核心平台
◐ 036 臨床術語與主資料治理</v>
      </c>
      <c r="AQ70" s="363" t="str">
        <f aca="false">IF(AND($B70="D06",$C70="G4"),AQ69&amp;IF(AQ69="","",CHAR(10))&amp;$A70,AQ69)</f>
        <v>◐ 034 FHIR介接與API管理
○ 035 主病人索引與身分整合
◐ 037 電子醫囑、用藥與決策支援
◐ 038 資料平台、BI與營運指揮</v>
      </c>
      <c r="AR70" s="0" t="str">
        <f aca="false">IF(AND($B70="D06",$C70="G5"),AR69&amp;IF(AR69="","",CHAR(10))&amp;$A70,AR69)</f>
        <v>○ 039 病人入口、行動服務與VNeID準備</v>
      </c>
      <c r="AS70" s="0" t="str">
        <f aca="false">IF(AND($B70="D06",$C70="G6"),AS69&amp;IF(AS69="","",CHAR(10))&amp;$A70,AS69)</f>
        <v/>
      </c>
      <c r="AT70" s="0" t="str">
        <f aca="false">IF(AND($B70="D07",$C70="G0"),AT69&amp;IF(AT69="","",CHAR(10))&amp;$A70,AT69)</f>
        <v/>
      </c>
      <c r="AU70" s="0" t="str">
        <f aca="false">IF(AND($B70="D07",$C70="G1"),AU69&amp;IF(AU69="","",CHAR(10))&amp;$A70,AU69)</f>
        <v/>
      </c>
      <c r="AV70" s="0" t="str">
        <f aca="false">IF(AND($B70="D07",$C70="G2"),AV69&amp;IF(AV69="","",CHAR(10))&amp;$A70,AV69)</f>
        <v>◐ 040 品質管理與JCI路線圖</v>
      </c>
      <c r="AW70" s="363" t="str">
        <f aca="false">IF(AND($B70="D07",$C70="G3"),AW69&amp;IF(AW69="","",CHAR(10))&amp;$A70,AW69)</f>
        <v>◐ 041 感染預防與控制制度
◐ 043 事件通報與根因改善</v>
      </c>
      <c r="AX70" s="0" t="str">
        <f aca="false">IF(AND($B70="D07",$C70="G4"),AX69&amp;IF(AX69="","",CHAR(10))&amp;$A70,AX69)</f>
        <v>◐ 042 用藥安全閉環</v>
      </c>
      <c r="AY70" s="0" t="str">
        <f aca="false">IF(AND($B70="D07",$C70="G5"),AY69&amp;IF(AY69="","",CHAR(10))&amp;$A70,AY69)</f>
        <v>◐ 044 開院臨床安全驗證</v>
      </c>
      <c r="AZ70" s="0" t="str">
        <f aca="false">IF(AND($B70="D07",$C70="G6"),AZ69&amp;IF(AZ69="","",CHAR(10))&amp;$A70,AZ69)</f>
        <v/>
      </c>
      <c r="BA70" s="0" t="str">
        <f aca="false">IF(AND($B70="D08",$C70="G0"),BA69&amp;IF(BA69="","",CHAR(10))&amp;$A70,BA69)</f>
        <v/>
      </c>
      <c r="BB70" s="0" t="str">
        <f aca="false">IF(AND($B70="D08",$C70="G1"),BB69&amp;IF(BB69="","",CHAR(10))&amp;$A70,BB69)</f>
        <v/>
      </c>
      <c r="BC70" s="0" t="str">
        <f aca="false">IF(AND($B70="D08",$C70="G2"),BC69&amp;IF(BC69="","",CHAR(10))&amp;$A70,BC69)</f>
        <v>○ 045 人力與輪班模型</v>
      </c>
      <c r="BD70" s="0" t="str">
        <f aca="false">IF(AND($B70="D08",$C70="G3"),BD69&amp;IF(BD69="","",CHAR(10))&amp;$A70,BD69)</f>
        <v>◐ 046 職能矩陣與授權</v>
      </c>
      <c r="BE70" s="363" t="str">
        <f aca="false">IF(AND($B70="D08",$C70="G4"),BE69&amp;IF(BE69="","",CHAR(10))&amp;$A70,BE69)</f>
        <v>◐ 047 種子教師與技術移轉
◐ 049 變革管理與使用者採納</v>
      </c>
      <c r="BF70" s="0" t="str">
        <f aca="false">IF(AND($B70="D08",$C70="G5"),BF69&amp;IF(BF69="","",CHAR(10))&amp;$A70,BF69)</f>
        <v>◐ 048 模擬中心與開院演練</v>
      </c>
      <c r="BG70" s="0" t="str">
        <f aca="false">IF(AND($B70="D08",$C70="G6"),BG69&amp;IF(BG69="","",CHAR(10))&amp;$A70,BG69)</f>
        <v/>
      </c>
      <c r="BH70" s="0" t="str">
        <f aca="false">IF(AND($B70="D09",$C70="G0"),BH69&amp;IF(BH69="","",CHAR(10))&amp;$A70,BH69)</f>
        <v/>
      </c>
      <c r="BI70" s="0" t="str">
        <f aca="false">IF(AND($B70="D09",$C70="G1"),BI69&amp;IF(BI69="","",CHAR(10))&amp;$A70,BI69)</f>
        <v/>
      </c>
      <c r="BJ70" s="0" t="str">
        <f aca="false">IF(AND($B70="D09",$C70="G2"),BJ69&amp;IF(BJ69="","",CHAR(10))&amp;$A70,BJ69)</f>
        <v>◐ 050 整合採購與供應商治理</v>
      </c>
      <c r="BK70" s="0" t="str">
        <f aca="false">IF(AND($B70="D09",$C70="G3"),BK69&amp;IF(BK69="","",CHAR(10))&amp;$A70,BK69)</f>
        <v/>
      </c>
      <c r="BL70" s="363" t="str">
        <f aca="false">IF(AND($B70="D09",$C70="G4"),BL69&amp;IF(BL69="","",CHAR(10))&amp;$A70,BL69)</f>
        <v>◐ 051 藥品耗材與SPD物流
◐ 052 冷鏈與特殊物料
● 053 CMMS與設施維運</v>
      </c>
      <c r="BM70" s="0" t="str">
        <f aca="false">IF(AND($B70="D09",$C70="G5"),BM69&amp;IF(BM69="","",CHAR(10))&amp;$A70,BM69)</f>
        <v>◐ 054 在地備品、維修與汰換</v>
      </c>
      <c r="BN70" s="0" t="str">
        <f aca="false">IF(AND($B70="D09",$C70="G6"),BN69&amp;IF(BN69="","",CHAR(10))&amp;$A70,BN69)</f>
        <v/>
      </c>
      <c r="BO70" s="0" t="str">
        <f aca="false">IF(AND($B70="D10",$C70="G0"),BO69&amp;IF(BO69="","",CHAR(10))&amp;$A70,BO69)</f>
        <v/>
      </c>
      <c r="BP70" s="0" t="str">
        <f aca="false">IF(AND($B70="D10",$C70="G1"),BP69&amp;IF(BP69="","",CHAR(10))&amp;$A70,BP69)</f>
        <v>◐ 055 全生命週期成本模型</v>
      </c>
      <c r="BQ70" s="0" t="str">
        <f aca="false">IF(AND($B70="D10",$C70="G2"),BQ69&amp;IF(BQ69="","",CHAR(10))&amp;$A70,BQ69)</f>
        <v>◐ 059 PPP／JV財務與風險分配</v>
      </c>
      <c r="BR70" s="0" t="str">
        <f aca="false">IF(AND($B70="D10",$C70="G3"),BR69&amp;IF(BR69="","",CHAR(10))&amp;$A70,BR69)</f>
        <v/>
      </c>
      <c r="BS70" s="363" t="str">
        <f aca="false">IF(AND($B70="D10",$C70="G4"),BS69&amp;IF(BS69="","",CHAR(10))&amp;$A70,BS69)</f>
        <v>○ 056 健保申報與數位理賠
○ 057 現金流、支付與收入週期</v>
      </c>
      <c r="BT70" s="0" t="str">
        <f aca="false">IF(AND($B70="D10",$C70="G5"),BT69&amp;IF(BT69="","",CHAR(10))&amp;$A70,BT69)</f>
        <v>○ 058 國際醫療與高價值服務</v>
      </c>
      <c r="BU70" s="0" t="str">
        <f aca="false">IF(AND($B70="D10",$C70="G6"),BU69&amp;IF(BU69="","",CHAR(10))&amp;$A70,BU69)</f>
        <v>◐ 060 效益實現與複製藍圖</v>
      </c>
      <c r="BX70" s="0" t="str">
        <f aca="false">IF(AND(03_能力總表_Master!$A70&lt;&gt;"",LEFT(03_能力總表_Master!$H70,2)="缺口"),MAX($BX$4:BX69)+1,"")</f>
        <v/>
      </c>
      <c r="BY70" s="0" t="str">
        <f aca="false">IF(AND(03_能力總表_Master!$A70&lt;&gt;"",03_能力總表_Master!$J70=12_夥伴視角_PartnerView!$C$4),MAX($BY$4:BY69)+1,"")</f>
        <v/>
      </c>
      <c r="CC70" s="0" t="str">
        <f aca="false">IF(AND(03_能力總表_Master!$A70&lt;&gt;"",IFERROR(INDEX(16_能力商機矩陣_CapOppMap!$D70:$CO70,MATCH(LEFT(17_商機作戰卡_OppView!$C$4,6),16_能力商機矩陣_CapOppMap!$D$4:$CO$4,0)),"")="✓"),MAX($CC$4:CC69)+1,"")</f>
        <v/>
      </c>
    </row>
    <row r="71" customFormat="false" ht="95.5" hidden="false" customHeight="false" outlineLevel="0" collapsed="false">
      <c r="A71" s="0" t="str">
        <f aca="false">IF(03_能力總表_Master!$A71="","",IF(LEFT(03_能力總表_Master!$H71,2)="群晶","● ",IF(ISNUMBER(SEARCH("已確認",03_能力總表_Master!$H71)),"◆ ",IF(ISNUMBER(SEARCH("缺口",03_能力總表_Master!$H71)),"○ ","◐ ")))&amp;RIGHT(03_能力總表_Master!$A71,3)&amp;" "&amp;03_能力總表_Master!$E71)</f>
        <v/>
      </c>
      <c r="B71" s="0" t="str">
        <f aca="false">IF(03_能力總表_Master!$A71="","",LEFT(03_能力總表_Master!$B71,3))</f>
        <v/>
      </c>
      <c r="C71" s="0" t="str">
        <f aca="false">IF(03_能力總表_Master!$A71="","",03_能力總表_Master!$C71)</f>
        <v/>
      </c>
      <c r="D71" s="363" t="str">
        <f aca="false">IF(AND($B71="D01",$C71="G0"),D70&amp;IF(D70="","",CHAR(10))&amp;$A71,D70)</f>
        <v>◐ 001 政府授權與計畫章程
◐ 002 利害關係人與權力地圖
◐ 005 聯盟治理與利益衝突</v>
      </c>
      <c r="E71" s="363" t="str">
        <f aca="false">IF(AND($B71="D01",$C71="G1"),E70&amp;IF(E70="","",CHAR(10))&amp;$A71,E70)</f>
        <v>◐ 003 交易模式選擇
◐ 004 法規與執照路徑</v>
      </c>
      <c r="F71" s="0" t="str">
        <f aca="false">IF(AND($B71="D01",$C71="G2"),F70&amp;IF(F70="","",CHAR(10))&amp;$A71,F70)</f>
        <v>◐ 006 績效契約與變更控制</v>
      </c>
      <c r="G71" s="0" t="str">
        <f aca="false">IF(AND($B71="D01",$C71="G3"),G70&amp;IF(G70="","",CHAR(10))&amp;$A71,G70)</f>
        <v/>
      </c>
      <c r="H71" s="0" t="str">
        <f aca="false">IF(AND($B71="D01",$C71="G4"),H70&amp;IF(H70="","",CHAR(10))&amp;$A71,H70)</f>
        <v/>
      </c>
      <c r="I71" s="0" t="str">
        <f aca="false">IF(AND($B71="D01",$C71="G5"),I70&amp;IF(I70="","",CHAR(10))&amp;$A71,I70)</f>
        <v/>
      </c>
      <c r="J71" s="0" t="str">
        <f aca="false">IF(AND($B71="D01",$C71="G6"),J70&amp;IF(J70="","",CHAR(10))&amp;$A71,J70)</f>
        <v/>
      </c>
      <c r="K71" s="0" t="str">
        <f aca="false">IF(AND($B71="D02",$C71="G0"),K70&amp;IF(K70="","",CHAR(10))&amp;$A71,K70)</f>
        <v/>
      </c>
      <c r="L71" s="363" t="str">
        <f aca="false">IF(AND($B71="D02",$C71="G1"),L70&amp;IF(L70="","",CHAR(10))&amp;$A71,L70)</f>
        <v>◐ 007 人口需求與病例量預測
◐ 008 醫院定位與服務組合
◐ 009 重點專科優先化
◐ 010 病人流程與容量設計
◐ 011 轉診與區域照護網絡
◐ 012 臨床治理與責任架構</v>
      </c>
      <c r="M71" s="0" t="str">
        <f aca="false">IF(AND($B71="D02",$C71="G2"),M70&amp;IF(M70="","",CHAR(10))&amp;$A71,M70)</f>
        <v/>
      </c>
      <c r="N71" s="0" t="str">
        <f aca="false">IF(AND($B71="D02",$C71="G3"),N70&amp;IF(N70="","",CHAR(10))&amp;$A71,N70)</f>
        <v/>
      </c>
      <c r="O71" s="0" t="str">
        <f aca="false">IF(AND($B71="D02",$C71="G4"),O70&amp;IF(O70="","",CHAR(10))&amp;$A71,O70)</f>
        <v/>
      </c>
      <c r="P71" s="0" t="str">
        <f aca="false">IF(AND($B71="D02",$C71="G5"),P70&amp;IF(P70="","",CHAR(10))&amp;$A71,P70)</f>
        <v/>
      </c>
      <c r="Q71" s="0" t="str">
        <f aca="false">IF(AND($B71="D02",$C71="G6"),Q70&amp;IF(Q70="","",CHAR(10))&amp;$A71,Q70)</f>
        <v/>
      </c>
      <c r="R71" s="0" t="str">
        <f aca="false">IF(AND($B71="D03",$C71="G0"),R70&amp;IF(R70="","",CHAR(10))&amp;$A71,R70)</f>
        <v/>
      </c>
      <c r="S71" s="0" t="str">
        <f aca="false">IF(AND($B71="D03",$C71="G1"),S70&amp;IF(S70="","",CHAR(10))&amp;$A71,S70)</f>
        <v>◐ 013 場址與醫院總體規劃</v>
      </c>
      <c r="T71" s="363" t="str">
        <f aca="false">IF(AND($B71="D03",$C71="G2"),T70&amp;IF(T70="","",CHAR(10))&amp;$A71,T70)</f>
        <v>◐ 014 醫療建築功能計畫
◐ 015 感染控制與潔污動線
◐ 019 綠色與氣候韌性醫院</v>
      </c>
      <c r="U71" s="363" t="str">
        <f aca="false">IF(AND($B71="D03",$C71="G3"),U70&amp;IF(U70="","",CHAR(10))&amp;$A71,U70)</f>
        <v>● 016 電力、備援與微電網
◐ 017 醫療氣體與關鍵公用系統
◐ 018 醫療廢棄物與水資源</v>
      </c>
      <c r="V71" s="0" t="str">
        <f aca="false">IF(AND($B71="D03",$C71="G4"),V70&amp;IF(V70="","",CHAR(10))&amp;$A71,V70)</f>
        <v/>
      </c>
      <c r="W71" s="0" t="str">
        <f aca="false">IF(AND($B71="D03",$C71="G5"),W70&amp;IF(W70="","",CHAR(10))&amp;$A71,W70)</f>
        <v/>
      </c>
      <c r="X71" s="0" t="str">
        <f aca="false">IF(AND($B71="D03",$C71="G6"),X70&amp;IF(X70="","",CHAR(10))&amp;$A71,X70)</f>
        <v/>
      </c>
      <c r="Y71" s="0" t="str">
        <f aca="false">IF(AND($B71="D04",$C71="G0"),Y70&amp;IF(Y70="","",CHAR(10))&amp;$A71,Y70)</f>
        <v/>
      </c>
      <c r="Z71" s="0" t="str">
        <f aca="false">IF(AND($B71="D04",$C71="G1"),Z70&amp;IF(Z70="","",CHAR(10))&amp;$A71,Z70)</f>
        <v/>
      </c>
      <c r="AA71" s="0" t="str">
        <f aca="false">IF(AND($B71="D04",$C71="G2"),AA70&amp;IF(AA70="","",CHAR(10))&amp;$A71,AA70)</f>
        <v/>
      </c>
      <c r="AB71" s="0" t="str">
        <f aca="false">IF(AND($B71="D04",$C71="G3"),AB70&amp;IF(AB70="","",CHAR(10))&amp;$A71,AB70)</f>
        <v>● 020 IDC與邊緣運算底座</v>
      </c>
      <c r="AC71" s="363" t="str">
        <f aca="false">IF(AND($B71="D04",$C71="G4"),AC70&amp;IF(AC70="","",CHAR(10))&amp;$A71,AC70)</f>
        <v>● 021 有線無線網路與分區
◐ 022 資安營運與零信任
● 023 BMS與能源管理
● 024 RTLS與資產／人員定位
● 025 智慧病房、護理呼叫與感測
● 026 災難復原與營運持續</v>
      </c>
      <c r="AD71" s="0" t="str">
        <f aca="false">IF(AND($B71="D04",$C71="G5"),AD70&amp;IF(AD70="","",CHAR(10))&amp;$A71,AD70)</f>
        <v/>
      </c>
      <c r="AE71" s="0" t="str">
        <f aca="false">IF(AND($B71="D04",$C71="G6"),AE70&amp;IF(AE70="","",CHAR(10))&amp;$A71,AE70)</f>
        <v/>
      </c>
      <c r="AF71" s="0" t="str">
        <f aca="false">IF(AND($B71="D05",$C71="G0"),AF70&amp;IF(AF70="","",CHAR(10))&amp;$A71,AF70)</f>
        <v/>
      </c>
      <c r="AG71" s="0" t="str">
        <f aca="false">IF(AND($B71="D05",$C71="G1"),AG70&amp;IF(AG70="","",CHAR(10))&amp;$A71,AG70)</f>
        <v/>
      </c>
      <c r="AH71" s="0" t="str">
        <f aca="false">IF(AND($B71="D05",$C71="G2"),AH70&amp;IF(AH70="","",CHAR(10))&amp;$A71,AH70)</f>
        <v>◐ 027 醫材需求與設備計畫</v>
      </c>
      <c r="AI71" s="0" t="str">
        <f aca="false">IF(AND($B71="D05",$C71="G3"),AI70&amp;IF(AI70="","",CHAR(10))&amp;$A71,AI70)</f>
        <v/>
      </c>
      <c r="AJ71" s="363" t="str">
        <f aca="false">IF(AND($B71="D05",$C71="G4"),AJ70&amp;IF(AJ70="","",CHAR(10))&amp;$A71,AJ70)</f>
        <v>○ 028 影像設備、PACS與報告流程
○ 029 實驗室自動化與LIS
○ 030 手術室與重症整合
◐ 031 醫材介接與裝置身分
◐ 032 醫療工程與設備生命週期</v>
      </c>
      <c r="AK71" s="0" t="str">
        <f aca="false">IF(AND($B71="D05",$C71="G5"),AK70&amp;IF(AK70="","",CHAR(10))&amp;$A71,AK70)</f>
        <v/>
      </c>
      <c r="AL71" s="0" t="str">
        <f aca="false">IF(AND($B71="D05",$C71="G6"),AL70&amp;IF(AL70="","",CHAR(10))&amp;$A71,AL70)</f>
        <v/>
      </c>
      <c r="AM71" s="0" t="str">
        <f aca="false">IF(AND($B71="D06",$C71="G0"),AM70&amp;IF(AM70="","",CHAR(10))&amp;$A71,AM70)</f>
        <v/>
      </c>
      <c r="AN71" s="0" t="str">
        <f aca="false">IF(AND($B71="D06",$C71="G1"),AN70&amp;IF(AN70="","",CHAR(10))&amp;$A71,AN70)</f>
        <v/>
      </c>
      <c r="AO71" s="0" t="str">
        <f aca="false">IF(AND($B71="D06",$C71="G2"),AO70&amp;IF(AO70="","",CHAR(10))&amp;$A71,AO70)</f>
        <v/>
      </c>
      <c r="AP71" s="363" t="str">
        <f aca="false">IF(AND($B71="D06",$C71="G3"),AP70&amp;IF(AP70="","",CHAR(10))&amp;$A71,AP70)</f>
        <v>◐ 033 HIS／EMR核心平台
◐ 036 臨床術語與主資料治理</v>
      </c>
      <c r="AQ71" s="363" t="str">
        <f aca="false">IF(AND($B71="D06",$C71="G4"),AQ70&amp;IF(AQ70="","",CHAR(10))&amp;$A71,AQ70)</f>
        <v>◐ 034 FHIR介接與API管理
○ 035 主病人索引與身分整合
◐ 037 電子醫囑、用藥與決策支援
◐ 038 資料平台、BI與營運指揮</v>
      </c>
      <c r="AR71" s="0" t="str">
        <f aca="false">IF(AND($B71="D06",$C71="G5"),AR70&amp;IF(AR70="","",CHAR(10))&amp;$A71,AR70)</f>
        <v>○ 039 病人入口、行動服務與VNeID準備</v>
      </c>
      <c r="AS71" s="0" t="str">
        <f aca="false">IF(AND($B71="D06",$C71="G6"),AS70&amp;IF(AS70="","",CHAR(10))&amp;$A71,AS70)</f>
        <v/>
      </c>
      <c r="AT71" s="0" t="str">
        <f aca="false">IF(AND($B71="D07",$C71="G0"),AT70&amp;IF(AT70="","",CHAR(10))&amp;$A71,AT70)</f>
        <v/>
      </c>
      <c r="AU71" s="0" t="str">
        <f aca="false">IF(AND($B71="D07",$C71="G1"),AU70&amp;IF(AU70="","",CHAR(10))&amp;$A71,AU70)</f>
        <v/>
      </c>
      <c r="AV71" s="0" t="str">
        <f aca="false">IF(AND($B71="D07",$C71="G2"),AV70&amp;IF(AV70="","",CHAR(10))&amp;$A71,AV70)</f>
        <v>◐ 040 品質管理與JCI路線圖</v>
      </c>
      <c r="AW71" s="363" t="str">
        <f aca="false">IF(AND($B71="D07",$C71="G3"),AW70&amp;IF(AW70="","",CHAR(10))&amp;$A71,AW70)</f>
        <v>◐ 041 感染預防與控制制度
◐ 043 事件通報與根因改善</v>
      </c>
      <c r="AX71" s="0" t="str">
        <f aca="false">IF(AND($B71="D07",$C71="G4"),AX70&amp;IF(AX70="","",CHAR(10))&amp;$A71,AX70)</f>
        <v>◐ 042 用藥安全閉環</v>
      </c>
      <c r="AY71" s="0" t="str">
        <f aca="false">IF(AND($B71="D07",$C71="G5"),AY70&amp;IF(AY70="","",CHAR(10))&amp;$A71,AY70)</f>
        <v>◐ 044 開院臨床安全驗證</v>
      </c>
      <c r="AZ71" s="0" t="str">
        <f aca="false">IF(AND($B71="D07",$C71="G6"),AZ70&amp;IF(AZ70="","",CHAR(10))&amp;$A71,AZ70)</f>
        <v/>
      </c>
      <c r="BA71" s="0" t="str">
        <f aca="false">IF(AND($B71="D08",$C71="G0"),BA70&amp;IF(BA70="","",CHAR(10))&amp;$A71,BA70)</f>
        <v/>
      </c>
      <c r="BB71" s="0" t="str">
        <f aca="false">IF(AND($B71="D08",$C71="G1"),BB70&amp;IF(BB70="","",CHAR(10))&amp;$A71,BB70)</f>
        <v/>
      </c>
      <c r="BC71" s="0" t="str">
        <f aca="false">IF(AND($B71="D08",$C71="G2"),BC70&amp;IF(BC70="","",CHAR(10))&amp;$A71,BC70)</f>
        <v>○ 045 人力與輪班模型</v>
      </c>
      <c r="BD71" s="0" t="str">
        <f aca="false">IF(AND($B71="D08",$C71="G3"),BD70&amp;IF(BD70="","",CHAR(10))&amp;$A71,BD70)</f>
        <v>◐ 046 職能矩陣與授權</v>
      </c>
      <c r="BE71" s="363" t="str">
        <f aca="false">IF(AND($B71="D08",$C71="G4"),BE70&amp;IF(BE70="","",CHAR(10))&amp;$A71,BE70)</f>
        <v>◐ 047 種子教師與技術移轉
◐ 049 變革管理與使用者採納</v>
      </c>
      <c r="BF71" s="0" t="str">
        <f aca="false">IF(AND($B71="D08",$C71="G5"),BF70&amp;IF(BF70="","",CHAR(10))&amp;$A71,BF70)</f>
        <v>◐ 048 模擬中心與開院演練</v>
      </c>
      <c r="BG71" s="0" t="str">
        <f aca="false">IF(AND($B71="D08",$C71="G6"),BG70&amp;IF(BG70="","",CHAR(10))&amp;$A71,BG70)</f>
        <v/>
      </c>
      <c r="BH71" s="0" t="str">
        <f aca="false">IF(AND($B71="D09",$C71="G0"),BH70&amp;IF(BH70="","",CHAR(10))&amp;$A71,BH70)</f>
        <v/>
      </c>
      <c r="BI71" s="0" t="str">
        <f aca="false">IF(AND($B71="D09",$C71="G1"),BI70&amp;IF(BI70="","",CHAR(10))&amp;$A71,BI70)</f>
        <v/>
      </c>
      <c r="BJ71" s="0" t="str">
        <f aca="false">IF(AND($B71="D09",$C71="G2"),BJ70&amp;IF(BJ70="","",CHAR(10))&amp;$A71,BJ70)</f>
        <v>◐ 050 整合採購與供應商治理</v>
      </c>
      <c r="BK71" s="0" t="str">
        <f aca="false">IF(AND($B71="D09",$C71="G3"),BK70&amp;IF(BK70="","",CHAR(10))&amp;$A71,BK70)</f>
        <v/>
      </c>
      <c r="BL71" s="363" t="str">
        <f aca="false">IF(AND($B71="D09",$C71="G4"),BL70&amp;IF(BL70="","",CHAR(10))&amp;$A71,BL70)</f>
        <v>◐ 051 藥品耗材與SPD物流
◐ 052 冷鏈與特殊物料
● 053 CMMS與設施維運</v>
      </c>
      <c r="BM71" s="0" t="str">
        <f aca="false">IF(AND($B71="D09",$C71="G5"),BM70&amp;IF(BM70="","",CHAR(10))&amp;$A71,BM70)</f>
        <v>◐ 054 在地備品、維修與汰換</v>
      </c>
      <c r="BN71" s="0" t="str">
        <f aca="false">IF(AND($B71="D09",$C71="G6"),BN70&amp;IF(BN70="","",CHAR(10))&amp;$A71,BN70)</f>
        <v/>
      </c>
      <c r="BO71" s="0" t="str">
        <f aca="false">IF(AND($B71="D10",$C71="G0"),BO70&amp;IF(BO70="","",CHAR(10))&amp;$A71,BO70)</f>
        <v/>
      </c>
      <c r="BP71" s="0" t="str">
        <f aca="false">IF(AND($B71="D10",$C71="G1"),BP70&amp;IF(BP70="","",CHAR(10))&amp;$A71,BP70)</f>
        <v>◐ 055 全生命週期成本模型</v>
      </c>
      <c r="BQ71" s="0" t="str">
        <f aca="false">IF(AND($B71="D10",$C71="G2"),BQ70&amp;IF(BQ70="","",CHAR(10))&amp;$A71,BQ70)</f>
        <v>◐ 059 PPP／JV財務與風險分配</v>
      </c>
      <c r="BR71" s="0" t="str">
        <f aca="false">IF(AND($B71="D10",$C71="G3"),BR70&amp;IF(BR70="","",CHAR(10))&amp;$A71,BR70)</f>
        <v/>
      </c>
      <c r="BS71" s="363" t="str">
        <f aca="false">IF(AND($B71="D10",$C71="G4"),BS70&amp;IF(BS70="","",CHAR(10))&amp;$A71,BS70)</f>
        <v>○ 056 健保申報與數位理賠
○ 057 現金流、支付與收入週期</v>
      </c>
      <c r="BT71" s="0" t="str">
        <f aca="false">IF(AND($B71="D10",$C71="G5"),BT70&amp;IF(BT70="","",CHAR(10))&amp;$A71,BT70)</f>
        <v>○ 058 國際醫療與高價值服務</v>
      </c>
      <c r="BU71" s="0" t="str">
        <f aca="false">IF(AND($B71="D10",$C71="G6"),BU70&amp;IF(BU70="","",CHAR(10))&amp;$A71,BU70)</f>
        <v>◐ 060 效益實現與複製藍圖</v>
      </c>
      <c r="BX71" s="0" t="str">
        <f aca="false">IF(AND(03_能力總表_Master!$A71&lt;&gt;"",LEFT(03_能力總表_Master!$H71,2)="缺口"),MAX($BX$4:BX70)+1,"")</f>
        <v/>
      </c>
      <c r="BY71" s="0" t="str">
        <f aca="false">IF(AND(03_能力總表_Master!$A71&lt;&gt;"",03_能力總表_Master!$J71=12_夥伴視角_PartnerView!$C$4),MAX($BY$4:BY70)+1,"")</f>
        <v/>
      </c>
      <c r="CC71" s="0" t="str">
        <f aca="false">IF(AND(03_能力總表_Master!$A71&lt;&gt;"",IFERROR(INDEX(16_能力商機矩陣_CapOppMap!$D71:$CO71,MATCH(LEFT(17_商機作戰卡_OppView!$C$4,6),16_能力商機矩陣_CapOppMap!$D$4:$CO$4,0)),"")="✓"),MAX($CC$4:CC70)+1,"")</f>
        <v/>
      </c>
    </row>
    <row r="72" customFormat="false" ht="95.5" hidden="false" customHeight="false" outlineLevel="0" collapsed="false">
      <c r="A72" s="0" t="str">
        <f aca="false">IF(03_能力總表_Master!$A72="","",IF(LEFT(03_能力總表_Master!$H72,2)="群晶","● ",IF(ISNUMBER(SEARCH("已確認",03_能力總表_Master!$H72)),"◆ ",IF(ISNUMBER(SEARCH("缺口",03_能力總表_Master!$H72)),"○ ","◐ ")))&amp;RIGHT(03_能力總表_Master!$A72,3)&amp;" "&amp;03_能力總表_Master!$E72)</f>
        <v/>
      </c>
      <c r="B72" s="0" t="str">
        <f aca="false">IF(03_能力總表_Master!$A72="","",LEFT(03_能力總表_Master!$B72,3))</f>
        <v/>
      </c>
      <c r="C72" s="0" t="str">
        <f aca="false">IF(03_能力總表_Master!$A72="","",03_能力總表_Master!$C72)</f>
        <v/>
      </c>
      <c r="D72" s="363" t="str">
        <f aca="false">IF(AND($B72="D01",$C72="G0"),D71&amp;IF(D71="","",CHAR(10))&amp;$A72,D71)</f>
        <v>◐ 001 政府授權與計畫章程
◐ 002 利害關係人與權力地圖
◐ 005 聯盟治理與利益衝突</v>
      </c>
      <c r="E72" s="363" t="str">
        <f aca="false">IF(AND($B72="D01",$C72="G1"),E71&amp;IF(E71="","",CHAR(10))&amp;$A72,E71)</f>
        <v>◐ 003 交易模式選擇
◐ 004 法規與執照路徑</v>
      </c>
      <c r="F72" s="0" t="str">
        <f aca="false">IF(AND($B72="D01",$C72="G2"),F71&amp;IF(F71="","",CHAR(10))&amp;$A72,F71)</f>
        <v>◐ 006 績效契約與變更控制</v>
      </c>
      <c r="G72" s="0" t="str">
        <f aca="false">IF(AND($B72="D01",$C72="G3"),G71&amp;IF(G71="","",CHAR(10))&amp;$A72,G71)</f>
        <v/>
      </c>
      <c r="H72" s="0" t="str">
        <f aca="false">IF(AND($B72="D01",$C72="G4"),H71&amp;IF(H71="","",CHAR(10))&amp;$A72,H71)</f>
        <v/>
      </c>
      <c r="I72" s="0" t="str">
        <f aca="false">IF(AND($B72="D01",$C72="G5"),I71&amp;IF(I71="","",CHAR(10))&amp;$A72,I71)</f>
        <v/>
      </c>
      <c r="J72" s="0" t="str">
        <f aca="false">IF(AND($B72="D01",$C72="G6"),J71&amp;IF(J71="","",CHAR(10))&amp;$A72,J71)</f>
        <v/>
      </c>
      <c r="K72" s="0" t="str">
        <f aca="false">IF(AND($B72="D02",$C72="G0"),K71&amp;IF(K71="","",CHAR(10))&amp;$A72,K71)</f>
        <v/>
      </c>
      <c r="L72" s="363" t="str">
        <f aca="false">IF(AND($B72="D02",$C72="G1"),L71&amp;IF(L71="","",CHAR(10))&amp;$A72,L71)</f>
        <v>◐ 007 人口需求與病例量預測
◐ 008 醫院定位與服務組合
◐ 009 重點專科優先化
◐ 010 病人流程與容量設計
◐ 011 轉診與區域照護網絡
◐ 012 臨床治理與責任架構</v>
      </c>
      <c r="M72" s="0" t="str">
        <f aca="false">IF(AND($B72="D02",$C72="G2"),M71&amp;IF(M71="","",CHAR(10))&amp;$A72,M71)</f>
        <v/>
      </c>
      <c r="N72" s="0" t="str">
        <f aca="false">IF(AND($B72="D02",$C72="G3"),N71&amp;IF(N71="","",CHAR(10))&amp;$A72,N71)</f>
        <v/>
      </c>
      <c r="O72" s="0" t="str">
        <f aca="false">IF(AND($B72="D02",$C72="G4"),O71&amp;IF(O71="","",CHAR(10))&amp;$A72,O71)</f>
        <v/>
      </c>
      <c r="P72" s="0" t="str">
        <f aca="false">IF(AND($B72="D02",$C72="G5"),P71&amp;IF(P71="","",CHAR(10))&amp;$A72,P71)</f>
        <v/>
      </c>
      <c r="Q72" s="0" t="str">
        <f aca="false">IF(AND($B72="D02",$C72="G6"),Q71&amp;IF(Q71="","",CHAR(10))&amp;$A72,Q71)</f>
        <v/>
      </c>
      <c r="R72" s="0" t="str">
        <f aca="false">IF(AND($B72="D03",$C72="G0"),R71&amp;IF(R71="","",CHAR(10))&amp;$A72,R71)</f>
        <v/>
      </c>
      <c r="S72" s="0" t="str">
        <f aca="false">IF(AND($B72="D03",$C72="G1"),S71&amp;IF(S71="","",CHAR(10))&amp;$A72,S71)</f>
        <v>◐ 013 場址與醫院總體規劃</v>
      </c>
      <c r="T72" s="363" t="str">
        <f aca="false">IF(AND($B72="D03",$C72="G2"),T71&amp;IF(T71="","",CHAR(10))&amp;$A72,T71)</f>
        <v>◐ 014 醫療建築功能計畫
◐ 015 感染控制與潔污動線
◐ 019 綠色與氣候韌性醫院</v>
      </c>
      <c r="U72" s="363" t="str">
        <f aca="false">IF(AND($B72="D03",$C72="G3"),U71&amp;IF(U71="","",CHAR(10))&amp;$A72,U71)</f>
        <v>● 016 電力、備援與微電網
◐ 017 醫療氣體與關鍵公用系統
◐ 018 醫療廢棄物與水資源</v>
      </c>
      <c r="V72" s="0" t="str">
        <f aca="false">IF(AND($B72="D03",$C72="G4"),V71&amp;IF(V71="","",CHAR(10))&amp;$A72,V71)</f>
        <v/>
      </c>
      <c r="W72" s="0" t="str">
        <f aca="false">IF(AND($B72="D03",$C72="G5"),W71&amp;IF(W71="","",CHAR(10))&amp;$A72,W71)</f>
        <v/>
      </c>
      <c r="X72" s="0" t="str">
        <f aca="false">IF(AND($B72="D03",$C72="G6"),X71&amp;IF(X71="","",CHAR(10))&amp;$A72,X71)</f>
        <v/>
      </c>
      <c r="Y72" s="0" t="str">
        <f aca="false">IF(AND($B72="D04",$C72="G0"),Y71&amp;IF(Y71="","",CHAR(10))&amp;$A72,Y71)</f>
        <v/>
      </c>
      <c r="Z72" s="0" t="str">
        <f aca="false">IF(AND($B72="D04",$C72="G1"),Z71&amp;IF(Z71="","",CHAR(10))&amp;$A72,Z71)</f>
        <v/>
      </c>
      <c r="AA72" s="0" t="str">
        <f aca="false">IF(AND($B72="D04",$C72="G2"),AA71&amp;IF(AA71="","",CHAR(10))&amp;$A72,AA71)</f>
        <v/>
      </c>
      <c r="AB72" s="0" t="str">
        <f aca="false">IF(AND($B72="D04",$C72="G3"),AB71&amp;IF(AB71="","",CHAR(10))&amp;$A72,AB71)</f>
        <v>● 020 IDC與邊緣運算底座</v>
      </c>
      <c r="AC72" s="363" t="str">
        <f aca="false">IF(AND($B72="D04",$C72="G4"),AC71&amp;IF(AC71="","",CHAR(10))&amp;$A72,AC71)</f>
        <v>● 021 有線無線網路與分區
◐ 022 資安營運與零信任
● 023 BMS與能源管理
● 024 RTLS與資產／人員定位
● 025 智慧病房、護理呼叫與感測
● 026 災難復原與營運持續</v>
      </c>
      <c r="AD72" s="0" t="str">
        <f aca="false">IF(AND($B72="D04",$C72="G5"),AD71&amp;IF(AD71="","",CHAR(10))&amp;$A72,AD71)</f>
        <v/>
      </c>
      <c r="AE72" s="0" t="str">
        <f aca="false">IF(AND($B72="D04",$C72="G6"),AE71&amp;IF(AE71="","",CHAR(10))&amp;$A72,AE71)</f>
        <v/>
      </c>
      <c r="AF72" s="0" t="str">
        <f aca="false">IF(AND($B72="D05",$C72="G0"),AF71&amp;IF(AF71="","",CHAR(10))&amp;$A72,AF71)</f>
        <v/>
      </c>
      <c r="AG72" s="0" t="str">
        <f aca="false">IF(AND($B72="D05",$C72="G1"),AG71&amp;IF(AG71="","",CHAR(10))&amp;$A72,AG71)</f>
        <v/>
      </c>
      <c r="AH72" s="0" t="str">
        <f aca="false">IF(AND($B72="D05",$C72="G2"),AH71&amp;IF(AH71="","",CHAR(10))&amp;$A72,AH71)</f>
        <v>◐ 027 醫材需求與設備計畫</v>
      </c>
      <c r="AI72" s="0" t="str">
        <f aca="false">IF(AND($B72="D05",$C72="G3"),AI71&amp;IF(AI71="","",CHAR(10))&amp;$A72,AI71)</f>
        <v/>
      </c>
      <c r="AJ72" s="363" t="str">
        <f aca="false">IF(AND($B72="D05",$C72="G4"),AJ71&amp;IF(AJ71="","",CHAR(10))&amp;$A72,AJ71)</f>
        <v>○ 028 影像設備、PACS與報告流程
○ 029 實驗室自動化與LIS
○ 030 手術室與重症整合
◐ 031 醫材介接與裝置身分
◐ 032 醫療工程與設備生命週期</v>
      </c>
      <c r="AK72" s="0" t="str">
        <f aca="false">IF(AND($B72="D05",$C72="G5"),AK71&amp;IF(AK71="","",CHAR(10))&amp;$A72,AK71)</f>
        <v/>
      </c>
      <c r="AL72" s="0" t="str">
        <f aca="false">IF(AND($B72="D05",$C72="G6"),AL71&amp;IF(AL71="","",CHAR(10))&amp;$A72,AL71)</f>
        <v/>
      </c>
      <c r="AM72" s="0" t="str">
        <f aca="false">IF(AND($B72="D06",$C72="G0"),AM71&amp;IF(AM71="","",CHAR(10))&amp;$A72,AM71)</f>
        <v/>
      </c>
      <c r="AN72" s="0" t="str">
        <f aca="false">IF(AND($B72="D06",$C72="G1"),AN71&amp;IF(AN71="","",CHAR(10))&amp;$A72,AN71)</f>
        <v/>
      </c>
      <c r="AO72" s="0" t="str">
        <f aca="false">IF(AND($B72="D06",$C72="G2"),AO71&amp;IF(AO71="","",CHAR(10))&amp;$A72,AO71)</f>
        <v/>
      </c>
      <c r="AP72" s="363" t="str">
        <f aca="false">IF(AND($B72="D06",$C72="G3"),AP71&amp;IF(AP71="","",CHAR(10))&amp;$A72,AP71)</f>
        <v>◐ 033 HIS／EMR核心平台
◐ 036 臨床術語與主資料治理</v>
      </c>
      <c r="AQ72" s="363" t="str">
        <f aca="false">IF(AND($B72="D06",$C72="G4"),AQ71&amp;IF(AQ71="","",CHAR(10))&amp;$A72,AQ71)</f>
        <v>◐ 034 FHIR介接與API管理
○ 035 主病人索引與身分整合
◐ 037 電子醫囑、用藥與決策支援
◐ 038 資料平台、BI與營運指揮</v>
      </c>
      <c r="AR72" s="0" t="str">
        <f aca="false">IF(AND($B72="D06",$C72="G5"),AR71&amp;IF(AR71="","",CHAR(10))&amp;$A72,AR71)</f>
        <v>○ 039 病人入口、行動服務與VNeID準備</v>
      </c>
      <c r="AS72" s="0" t="str">
        <f aca="false">IF(AND($B72="D06",$C72="G6"),AS71&amp;IF(AS71="","",CHAR(10))&amp;$A72,AS71)</f>
        <v/>
      </c>
      <c r="AT72" s="0" t="str">
        <f aca="false">IF(AND($B72="D07",$C72="G0"),AT71&amp;IF(AT71="","",CHAR(10))&amp;$A72,AT71)</f>
        <v/>
      </c>
      <c r="AU72" s="0" t="str">
        <f aca="false">IF(AND($B72="D07",$C72="G1"),AU71&amp;IF(AU71="","",CHAR(10))&amp;$A72,AU71)</f>
        <v/>
      </c>
      <c r="AV72" s="0" t="str">
        <f aca="false">IF(AND($B72="D07",$C72="G2"),AV71&amp;IF(AV71="","",CHAR(10))&amp;$A72,AV71)</f>
        <v>◐ 040 品質管理與JCI路線圖</v>
      </c>
      <c r="AW72" s="363" t="str">
        <f aca="false">IF(AND($B72="D07",$C72="G3"),AW71&amp;IF(AW71="","",CHAR(10))&amp;$A72,AW71)</f>
        <v>◐ 041 感染預防與控制制度
◐ 043 事件通報與根因改善</v>
      </c>
      <c r="AX72" s="0" t="str">
        <f aca="false">IF(AND($B72="D07",$C72="G4"),AX71&amp;IF(AX71="","",CHAR(10))&amp;$A72,AX71)</f>
        <v>◐ 042 用藥安全閉環</v>
      </c>
      <c r="AY72" s="0" t="str">
        <f aca="false">IF(AND($B72="D07",$C72="G5"),AY71&amp;IF(AY71="","",CHAR(10))&amp;$A72,AY71)</f>
        <v>◐ 044 開院臨床安全驗證</v>
      </c>
      <c r="AZ72" s="0" t="str">
        <f aca="false">IF(AND($B72="D07",$C72="G6"),AZ71&amp;IF(AZ71="","",CHAR(10))&amp;$A72,AZ71)</f>
        <v/>
      </c>
      <c r="BA72" s="0" t="str">
        <f aca="false">IF(AND($B72="D08",$C72="G0"),BA71&amp;IF(BA71="","",CHAR(10))&amp;$A72,BA71)</f>
        <v/>
      </c>
      <c r="BB72" s="0" t="str">
        <f aca="false">IF(AND($B72="D08",$C72="G1"),BB71&amp;IF(BB71="","",CHAR(10))&amp;$A72,BB71)</f>
        <v/>
      </c>
      <c r="BC72" s="0" t="str">
        <f aca="false">IF(AND($B72="D08",$C72="G2"),BC71&amp;IF(BC71="","",CHAR(10))&amp;$A72,BC71)</f>
        <v>○ 045 人力與輪班模型</v>
      </c>
      <c r="BD72" s="0" t="str">
        <f aca="false">IF(AND($B72="D08",$C72="G3"),BD71&amp;IF(BD71="","",CHAR(10))&amp;$A72,BD71)</f>
        <v>◐ 046 職能矩陣與授權</v>
      </c>
      <c r="BE72" s="363" t="str">
        <f aca="false">IF(AND($B72="D08",$C72="G4"),BE71&amp;IF(BE71="","",CHAR(10))&amp;$A72,BE71)</f>
        <v>◐ 047 種子教師與技術移轉
◐ 049 變革管理與使用者採納</v>
      </c>
      <c r="BF72" s="0" t="str">
        <f aca="false">IF(AND($B72="D08",$C72="G5"),BF71&amp;IF(BF71="","",CHAR(10))&amp;$A72,BF71)</f>
        <v>◐ 048 模擬中心與開院演練</v>
      </c>
      <c r="BG72" s="0" t="str">
        <f aca="false">IF(AND($B72="D08",$C72="G6"),BG71&amp;IF(BG71="","",CHAR(10))&amp;$A72,BG71)</f>
        <v/>
      </c>
      <c r="BH72" s="0" t="str">
        <f aca="false">IF(AND($B72="D09",$C72="G0"),BH71&amp;IF(BH71="","",CHAR(10))&amp;$A72,BH71)</f>
        <v/>
      </c>
      <c r="BI72" s="0" t="str">
        <f aca="false">IF(AND($B72="D09",$C72="G1"),BI71&amp;IF(BI71="","",CHAR(10))&amp;$A72,BI71)</f>
        <v/>
      </c>
      <c r="BJ72" s="0" t="str">
        <f aca="false">IF(AND($B72="D09",$C72="G2"),BJ71&amp;IF(BJ71="","",CHAR(10))&amp;$A72,BJ71)</f>
        <v>◐ 050 整合採購與供應商治理</v>
      </c>
      <c r="BK72" s="0" t="str">
        <f aca="false">IF(AND($B72="D09",$C72="G3"),BK71&amp;IF(BK71="","",CHAR(10))&amp;$A72,BK71)</f>
        <v/>
      </c>
      <c r="BL72" s="363" t="str">
        <f aca="false">IF(AND($B72="D09",$C72="G4"),BL71&amp;IF(BL71="","",CHAR(10))&amp;$A72,BL71)</f>
        <v>◐ 051 藥品耗材與SPD物流
◐ 052 冷鏈與特殊物料
● 053 CMMS與設施維運</v>
      </c>
      <c r="BM72" s="0" t="str">
        <f aca="false">IF(AND($B72="D09",$C72="G5"),BM71&amp;IF(BM71="","",CHAR(10))&amp;$A72,BM71)</f>
        <v>◐ 054 在地備品、維修與汰換</v>
      </c>
      <c r="BN72" s="0" t="str">
        <f aca="false">IF(AND($B72="D09",$C72="G6"),BN71&amp;IF(BN71="","",CHAR(10))&amp;$A72,BN71)</f>
        <v/>
      </c>
      <c r="BO72" s="0" t="str">
        <f aca="false">IF(AND($B72="D10",$C72="G0"),BO71&amp;IF(BO71="","",CHAR(10))&amp;$A72,BO71)</f>
        <v/>
      </c>
      <c r="BP72" s="0" t="str">
        <f aca="false">IF(AND($B72="D10",$C72="G1"),BP71&amp;IF(BP71="","",CHAR(10))&amp;$A72,BP71)</f>
        <v>◐ 055 全生命週期成本模型</v>
      </c>
      <c r="BQ72" s="0" t="str">
        <f aca="false">IF(AND($B72="D10",$C72="G2"),BQ71&amp;IF(BQ71="","",CHAR(10))&amp;$A72,BQ71)</f>
        <v>◐ 059 PPP／JV財務與風險分配</v>
      </c>
      <c r="BR72" s="0" t="str">
        <f aca="false">IF(AND($B72="D10",$C72="G3"),BR71&amp;IF(BR71="","",CHAR(10))&amp;$A72,BR71)</f>
        <v/>
      </c>
      <c r="BS72" s="363" t="str">
        <f aca="false">IF(AND($B72="D10",$C72="G4"),BS71&amp;IF(BS71="","",CHAR(10))&amp;$A72,BS71)</f>
        <v>○ 056 健保申報與數位理賠
○ 057 現金流、支付與收入週期</v>
      </c>
      <c r="BT72" s="0" t="str">
        <f aca="false">IF(AND($B72="D10",$C72="G5"),BT71&amp;IF(BT71="","",CHAR(10))&amp;$A72,BT71)</f>
        <v>○ 058 國際醫療與高價值服務</v>
      </c>
      <c r="BU72" s="0" t="str">
        <f aca="false">IF(AND($B72="D10",$C72="G6"),BU71&amp;IF(BU71="","",CHAR(10))&amp;$A72,BU71)</f>
        <v>◐ 060 效益實現與複製藍圖</v>
      </c>
      <c r="BX72" s="0" t="str">
        <f aca="false">IF(AND(03_能力總表_Master!$A72&lt;&gt;"",LEFT(03_能力總表_Master!$H72,2)="缺口"),MAX($BX$4:BX71)+1,"")</f>
        <v/>
      </c>
      <c r="BY72" s="0" t="str">
        <f aca="false">IF(AND(03_能力總表_Master!$A72&lt;&gt;"",03_能力總表_Master!$J72=12_夥伴視角_PartnerView!$C$4),MAX($BY$4:BY71)+1,"")</f>
        <v/>
      </c>
      <c r="CC72" s="0" t="str">
        <f aca="false">IF(AND(03_能力總表_Master!$A72&lt;&gt;"",IFERROR(INDEX(16_能力商機矩陣_CapOppMap!$D72:$CO72,MATCH(LEFT(17_商機作戰卡_OppView!$C$4,6),16_能力商機矩陣_CapOppMap!$D$4:$CO$4,0)),"")="✓"),MAX($CC$4:CC71)+1,"")</f>
        <v/>
      </c>
    </row>
    <row r="73" customFormat="false" ht="95.5" hidden="false" customHeight="false" outlineLevel="0" collapsed="false">
      <c r="A73" s="0" t="str">
        <f aca="false">IF(03_能力總表_Master!$A73="","",IF(LEFT(03_能力總表_Master!$H73,2)="群晶","● ",IF(ISNUMBER(SEARCH("已確認",03_能力總表_Master!$H73)),"◆ ",IF(ISNUMBER(SEARCH("缺口",03_能力總表_Master!$H73)),"○ ","◐ ")))&amp;RIGHT(03_能力總表_Master!$A73,3)&amp;" "&amp;03_能力總表_Master!$E73)</f>
        <v/>
      </c>
      <c r="B73" s="0" t="str">
        <f aca="false">IF(03_能力總表_Master!$A73="","",LEFT(03_能力總表_Master!$B73,3))</f>
        <v/>
      </c>
      <c r="C73" s="0" t="str">
        <f aca="false">IF(03_能力總表_Master!$A73="","",03_能力總表_Master!$C73)</f>
        <v/>
      </c>
      <c r="D73" s="363" t="str">
        <f aca="false">IF(AND($B73="D01",$C73="G0"),D72&amp;IF(D72="","",CHAR(10))&amp;$A73,D72)</f>
        <v>◐ 001 政府授權與計畫章程
◐ 002 利害關係人與權力地圖
◐ 005 聯盟治理與利益衝突</v>
      </c>
      <c r="E73" s="363" t="str">
        <f aca="false">IF(AND($B73="D01",$C73="G1"),E72&amp;IF(E72="","",CHAR(10))&amp;$A73,E72)</f>
        <v>◐ 003 交易模式選擇
◐ 004 法規與執照路徑</v>
      </c>
      <c r="F73" s="0" t="str">
        <f aca="false">IF(AND($B73="D01",$C73="G2"),F72&amp;IF(F72="","",CHAR(10))&amp;$A73,F72)</f>
        <v>◐ 006 績效契約與變更控制</v>
      </c>
      <c r="G73" s="0" t="str">
        <f aca="false">IF(AND($B73="D01",$C73="G3"),G72&amp;IF(G72="","",CHAR(10))&amp;$A73,G72)</f>
        <v/>
      </c>
      <c r="H73" s="0" t="str">
        <f aca="false">IF(AND($B73="D01",$C73="G4"),H72&amp;IF(H72="","",CHAR(10))&amp;$A73,H72)</f>
        <v/>
      </c>
      <c r="I73" s="0" t="str">
        <f aca="false">IF(AND($B73="D01",$C73="G5"),I72&amp;IF(I72="","",CHAR(10))&amp;$A73,I72)</f>
        <v/>
      </c>
      <c r="J73" s="0" t="str">
        <f aca="false">IF(AND($B73="D01",$C73="G6"),J72&amp;IF(J72="","",CHAR(10))&amp;$A73,J72)</f>
        <v/>
      </c>
      <c r="K73" s="0" t="str">
        <f aca="false">IF(AND($B73="D02",$C73="G0"),K72&amp;IF(K72="","",CHAR(10))&amp;$A73,K72)</f>
        <v/>
      </c>
      <c r="L73" s="363" t="str">
        <f aca="false">IF(AND($B73="D02",$C73="G1"),L72&amp;IF(L72="","",CHAR(10))&amp;$A73,L72)</f>
        <v>◐ 007 人口需求與病例量預測
◐ 008 醫院定位與服務組合
◐ 009 重點專科優先化
◐ 010 病人流程與容量設計
◐ 011 轉診與區域照護網絡
◐ 012 臨床治理與責任架構</v>
      </c>
      <c r="M73" s="0" t="str">
        <f aca="false">IF(AND($B73="D02",$C73="G2"),M72&amp;IF(M72="","",CHAR(10))&amp;$A73,M72)</f>
        <v/>
      </c>
      <c r="N73" s="0" t="str">
        <f aca="false">IF(AND($B73="D02",$C73="G3"),N72&amp;IF(N72="","",CHAR(10))&amp;$A73,N72)</f>
        <v/>
      </c>
      <c r="O73" s="0" t="str">
        <f aca="false">IF(AND($B73="D02",$C73="G4"),O72&amp;IF(O72="","",CHAR(10))&amp;$A73,O72)</f>
        <v/>
      </c>
      <c r="P73" s="0" t="str">
        <f aca="false">IF(AND($B73="D02",$C73="G5"),P72&amp;IF(P72="","",CHAR(10))&amp;$A73,P72)</f>
        <v/>
      </c>
      <c r="Q73" s="0" t="str">
        <f aca="false">IF(AND($B73="D02",$C73="G6"),Q72&amp;IF(Q72="","",CHAR(10))&amp;$A73,Q72)</f>
        <v/>
      </c>
      <c r="R73" s="0" t="str">
        <f aca="false">IF(AND($B73="D03",$C73="G0"),R72&amp;IF(R72="","",CHAR(10))&amp;$A73,R72)</f>
        <v/>
      </c>
      <c r="S73" s="0" t="str">
        <f aca="false">IF(AND($B73="D03",$C73="G1"),S72&amp;IF(S72="","",CHAR(10))&amp;$A73,S72)</f>
        <v>◐ 013 場址與醫院總體規劃</v>
      </c>
      <c r="T73" s="363" t="str">
        <f aca="false">IF(AND($B73="D03",$C73="G2"),T72&amp;IF(T72="","",CHAR(10))&amp;$A73,T72)</f>
        <v>◐ 014 醫療建築功能計畫
◐ 015 感染控制與潔污動線
◐ 019 綠色與氣候韌性醫院</v>
      </c>
      <c r="U73" s="363" t="str">
        <f aca="false">IF(AND($B73="D03",$C73="G3"),U72&amp;IF(U72="","",CHAR(10))&amp;$A73,U72)</f>
        <v>● 016 電力、備援與微電網
◐ 017 醫療氣體與關鍵公用系統
◐ 018 醫療廢棄物與水資源</v>
      </c>
      <c r="V73" s="0" t="str">
        <f aca="false">IF(AND($B73="D03",$C73="G4"),V72&amp;IF(V72="","",CHAR(10))&amp;$A73,V72)</f>
        <v/>
      </c>
      <c r="W73" s="0" t="str">
        <f aca="false">IF(AND($B73="D03",$C73="G5"),W72&amp;IF(W72="","",CHAR(10))&amp;$A73,W72)</f>
        <v/>
      </c>
      <c r="X73" s="0" t="str">
        <f aca="false">IF(AND($B73="D03",$C73="G6"),X72&amp;IF(X72="","",CHAR(10))&amp;$A73,X72)</f>
        <v/>
      </c>
      <c r="Y73" s="0" t="str">
        <f aca="false">IF(AND($B73="D04",$C73="G0"),Y72&amp;IF(Y72="","",CHAR(10))&amp;$A73,Y72)</f>
        <v/>
      </c>
      <c r="Z73" s="0" t="str">
        <f aca="false">IF(AND($B73="D04",$C73="G1"),Z72&amp;IF(Z72="","",CHAR(10))&amp;$A73,Z72)</f>
        <v/>
      </c>
      <c r="AA73" s="0" t="str">
        <f aca="false">IF(AND($B73="D04",$C73="G2"),AA72&amp;IF(AA72="","",CHAR(10))&amp;$A73,AA72)</f>
        <v/>
      </c>
      <c r="AB73" s="0" t="str">
        <f aca="false">IF(AND($B73="D04",$C73="G3"),AB72&amp;IF(AB72="","",CHAR(10))&amp;$A73,AB72)</f>
        <v>● 020 IDC與邊緣運算底座</v>
      </c>
      <c r="AC73" s="363" t="str">
        <f aca="false">IF(AND($B73="D04",$C73="G4"),AC72&amp;IF(AC72="","",CHAR(10))&amp;$A73,AC72)</f>
        <v>● 021 有線無線網路與分區
◐ 022 資安營運與零信任
● 023 BMS與能源管理
● 024 RTLS與資產／人員定位
● 025 智慧病房、護理呼叫與感測
● 026 災難復原與營運持續</v>
      </c>
      <c r="AD73" s="0" t="str">
        <f aca="false">IF(AND($B73="D04",$C73="G5"),AD72&amp;IF(AD72="","",CHAR(10))&amp;$A73,AD72)</f>
        <v/>
      </c>
      <c r="AE73" s="0" t="str">
        <f aca="false">IF(AND($B73="D04",$C73="G6"),AE72&amp;IF(AE72="","",CHAR(10))&amp;$A73,AE72)</f>
        <v/>
      </c>
      <c r="AF73" s="0" t="str">
        <f aca="false">IF(AND($B73="D05",$C73="G0"),AF72&amp;IF(AF72="","",CHAR(10))&amp;$A73,AF72)</f>
        <v/>
      </c>
      <c r="AG73" s="0" t="str">
        <f aca="false">IF(AND($B73="D05",$C73="G1"),AG72&amp;IF(AG72="","",CHAR(10))&amp;$A73,AG72)</f>
        <v/>
      </c>
      <c r="AH73" s="0" t="str">
        <f aca="false">IF(AND($B73="D05",$C73="G2"),AH72&amp;IF(AH72="","",CHAR(10))&amp;$A73,AH72)</f>
        <v>◐ 027 醫材需求與設備計畫</v>
      </c>
      <c r="AI73" s="0" t="str">
        <f aca="false">IF(AND($B73="D05",$C73="G3"),AI72&amp;IF(AI72="","",CHAR(10))&amp;$A73,AI72)</f>
        <v/>
      </c>
      <c r="AJ73" s="363" t="str">
        <f aca="false">IF(AND($B73="D05",$C73="G4"),AJ72&amp;IF(AJ72="","",CHAR(10))&amp;$A73,AJ72)</f>
        <v>○ 028 影像設備、PACS與報告流程
○ 029 實驗室自動化與LIS
○ 030 手術室與重症整合
◐ 031 醫材介接與裝置身分
◐ 032 醫療工程與設備生命週期</v>
      </c>
      <c r="AK73" s="0" t="str">
        <f aca="false">IF(AND($B73="D05",$C73="G5"),AK72&amp;IF(AK72="","",CHAR(10))&amp;$A73,AK72)</f>
        <v/>
      </c>
      <c r="AL73" s="0" t="str">
        <f aca="false">IF(AND($B73="D05",$C73="G6"),AL72&amp;IF(AL72="","",CHAR(10))&amp;$A73,AL72)</f>
        <v/>
      </c>
      <c r="AM73" s="0" t="str">
        <f aca="false">IF(AND($B73="D06",$C73="G0"),AM72&amp;IF(AM72="","",CHAR(10))&amp;$A73,AM72)</f>
        <v/>
      </c>
      <c r="AN73" s="0" t="str">
        <f aca="false">IF(AND($B73="D06",$C73="G1"),AN72&amp;IF(AN72="","",CHAR(10))&amp;$A73,AN72)</f>
        <v/>
      </c>
      <c r="AO73" s="0" t="str">
        <f aca="false">IF(AND($B73="D06",$C73="G2"),AO72&amp;IF(AO72="","",CHAR(10))&amp;$A73,AO72)</f>
        <v/>
      </c>
      <c r="AP73" s="363" t="str">
        <f aca="false">IF(AND($B73="D06",$C73="G3"),AP72&amp;IF(AP72="","",CHAR(10))&amp;$A73,AP72)</f>
        <v>◐ 033 HIS／EMR核心平台
◐ 036 臨床術語與主資料治理</v>
      </c>
      <c r="AQ73" s="363" t="str">
        <f aca="false">IF(AND($B73="D06",$C73="G4"),AQ72&amp;IF(AQ72="","",CHAR(10))&amp;$A73,AQ72)</f>
        <v>◐ 034 FHIR介接與API管理
○ 035 主病人索引與身分整合
◐ 037 電子醫囑、用藥與決策支援
◐ 038 資料平台、BI與營運指揮</v>
      </c>
      <c r="AR73" s="0" t="str">
        <f aca="false">IF(AND($B73="D06",$C73="G5"),AR72&amp;IF(AR72="","",CHAR(10))&amp;$A73,AR72)</f>
        <v>○ 039 病人入口、行動服務與VNeID準備</v>
      </c>
      <c r="AS73" s="0" t="str">
        <f aca="false">IF(AND($B73="D06",$C73="G6"),AS72&amp;IF(AS72="","",CHAR(10))&amp;$A73,AS72)</f>
        <v/>
      </c>
      <c r="AT73" s="0" t="str">
        <f aca="false">IF(AND($B73="D07",$C73="G0"),AT72&amp;IF(AT72="","",CHAR(10))&amp;$A73,AT72)</f>
        <v/>
      </c>
      <c r="AU73" s="0" t="str">
        <f aca="false">IF(AND($B73="D07",$C73="G1"),AU72&amp;IF(AU72="","",CHAR(10))&amp;$A73,AU72)</f>
        <v/>
      </c>
      <c r="AV73" s="0" t="str">
        <f aca="false">IF(AND($B73="D07",$C73="G2"),AV72&amp;IF(AV72="","",CHAR(10))&amp;$A73,AV72)</f>
        <v>◐ 040 品質管理與JCI路線圖</v>
      </c>
      <c r="AW73" s="363" t="str">
        <f aca="false">IF(AND($B73="D07",$C73="G3"),AW72&amp;IF(AW72="","",CHAR(10))&amp;$A73,AW72)</f>
        <v>◐ 041 感染預防與控制制度
◐ 043 事件通報與根因改善</v>
      </c>
      <c r="AX73" s="0" t="str">
        <f aca="false">IF(AND($B73="D07",$C73="G4"),AX72&amp;IF(AX72="","",CHAR(10))&amp;$A73,AX72)</f>
        <v>◐ 042 用藥安全閉環</v>
      </c>
      <c r="AY73" s="0" t="str">
        <f aca="false">IF(AND($B73="D07",$C73="G5"),AY72&amp;IF(AY72="","",CHAR(10))&amp;$A73,AY72)</f>
        <v>◐ 044 開院臨床安全驗證</v>
      </c>
      <c r="AZ73" s="0" t="str">
        <f aca="false">IF(AND($B73="D07",$C73="G6"),AZ72&amp;IF(AZ72="","",CHAR(10))&amp;$A73,AZ72)</f>
        <v/>
      </c>
      <c r="BA73" s="0" t="str">
        <f aca="false">IF(AND($B73="D08",$C73="G0"),BA72&amp;IF(BA72="","",CHAR(10))&amp;$A73,BA72)</f>
        <v/>
      </c>
      <c r="BB73" s="0" t="str">
        <f aca="false">IF(AND($B73="D08",$C73="G1"),BB72&amp;IF(BB72="","",CHAR(10))&amp;$A73,BB72)</f>
        <v/>
      </c>
      <c r="BC73" s="0" t="str">
        <f aca="false">IF(AND($B73="D08",$C73="G2"),BC72&amp;IF(BC72="","",CHAR(10))&amp;$A73,BC72)</f>
        <v>○ 045 人力與輪班模型</v>
      </c>
      <c r="BD73" s="0" t="str">
        <f aca="false">IF(AND($B73="D08",$C73="G3"),BD72&amp;IF(BD72="","",CHAR(10))&amp;$A73,BD72)</f>
        <v>◐ 046 職能矩陣與授權</v>
      </c>
      <c r="BE73" s="363" t="str">
        <f aca="false">IF(AND($B73="D08",$C73="G4"),BE72&amp;IF(BE72="","",CHAR(10))&amp;$A73,BE72)</f>
        <v>◐ 047 種子教師與技術移轉
◐ 049 變革管理與使用者採納</v>
      </c>
      <c r="BF73" s="0" t="str">
        <f aca="false">IF(AND($B73="D08",$C73="G5"),BF72&amp;IF(BF72="","",CHAR(10))&amp;$A73,BF72)</f>
        <v>◐ 048 模擬中心與開院演練</v>
      </c>
      <c r="BG73" s="0" t="str">
        <f aca="false">IF(AND($B73="D08",$C73="G6"),BG72&amp;IF(BG72="","",CHAR(10))&amp;$A73,BG72)</f>
        <v/>
      </c>
      <c r="BH73" s="0" t="str">
        <f aca="false">IF(AND($B73="D09",$C73="G0"),BH72&amp;IF(BH72="","",CHAR(10))&amp;$A73,BH72)</f>
        <v/>
      </c>
      <c r="BI73" s="0" t="str">
        <f aca="false">IF(AND($B73="D09",$C73="G1"),BI72&amp;IF(BI72="","",CHAR(10))&amp;$A73,BI72)</f>
        <v/>
      </c>
      <c r="BJ73" s="0" t="str">
        <f aca="false">IF(AND($B73="D09",$C73="G2"),BJ72&amp;IF(BJ72="","",CHAR(10))&amp;$A73,BJ72)</f>
        <v>◐ 050 整合採購與供應商治理</v>
      </c>
      <c r="BK73" s="0" t="str">
        <f aca="false">IF(AND($B73="D09",$C73="G3"),BK72&amp;IF(BK72="","",CHAR(10))&amp;$A73,BK72)</f>
        <v/>
      </c>
      <c r="BL73" s="363" t="str">
        <f aca="false">IF(AND($B73="D09",$C73="G4"),BL72&amp;IF(BL72="","",CHAR(10))&amp;$A73,BL72)</f>
        <v>◐ 051 藥品耗材與SPD物流
◐ 052 冷鏈與特殊物料
● 053 CMMS與設施維運</v>
      </c>
      <c r="BM73" s="0" t="str">
        <f aca="false">IF(AND($B73="D09",$C73="G5"),BM72&amp;IF(BM72="","",CHAR(10))&amp;$A73,BM72)</f>
        <v>◐ 054 在地備品、維修與汰換</v>
      </c>
      <c r="BN73" s="0" t="str">
        <f aca="false">IF(AND($B73="D09",$C73="G6"),BN72&amp;IF(BN72="","",CHAR(10))&amp;$A73,BN72)</f>
        <v/>
      </c>
      <c r="BO73" s="0" t="str">
        <f aca="false">IF(AND($B73="D10",$C73="G0"),BO72&amp;IF(BO72="","",CHAR(10))&amp;$A73,BO72)</f>
        <v/>
      </c>
      <c r="BP73" s="0" t="str">
        <f aca="false">IF(AND($B73="D10",$C73="G1"),BP72&amp;IF(BP72="","",CHAR(10))&amp;$A73,BP72)</f>
        <v>◐ 055 全生命週期成本模型</v>
      </c>
      <c r="BQ73" s="0" t="str">
        <f aca="false">IF(AND($B73="D10",$C73="G2"),BQ72&amp;IF(BQ72="","",CHAR(10))&amp;$A73,BQ72)</f>
        <v>◐ 059 PPP／JV財務與風險分配</v>
      </c>
      <c r="BR73" s="0" t="str">
        <f aca="false">IF(AND($B73="D10",$C73="G3"),BR72&amp;IF(BR72="","",CHAR(10))&amp;$A73,BR72)</f>
        <v/>
      </c>
      <c r="BS73" s="363" t="str">
        <f aca="false">IF(AND($B73="D10",$C73="G4"),BS72&amp;IF(BS72="","",CHAR(10))&amp;$A73,BS72)</f>
        <v>○ 056 健保申報與數位理賠
○ 057 現金流、支付與收入週期</v>
      </c>
      <c r="BT73" s="0" t="str">
        <f aca="false">IF(AND($B73="D10",$C73="G5"),BT72&amp;IF(BT72="","",CHAR(10))&amp;$A73,BT72)</f>
        <v>○ 058 國際醫療與高價值服務</v>
      </c>
      <c r="BU73" s="0" t="str">
        <f aca="false">IF(AND($B73="D10",$C73="G6"),BU72&amp;IF(BU72="","",CHAR(10))&amp;$A73,BU72)</f>
        <v>◐ 060 效益實現與複製藍圖</v>
      </c>
      <c r="BX73" s="0" t="str">
        <f aca="false">IF(AND(03_能力總表_Master!$A73&lt;&gt;"",LEFT(03_能力總表_Master!$H73,2)="缺口"),MAX($BX$4:BX72)+1,"")</f>
        <v/>
      </c>
      <c r="BY73" s="0" t="str">
        <f aca="false">IF(AND(03_能力總表_Master!$A73&lt;&gt;"",03_能力總表_Master!$J73=12_夥伴視角_PartnerView!$C$4),MAX($BY$4:BY72)+1,"")</f>
        <v/>
      </c>
      <c r="CC73" s="0" t="str">
        <f aca="false">IF(AND(03_能力總表_Master!$A73&lt;&gt;"",IFERROR(INDEX(16_能力商機矩陣_CapOppMap!$D73:$CO73,MATCH(LEFT(17_商機作戰卡_OppView!$C$4,6),16_能力商機矩陣_CapOppMap!$D$4:$CO$4,0)),"")="✓"),MAX($CC$4:CC72)+1,"")</f>
        <v/>
      </c>
    </row>
    <row r="74" customFormat="false" ht="95.5" hidden="false" customHeight="false" outlineLevel="0" collapsed="false">
      <c r="A74" s="0" t="str">
        <f aca="false">IF(03_能力總表_Master!$A74="","",IF(LEFT(03_能力總表_Master!$H74,2)="群晶","● ",IF(ISNUMBER(SEARCH("已確認",03_能力總表_Master!$H74)),"◆ ",IF(ISNUMBER(SEARCH("缺口",03_能力總表_Master!$H74)),"○ ","◐ ")))&amp;RIGHT(03_能力總表_Master!$A74,3)&amp;" "&amp;03_能力總表_Master!$E74)</f>
        <v/>
      </c>
      <c r="B74" s="0" t="str">
        <f aca="false">IF(03_能力總表_Master!$A74="","",LEFT(03_能力總表_Master!$B74,3))</f>
        <v/>
      </c>
      <c r="C74" s="0" t="str">
        <f aca="false">IF(03_能力總表_Master!$A74="","",03_能力總表_Master!$C74)</f>
        <v/>
      </c>
      <c r="D74" s="363" t="str">
        <f aca="false">IF(AND($B74="D01",$C74="G0"),D73&amp;IF(D73="","",CHAR(10))&amp;$A74,D73)</f>
        <v>◐ 001 政府授權與計畫章程
◐ 002 利害關係人與權力地圖
◐ 005 聯盟治理與利益衝突</v>
      </c>
      <c r="E74" s="363" t="str">
        <f aca="false">IF(AND($B74="D01",$C74="G1"),E73&amp;IF(E73="","",CHAR(10))&amp;$A74,E73)</f>
        <v>◐ 003 交易模式選擇
◐ 004 法規與執照路徑</v>
      </c>
      <c r="F74" s="0" t="str">
        <f aca="false">IF(AND($B74="D01",$C74="G2"),F73&amp;IF(F73="","",CHAR(10))&amp;$A74,F73)</f>
        <v>◐ 006 績效契約與變更控制</v>
      </c>
      <c r="G74" s="0" t="str">
        <f aca="false">IF(AND($B74="D01",$C74="G3"),G73&amp;IF(G73="","",CHAR(10))&amp;$A74,G73)</f>
        <v/>
      </c>
      <c r="H74" s="0" t="str">
        <f aca="false">IF(AND($B74="D01",$C74="G4"),H73&amp;IF(H73="","",CHAR(10))&amp;$A74,H73)</f>
        <v/>
      </c>
      <c r="I74" s="0" t="str">
        <f aca="false">IF(AND($B74="D01",$C74="G5"),I73&amp;IF(I73="","",CHAR(10))&amp;$A74,I73)</f>
        <v/>
      </c>
      <c r="J74" s="0" t="str">
        <f aca="false">IF(AND($B74="D01",$C74="G6"),J73&amp;IF(J73="","",CHAR(10))&amp;$A74,J73)</f>
        <v/>
      </c>
      <c r="K74" s="0" t="str">
        <f aca="false">IF(AND($B74="D02",$C74="G0"),K73&amp;IF(K73="","",CHAR(10))&amp;$A74,K73)</f>
        <v/>
      </c>
      <c r="L74" s="363" t="str">
        <f aca="false">IF(AND($B74="D02",$C74="G1"),L73&amp;IF(L73="","",CHAR(10))&amp;$A74,L73)</f>
        <v>◐ 007 人口需求與病例量預測
◐ 008 醫院定位與服務組合
◐ 009 重點專科優先化
◐ 010 病人流程與容量設計
◐ 011 轉診與區域照護網絡
◐ 012 臨床治理與責任架構</v>
      </c>
      <c r="M74" s="0" t="str">
        <f aca="false">IF(AND($B74="D02",$C74="G2"),M73&amp;IF(M73="","",CHAR(10))&amp;$A74,M73)</f>
        <v/>
      </c>
      <c r="N74" s="0" t="str">
        <f aca="false">IF(AND($B74="D02",$C74="G3"),N73&amp;IF(N73="","",CHAR(10))&amp;$A74,N73)</f>
        <v/>
      </c>
      <c r="O74" s="0" t="str">
        <f aca="false">IF(AND($B74="D02",$C74="G4"),O73&amp;IF(O73="","",CHAR(10))&amp;$A74,O73)</f>
        <v/>
      </c>
      <c r="P74" s="0" t="str">
        <f aca="false">IF(AND($B74="D02",$C74="G5"),P73&amp;IF(P73="","",CHAR(10))&amp;$A74,P73)</f>
        <v/>
      </c>
      <c r="Q74" s="0" t="str">
        <f aca="false">IF(AND($B74="D02",$C74="G6"),Q73&amp;IF(Q73="","",CHAR(10))&amp;$A74,Q73)</f>
        <v/>
      </c>
      <c r="R74" s="0" t="str">
        <f aca="false">IF(AND($B74="D03",$C74="G0"),R73&amp;IF(R73="","",CHAR(10))&amp;$A74,R73)</f>
        <v/>
      </c>
      <c r="S74" s="0" t="str">
        <f aca="false">IF(AND($B74="D03",$C74="G1"),S73&amp;IF(S73="","",CHAR(10))&amp;$A74,S73)</f>
        <v>◐ 013 場址與醫院總體規劃</v>
      </c>
      <c r="T74" s="363" t="str">
        <f aca="false">IF(AND($B74="D03",$C74="G2"),T73&amp;IF(T73="","",CHAR(10))&amp;$A74,T73)</f>
        <v>◐ 014 醫療建築功能計畫
◐ 015 感染控制與潔污動線
◐ 019 綠色與氣候韌性醫院</v>
      </c>
      <c r="U74" s="363" t="str">
        <f aca="false">IF(AND($B74="D03",$C74="G3"),U73&amp;IF(U73="","",CHAR(10))&amp;$A74,U73)</f>
        <v>● 016 電力、備援與微電網
◐ 017 醫療氣體與關鍵公用系統
◐ 018 醫療廢棄物與水資源</v>
      </c>
      <c r="V74" s="0" t="str">
        <f aca="false">IF(AND($B74="D03",$C74="G4"),V73&amp;IF(V73="","",CHAR(10))&amp;$A74,V73)</f>
        <v/>
      </c>
      <c r="W74" s="0" t="str">
        <f aca="false">IF(AND($B74="D03",$C74="G5"),W73&amp;IF(W73="","",CHAR(10))&amp;$A74,W73)</f>
        <v/>
      </c>
      <c r="X74" s="0" t="str">
        <f aca="false">IF(AND($B74="D03",$C74="G6"),X73&amp;IF(X73="","",CHAR(10))&amp;$A74,X73)</f>
        <v/>
      </c>
      <c r="Y74" s="0" t="str">
        <f aca="false">IF(AND($B74="D04",$C74="G0"),Y73&amp;IF(Y73="","",CHAR(10))&amp;$A74,Y73)</f>
        <v/>
      </c>
      <c r="Z74" s="0" t="str">
        <f aca="false">IF(AND($B74="D04",$C74="G1"),Z73&amp;IF(Z73="","",CHAR(10))&amp;$A74,Z73)</f>
        <v/>
      </c>
      <c r="AA74" s="0" t="str">
        <f aca="false">IF(AND($B74="D04",$C74="G2"),AA73&amp;IF(AA73="","",CHAR(10))&amp;$A74,AA73)</f>
        <v/>
      </c>
      <c r="AB74" s="0" t="str">
        <f aca="false">IF(AND($B74="D04",$C74="G3"),AB73&amp;IF(AB73="","",CHAR(10))&amp;$A74,AB73)</f>
        <v>● 020 IDC與邊緣運算底座</v>
      </c>
      <c r="AC74" s="363" t="str">
        <f aca="false">IF(AND($B74="D04",$C74="G4"),AC73&amp;IF(AC73="","",CHAR(10))&amp;$A74,AC73)</f>
        <v>● 021 有線無線網路與分區
◐ 022 資安營運與零信任
● 023 BMS與能源管理
● 024 RTLS與資產／人員定位
● 025 智慧病房、護理呼叫與感測
● 026 災難復原與營運持續</v>
      </c>
      <c r="AD74" s="0" t="str">
        <f aca="false">IF(AND($B74="D04",$C74="G5"),AD73&amp;IF(AD73="","",CHAR(10))&amp;$A74,AD73)</f>
        <v/>
      </c>
      <c r="AE74" s="0" t="str">
        <f aca="false">IF(AND($B74="D04",$C74="G6"),AE73&amp;IF(AE73="","",CHAR(10))&amp;$A74,AE73)</f>
        <v/>
      </c>
      <c r="AF74" s="0" t="str">
        <f aca="false">IF(AND($B74="D05",$C74="G0"),AF73&amp;IF(AF73="","",CHAR(10))&amp;$A74,AF73)</f>
        <v/>
      </c>
      <c r="AG74" s="0" t="str">
        <f aca="false">IF(AND($B74="D05",$C74="G1"),AG73&amp;IF(AG73="","",CHAR(10))&amp;$A74,AG73)</f>
        <v/>
      </c>
      <c r="AH74" s="0" t="str">
        <f aca="false">IF(AND($B74="D05",$C74="G2"),AH73&amp;IF(AH73="","",CHAR(10))&amp;$A74,AH73)</f>
        <v>◐ 027 醫材需求與設備計畫</v>
      </c>
      <c r="AI74" s="0" t="str">
        <f aca="false">IF(AND($B74="D05",$C74="G3"),AI73&amp;IF(AI73="","",CHAR(10))&amp;$A74,AI73)</f>
        <v/>
      </c>
      <c r="AJ74" s="363" t="str">
        <f aca="false">IF(AND($B74="D05",$C74="G4"),AJ73&amp;IF(AJ73="","",CHAR(10))&amp;$A74,AJ73)</f>
        <v>○ 028 影像設備、PACS與報告流程
○ 029 實驗室自動化與LIS
○ 030 手術室與重症整合
◐ 031 醫材介接與裝置身分
◐ 032 醫療工程與設備生命週期</v>
      </c>
      <c r="AK74" s="0" t="str">
        <f aca="false">IF(AND($B74="D05",$C74="G5"),AK73&amp;IF(AK73="","",CHAR(10))&amp;$A74,AK73)</f>
        <v/>
      </c>
      <c r="AL74" s="0" t="str">
        <f aca="false">IF(AND($B74="D05",$C74="G6"),AL73&amp;IF(AL73="","",CHAR(10))&amp;$A74,AL73)</f>
        <v/>
      </c>
      <c r="AM74" s="0" t="str">
        <f aca="false">IF(AND($B74="D06",$C74="G0"),AM73&amp;IF(AM73="","",CHAR(10))&amp;$A74,AM73)</f>
        <v/>
      </c>
      <c r="AN74" s="0" t="str">
        <f aca="false">IF(AND($B74="D06",$C74="G1"),AN73&amp;IF(AN73="","",CHAR(10))&amp;$A74,AN73)</f>
        <v/>
      </c>
      <c r="AO74" s="0" t="str">
        <f aca="false">IF(AND($B74="D06",$C74="G2"),AO73&amp;IF(AO73="","",CHAR(10))&amp;$A74,AO73)</f>
        <v/>
      </c>
      <c r="AP74" s="363" t="str">
        <f aca="false">IF(AND($B74="D06",$C74="G3"),AP73&amp;IF(AP73="","",CHAR(10))&amp;$A74,AP73)</f>
        <v>◐ 033 HIS／EMR核心平台
◐ 036 臨床術語與主資料治理</v>
      </c>
      <c r="AQ74" s="363" t="str">
        <f aca="false">IF(AND($B74="D06",$C74="G4"),AQ73&amp;IF(AQ73="","",CHAR(10))&amp;$A74,AQ73)</f>
        <v>◐ 034 FHIR介接與API管理
○ 035 主病人索引與身分整合
◐ 037 電子醫囑、用藥與決策支援
◐ 038 資料平台、BI與營運指揮</v>
      </c>
      <c r="AR74" s="0" t="str">
        <f aca="false">IF(AND($B74="D06",$C74="G5"),AR73&amp;IF(AR73="","",CHAR(10))&amp;$A74,AR73)</f>
        <v>○ 039 病人入口、行動服務與VNeID準備</v>
      </c>
      <c r="AS74" s="0" t="str">
        <f aca="false">IF(AND($B74="D06",$C74="G6"),AS73&amp;IF(AS73="","",CHAR(10))&amp;$A74,AS73)</f>
        <v/>
      </c>
      <c r="AT74" s="0" t="str">
        <f aca="false">IF(AND($B74="D07",$C74="G0"),AT73&amp;IF(AT73="","",CHAR(10))&amp;$A74,AT73)</f>
        <v/>
      </c>
      <c r="AU74" s="0" t="str">
        <f aca="false">IF(AND($B74="D07",$C74="G1"),AU73&amp;IF(AU73="","",CHAR(10))&amp;$A74,AU73)</f>
        <v/>
      </c>
      <c r="AV74" s="0" t="str">
        <f aca="false">IF(AND($B74="D07",$C74="G2"),AV73&amp;IF(AV73="","",CHAR(10))&amp;$A74,AV73)</f>
        <v>◐ 040 品質管理與JCI路線圖</v>
      </c>
      <c r="AW74" s="363" t="str">
        <f aca="false">IF(AND($B74="D07",$C74="G3"),AW73&amp;IF(AW73="","",CHAR(10))&amp;$A74,AW73)</f>
        <v>◐ 041 感染預防與控制制度
◐ 043 事件通報與根因改善</v>
      </c>
      <c r="AX74" s="0" t="str">
        <f aca="false">IF(AND($B74="D07",$C74="G4"),AX73&amp;IF(AX73="","",CHAR(10))&amp;$A74,AX73)</f>
        <v>◐ 042 用藥安全閉環</v>
      </c>
      <c r="AY74" s="0" t="str">
        <f aca="false">IF(AND($B74="D07",$C74="G5"),AY73&amp;IF(AY73="","",CHAR(10))&amp;$A74,AY73)</f>
        <v>◐ 044 開院臨床安全驗證</v>
      </c>
      <c r="AZ74" s="0" t="str">
        <f aca="false">IF(AND($B74="D07",$C74="G6"),AZ73&amp;IF(AZ73="","",CHAR(10))&amp;$A74,AZ73)</f>
        <v/>
      </c>
      <c r="BA74" s="0" t="str">
        <f aca="false">IF(AND($B74="D08",$C74="G0"),BA73&amp;IF(BA73="","",CHAR(10))&amp;$A74,BA73)</f>
        <v/>
      </c>
      <c r="BB74" s="0" t="str">
        <f aca="false">IF(AND($B74="D08",$C74="G1"),BB73&amp;IF(BB73="","",CHAR(10))&amp;$A74,BB73)</f>
        <v/>
      </c>
      <c r="BC74" s="0" t="str">
        <f aca="false">IF(AND($B74="D08",$C74="G2"),BC73&amp;IF(BC73="","",CHAR(10))&amp;$A74,BC73)</f>
        <v>○ 045 人力與輪班模型</v>
      </c>
      <c r="BD74" s="0" t="str">
        <f aca="false">IF(AND($B74="D08",$C74="G3"),BD73&amp;IF(BD73="","",CHAR(10))&amp;$A74,BD73)</f>
        <v>◐ 046 職能矩陣與授權</v>
      </c>
      <c r="BE74" s="363" t="str">
        <f aca="false">IF(AND($B74="D08",$C74="G4"),BE73&amp;IF(BE73="","",CHAR(10))&amp;$A74,BE73)</f>
        <v>◐ 047 種子教師與技術移轉
◐ 049 變革管理與使用者採納</v>
      </c>
      <c r="BF74" s="0" t="str">
        <f aca="false">IF(AND($B74="D08",$C74="G5"),BF73&amp;IF(BF73="","",CHAR(10))&amp;$A74,BF73)</f>
        <v>◐ 048 模擬中心與開院演練</v>
      </c>
      <c r="BG74" s="0" t="str">
        <f aca="false">IF(AND($B74="D08",$C74="G6"),BG73&amp;IF(BG73="","",CHAR(10))&amp;$A74,BG73)</f>
        <v/>
      </c>
      <c r="BH74" s="0" t="str">
        <f aca="false">IF(AND($B74="D09",$C74="G0"),BH73&amp;IF(BH73="","",CHAR(10))&amp;$A74,BH73)</f>
        <v/>
      </c>
      <c r="BI74" s="0" t="str">
        <f aca="false">IF(AND($B74="D09",$C74="G1"),BI73&amp;IF(BI73="","",CHAR(10))&amp;$A74,BI73)</f>
        <v/>
      </c>
      <c r="BJ74" s="0" t="str">
        <f aca="false">IF(AND($B74="D09",$C74="G2"),BJ73&amp;IF(BJ73="","",CHAR(10))&amp;$A74,BJ73)</f>
        <v>◐ 050 整合採購與供應商治理</v>
      </c>
      <c r="BK74" s="0" t="str">
        <f aca="false">IF(AND($B74="D09",$C74="G3"),BK73&amp;IF(BK73="","",CHAR(10))&amp;$A74,BK73)</f>
        <v/>
      </c>
      <c r="BL74" s="363" t="str">
        <f aca="false">IF(AND($B74="D09",$C74="G4"),BL73&amp;IF(BL73="","",CHAR(10))&amp;$A74,BL73)</f>
        <v>◐ 051 藥品耗材與SPD物流
◐ 052 冷鏈與特殊物料
● 053 CMMS與設施維運</v>
      </c>
      <c r="BM74" s="0" t="str">
        <f aca="false">IF(AND($B74="D09",$C74="G5"),BM73&amp;IF(BM73="","",CHAR(10))&amp;$A74,BM73)</f>
        <v>◐ 054 在地備品、維修與汰換</v>
      </c>
      <c r="BN74" s="0" t="str">
        <f aca="false">IF(AND($B74="D09",$C74="G6"),BN73&amp;IF(BN73="","",CHAR(10))&amp;$A74,BN73)</f>
        <v/>
      </c>
      <c r="BO74" s="0" t="str">
        <f aca="false">IF(AND($B74="D10",$C74="G0"),BO73&amp;IF(BO73="","",CHAR(10))&amp;$A74,BO73)</f>
        <v/>
      </c>
      <c r="BP74" s="0" t="str">
        <f aca="false">IF(AND($B74="D10",$C74="G1"),BP73&amp;IF(BP73="","",CHAR(10))&amp;$A74,BP73)</f>
        <v>◐ 055 全生命週期成本模型</v>
      </c>
      <c r="BQ74" s="0" t="str">
        <f aca="false">IF(AND($B74="D10",$C74="G2"),BQ73&amp;IF(BQ73="","",CHAR(10))&amp;$A74,BQ73)</f>
        <v>◐ 059 PPP／JV財務與風險分配</v>
      </c>
      <c r="BR74" s="0" t="str">
        <f aca="false">IF(AND($B74="D10",$C74="G3"),BR73&amp;IF(BR73="","",CHAR(10))&amp;$A74,BR73)</f>
        <v/>
      </c>
      <c r="BS74" s="363" t="str">
        <f aca="false">IF(AND($B74="D10",$C74="G4"),BS73&amp;IF(BS73="","",CHAR(10))&amp;$A74,BS73)</f>
        <v>○ 056 健保申報與數位理賠
○ 057 現金流、支付與收入週期</v>
      </c>
      <c r="BT74" s="0" t="str">
        <f aca="false">IF(AND($B74="D10",$C74="G5"),BT73&amp;IF(BT73="","",CHAR(10))&amp;$A74,BT73)</f>
        <v>○ 058 國際醫療與高價值服務</v>
      </c>
      <c r="BU74" s="0" t="str">
        <f aca="false">IF(AND($B74="D10",$C74="G6"),BU73&amp;IF(BU73="","",CHAR(10))&amp;$A74,BU73)</f>
        <v>◐ 060 效益實現與複製藍圖</v>
      </c>
      <c r="BX74" s="0" t="str">
        <f aca="false">IF(AND(03_能力總表_Master!$A74&lt;&gt;"",LEFT(03_能力總表_Master!$H74,2)="缺口"),MAX($BX$4:BX73)+1,"")</f>
        <v/>
      </c>
      <c r="BY74" s="0" t="str">
        <f aca="false">IF(AND(03_能力總表_Master!$A74&lt;&gt;"",03_能力總表_Master!$J74=12_夥伴視角_PartnerView!$C$4),MAX($BY$4:BY73)+1,"")</f>
        <v/>
      </c>
      <c r="CC74" s="0" t="str">
        <f aca="false">IF(AND(03_能力總表_Master!$A74&lt;&gt;"",IFERROR(INDEX(16_能力商機矩陣_CapOppMap!$D74:$CO74,MATCH(LEFT(17_商機作戰卡_OppView!$C$4,6),16_能力商機矩陣_CapOppMap!$D$4:$CO$4,0)),"")="✓"),MAX($CC$4:CC73)+1,"")</f>
        <v/>
      </c>
    </row>
    <row r="75" customFormat="false" ht="95.5" hidden="false" customHeight="false" outlineLevel="0" collapsed="false">
      <c r="A75" s="0" t="str">
        <f aca="false">IF(03_能力總表_Master!$A75="","",IF(LEFT(03_能力總表_Master!$H75,2)="群晶","● ",IF(ISNUMBER(SEARCH("已確認",03_能力總表_Master!$H75)),"◆ ",IF(ISNUMBER(SEARCH("缺口",03_能力總表_Master!$H75)),"○ ","◐ ")))&amp;RIGHT(03_能力總表_Master!$A75,3)&amp;" "&amp;03_能力總表_Master!$E75)</f>
        <v/>
      </c>
      <c r="B75" s="0" t="str">
        <f aca="false">IF(03_能力總表_Master!$A75="","",LEFT(03_能力總表_Master!$B75,3))</f>
        <v/>
      </c>
      <c r="C75" s="0" t="str">
        <f aca="false">IF(03_能力總表_Master!$A75="","",03_能力總表_Master!$C75)</f>
        <v/>
      </c>
      <c r="D75" s="363" t="str">
        <f aca="false">IF(AND($B75="D01",$C75="G0"),D74&amp;IF(D74="","",CHAR(10))&amp;$A75,D74)</f>
        <v>◐ 001 政府授權與計畫章程
◐ 002 利害關係人與權力地圖
◐ 005 聯盟治理與利益衝突</v>
      </c>
      <c r="E75" s="363" t="str">
        <f aca="false">IF(AND($B75="D01",$C75="G1"),E74&amp;IF(E74="","",CHAR(10))&amp;$A75,E74)</f>
        <v>◐ 003 交易模式選擇
◐ 004 法規與執照路徑</v>
      </c>
      <c r="F75" s="0" t="str">
        <f aca="false">IF(AND($B75="D01",$C75="G2"),F74&amp;IF(F74="","",CHAR(10))&amp;$A75,F74)</f>
        <v>◐ 006 績效契約與變更控制</v>
      </c>
      <c r="G75" s="0" t="str">
        <f aca="false">IF(AND($B75="D01",$C75="G3"),G74&amp;IF(G74="","",CHAR(10))&amp;$A75,G74)</f>
        <v/>
      </c>
      <c r="H75" s="0" t="str">
        <f aca="false">IF(AND($B75="D01",$C75="G4"),H74&amp;IF(H74="","",CHAR(10))&amp;$A75,H74)</f>
        <v/>
      </c>
      <c r="I75" s="0" t="str">
        <f aca="false">IF(AND($B75="D01",$C75="G5"),I74&amp;IF(I74="","",CHAR(10))&amp;$A75,I74)</f>
        <v/>
      </c>
      <c r="J75" s="0" t="str">
        <f aca="false">IF(AND($B75="D01",$C75="G6"),J74&amp;IF(J74="","",CHAR(10))&amp;$A75,J74)</f>
        <v/>
      </c>
      <c r="K75" s="0" t="str">
        <f aca="false">IF(AND($B75="D02",$C75="G0"),K74&amp;IF(K74="","",CHAR(10))&amp;$A75,K74)</f>
        <v/>
      </c>
      <c r="L75" s="363" t="str">
        <f aca="false">IF(AND($B75="D02",$C75="G1"),L74&amp;IF(L74="","",CHAR(10))&amp;$A75,L74)</f>
        <v>◐ 007 人口需求與病例量預測
◐ 008 醫院定位與服務組合
◐ 009 重點專科優先化
◐ 010 病人流程與容量設計
◐ 011 轉診與區域照護網絡
◐ 012 臨床治理與責任架構</v>
      </c>
      <c r="M75" s="0" t="str">
        <f aca="false">IF(AND($B75="D02",$C75="G2"),M74&amp;IF(M74="","",CHAR(10))&amp;$A75,M74)</f>
        <v/>
      </c>
      <c r="N75" s="0" t="str">
        <f aca="false">IF(AND($B75="D02",$C75="G3"),N74&amp;IF(N74="","",CHAR(10))&amp;$A75,N74)</f>
        <v/>
      </c>
      <c r="O75" s="0" t="str">
        <f aca="false">IF(AND($B75="D02",$C75="G4"),O74&amp;IF(O74="","",CHAR(10))&amp;$A75,O74)</f>
        <v/>
      </c>
      <c r="P75" s="0" t="str">
        <f aca="false">IF(AND($B75="D02",$C75="G5"),P74&amp;IF(P74="","",CHAR(10))&amp;$A75,P74)</f>
        <v/>
      </c>
      <c r="Q75" s="0" t="str">
        <f aca="false">IF(AND($B75="D02",$C75="G6"),Q74&amp;IF(Q74="","",CHAR(10))&amp;$A75,Q74)</f>
        <v/>
      </c>
      <c r="R75" s="0" t="str">
        <f aca="false">IF(AND($B75="D03",$C75="G0"),R74&amp;IF(R74="","",CHAR(10))&amp;$A75,R74)</f>
        <v/>
      </c>
      <c r="S75" s="0" t="str">
        <f aca="false">IF(AND($B75="D03",$C75="G1"),S74&amp;IF(S74="","",CHAR(10))&amp;$A75,S74)</f>
        <v>◐ 013 場址與醫院總體規劃</v>
      </c>
      <c r="T75" s="363" t="str">
        <f aca="false">IF(AND($B75="D03",$C75="G2"),T74&amp;IF(T74="","",CHAR(10))&amp;$A75,T74)</f>
        <v>◐ 014 醫療建築功能計畫
◐ 015 感染控制與潔污動線
◐ 019 綠色與氣候韌性醫院</v>
      </c>
      <c r="U75" s="363" t="str">
        <f aca="false">IF(AND($B75="D03",$C75="G3"),U74&amp;IF(U74="","",CHAR(10))&amp;$A75,U74)</f>
        <v>● 016 電力、備援與微電網
◐ 017 醫療氣體與關鍵公用系統
◐ 018 醫療廢棄物與水資源</v>
      </c>
      <c r="V75" s="0" t="str">
        <f aca="false">IF(AND($B75="D03",$C75="G4"),V74&amp;IF(V74="","",CHAR(10))&amp;$A75,V74)</f>
        <v/>
      </c>
      <c r="W75" s="0" t="str">
        <f aca="false">IF(AND($B75="D03",$C75="G5"),W74&amp;IF(W74="","",CHAR(10))&amp;$A75,W74)</f>
        <v/>
      </c>
      <c r="X75" s="0" t="str">
        <f aca="false">IF(AND($B75="D03",$C75="G6"),X74&amp;IF(X74="","",CHAR(10))&amp;$A75,X74)</f>
        <v/>
      </c>
      <c r="Y75" s="0" t="str">
        <f aca="false">IF(AND($B75="D04",$C75="G0"),Y74&amp;IF(Y74="","",CHAR(10))&amp;$A75,Y74)</f>
        <v/>
      </c>
      <c r="Z75" s="0" t="str">
        <f aca="false">IF(AND($B75="D04",$C75="G1"),Z74&amp;IF(Z74="","",CHAR(10))&amp;$A75,Z74)</f>
        <v/>
      </c>
      <c r="AA75" s="0" t="str">
        <f aca="false">IF(AND($B75="D04",$C75="G2"),AA74&amp;IF(AA74="","",CHAR(10))&amp;$A75,AA74)</f>
        <v/>
      </c>
      <c r="AB75" s="0" t="str">
        <f aca="false">IF(AND($B75="D04",$C75="G3"),AB74&amp;IF(AB74="","",CHAR(10))&amp;$A75,AB74)</f>
        <v>● 020 IDC與邊緣運算底座</v>
      </c>
      <c r="AC75" s="363" t="str">
        <f aca="false">IF(AND($B75="D04",$C75="G4"),AC74&amp;IF(AC74="","",CHAR(10))&amp;$A75,AC74)</f>
        <v>● 021 有線無線網路與分區
◐ 022 資安營運與零信任
● 023 BMS與能源管理
● 024 RTLS與資產／人員定位
● 025 智慧病房、護理呼叫與感測
● 026 災難復原與營運持續</v>
      </c>
      <c r="AD75" s="0" t="str">
        <f aca="false">IF(AND($B75="D04",$C75="G5"),AD74&amp;IF(AD74="","",CHAR(10))&amp;$A75,AD74)</f>
        <v/>
      </c>
      <c r="AE75" s="0" t="str">
        <f aca="false">IF(AND($B75="D04",$C75="G6"),AE74&amp;IF(AE74="","",CHAR(10))&amp;$A75,AE74)</f>
        <v/>
      </c>
      <c r="AF75" s="0" t="str">
        <f aca="false">IF(AND($B75="D05",$C75="G0"),AF74&amp;IF(AF74="","",CHAR(10))&amp;$A75,AF74)</f>
        <v/>
      </c>
      <c r="AG75" s="0" t="str">
        <f aca="false">IF(AND($B75="D05",$C75="G1"),AG74&amp;IF(AG74="","",CHAR(10))&amp;$A75,AG74)</f>
        <v/>
      </c>
      <c r="AH75" s="0" t="str">
        <f aca="false">IF(AND($B75="D05",$C75="G2"),AH74&amp;IF(AH74="","",CHAR(10))&amp;$A75,AH74)</f>
        <v>◐ 027 醫材需求與設備計畫</v>
      </c>
      <c r="AI75" s="0" t="str">
        <f aca="false">IF(AND($B75="D05",$C75="G3"),AI74&amp;IF(AI74="","",CHAR(10))&amp;$A75,AI74)</f>
        <v/>
      </c>
      <c r="AJ75" s="363" t="str">
        <f aca="false">IF(AND($B75="D05",$C75="G4"),AJ74&amp;IF(AJ74="","",CHAR(10))&amp;$A75,AJ74)</f>
        <v>○ 028 影像設備、PACS與報告流程
○ 029 實驗室自動化與LIS
○ 030 手術室與重症整合
◐ 031 醫材介接與裝置身分
◐ 032 醫療工程與設備生命週期</v>
      </c>
      <c r="AK75" s="0" t="str">
        <f aca="false">IF(AND($B75="D05",$C75="G5"),AK74&amp;IF(AK74="","",CHAR(10))&amp;$A75,AK74)</f>
        <v/>
      </c>
      <c r="AL75" s="0" t="str">
        <f aca="false">IF(AND($B75="D05",$C75="G6"),AL74&amp;IF(AL74="","",CHAR(10))&amp;$A75,AL74)</f>
        <v/>
      </c>
      <c r="AM75" s="0" t="str">
        <f aca="false">IF(AND($B75="D06",$C75="G0"),AM74&amp;IF(AM74="","",CHAR(10))&amp;$A75,AM74)</f>
        <v/>
      </c>
      <c r="AN75" s="0" t="str">
        <f aca="false">IF(AND($B75="D06",$C75="G1"),AN74&amp;IF(AN74="","",CHAR(10))&amp;$A75,AN74)</f>
        <v/>
      </c>
      <c r="AO75" s="0" t="str">
        <f aca="false">IF(AND($B75="D06",$C75="G2"),AO74&amp;IF(AO74="","",CHAR(10))&amp;$A75,AO74)</f>
        <v/>
      </c>
      <c r="AP75" s="363" t="str">
        <f aca="false">IF(AND($B75="D06",$C75="G3"),AP74&amp;IF(AP74="","",CHAR(10))&amp;$A75,AP74)</f>
        <v>◐ 033 HIS／EMR核心平台
◐ 036 臨床術語與主資料治理</v>
      </c>
      <c r="AQ75" s="363" t="str">
        <f aca="false">IF(AND($B75="D06",$C75="G4"),AQ74&amp;IF(AQ74="","",CHAR(10))&amp;$A75,AQ74)</f>
        <v>◐ 034 FHIR介接與API管理
○ 035 主病人索引與身分整合
◐ 037 電子醫囑、用藥與決策支援
◐ 038 資料平台、BI與營運指揮</v>
      </c>
      <c r="AR75" s="0" t="str">
        <f aca="false">IF(AND($B75="D06",$C75="G5"),AR74&amp;IF(AR74="","",CHAR(10))&amp;$A75,AR74)</f>
        <v>○ 039 病人入口、行動服務與VNeID準備</v>
      </c>
      <c r="AS75" s="0" t="str">
        <f aca="false">IF(AND($B75="D06",$C75="G6"),AS74&amp;IF(AS74="","",CHAR(10))&amp;$A75,AS74)</f>
        <v/>
      </c>
      <c r="AT75" s="0" t="str">
        <f aca="false">IF(AND($B75="D07",$C75="G0"),AT74&amp;IF(AT74="","",CHAR(10))&amp;$A75,AT74)</f>
        <v/>
      </c>
      <c r="AU75" s="0" t="str">
        <f aca="false">IF(AND($B75="D07",$C75="G1"),AU74&amp;IF(AU74="","",CHAR(10))&amp;$A75,AU74)</f>
        <v/>
      </c>
      <c r="AV75" s="0" t="str">
        <f aca="false">IF(AND($B75="D07",$C75="G2"),AV74&amp;IF(AV74="","",CHAR(10))&amp;$A75,AV74)</f>
        <v>◐ 040 品質管理與JCI路線圖</v>
      </c>
      <c r="AW75" s="363" t="str">
        <f aca="false">IF(AND($B75="D07",$C75="G3"),AW74&amp;IF(AW74="","",CHAR(10))&amp;$A75,AW74)</f>
        <v>◐ 041 感染預防與控制制度
◐ 043 事件通報與根因改善</v>
      </c>
      <c r="AX75" s="0" t="str">
        <f aca="false">IF(AND($B75="D07",$C75="G4"),AX74&amp;IF(AX74="","",CHAR(10))&amp;$A75,AX74)</f>
        <v>◐ 042 用藥安全閉環</v>
      </c>
      <c r="AY75" s="0" t="str">
        <f aca="false">IF(AND($B75="D07",$C75="G5"),AY74&amp;IF(AY74="","",CHAR(10))&amp;$A75,AY74)</f>
        <v>◐ 044 開院臨床安全驗證</v>
      </c>
      <c r="AZ75" s="0" t="str">
        <f aca="false">IF(AND($B75="D07",$C75="G6"),AZ74&amp;IF(AZ74="","",CHAR(10))&amp;$A75,AZ74)</f>
        <v/>
      </c>
      <c r="BA75" s="0" t="str">
        <f aca="false">IF(AND($B75="D08",$C75="G0"),BA74&amp;IF(BA74="","",CHAR(10))&amp;$A75,BA74)</f>
        <v/>
      </c>
      <c r="BB75" s="0" t="str">
        <f aca="false">IF(AND($B75="D08",$C75="G1"),BB74&amp;IF(BB74="","",CHAR(10))&amp;$A75,BB74)</f>
        <v/>
      </c>
      <c r="BC75" s="0" t="str">
        <f aca="false">IF(AND($B75="D08",$C75="G2"),BC74&amp;IF(BC74="","",CHAR(10))&amp;$A75,BC74)</f>
        <v>○ 045 人力與輪班模型</v>
      </c>
      <c r="BD75" s="0" t="str">
        <f aca="false">IF(AND($B75="D08",$C75="G3"),BD74&amp;IF(BD74="","",CHAR(10))&amp;$A75,BD74)</f>
        <v>◐ 046 職能矩陣與授權</v>
      </c>
      <c r="BE75" s="363" t="str">
        <f aca="false">IF(AND($B75="D08",$C75="G4"),BE74&amp;IF(BE74="","",CHAR(10))&amp;$A75,BE74)</f>
        <v>◐ 047 種子教師與技術移轉
◐ 049 變革管理與使用者採納</v>
      </c>
      <c r="BF75" s="0" t="str">
        <f aca="false">IF(AND($B75="D08",$C75="G5"),BF74&amp;IF(BF74="","",CHAR(10))&amp;$A75,BF74)</f>
        <v>◐ 048 模擬中心與開院演練</v>
      </c>
      <c r="BG75" s="0" t="str">
        <f aca="false">IF(AND($B75="D08",$C75="G6"),BG74&amp;IF(BG74="","",CHAR(10))&amp;$A75,BG74)</f>
        <v/>
      </c>
      <c r="BH75" s="0" t="str">
        <f aca="false">IF(AND($B75="D09",$C75="G0"),BH74&amp;IF(BH74="","",CHAR(10))&amp;$A75,BH74)</f>
        <v/>
      </c>
      <c r="BI75" s="0" t="str">
        <f aca="false">IF(AND($B75="D09",$C75="G1"),BI74&amp;IF(BI74="","",CHAR(10))&amp;$A75,BI74)</f>
        <v/>
      </c>
      <c r="BJ75" s="0" t="str">
        <f aca="false">IF(AND($B75="D09",$C75="G2"),BJ74&amp;IF(BJ74="","",CHAR(10))&amp;$A75,BJ74)</f>
        <v>◐ 050 整合採購與供應商治理</v>
      </c>
      <c r="BK75" s="0" t="str">
        <f aca="false">IF(AND($B75="D09",$C75="G3"),BK74&amp;IF(BK74="","",CHAR(10))&amp;$A75,BK74)</f>
        <v/>
      </c>
      <c r="BL75" s="363" t="str">
        <f aca="false">IF(AND($B75="D09",$C75="G4"),BL74&amp;IF(BL74="","",CHAR(10))&amp;$A75,BL74)</f>
        <v>◐ 051 藥品耗材與SPD物流
◐ 052 冷鏈與特殊物料
● 053 CMMS與設施維運</v>
      </c>
      <c r="BM75" s="0" t="str">
        <f aca="false">IF(AND($B75="D09",$C75="G5"),BM74&amp;IF(BM74="","",CHAR(10))&amp;$A75,BM74)</f>
        <v>◐ 054 在地備品、維修與汰換</v>
      </c>
      <c r="BN75" s="0" t="str">
        <f aca="false">IF(AND($B75="D09",$C75="G6"),BN74&amp;IF(BN74="","",CHAR(10))&amp;$A75,BN74)</f>
        <v/>
      </c>
      <c r="BO75" s="0" t="str">
        <f aca="false">IF(AND($B75="D10",$C75="G0"),BO74&amp;IF(BO74="","",CHAR(10))&amp;$A75,BO74)</f>
        <v/>
      </c>
      <c r="BP75" s="0" t="str">
        <f aca="false">IF(AND($B75="D10",$C75="G1"),BP74&amp;IF(BP74="","",CHAR(10))&amp;$A75,BP74)</f>
        <v>◐ 055 全生命週期成本模型</v>
      </c>
      <c r="BQ75" s="0" t="str">
        <f aca="false">IF(AND($B75="D10",$C75="G2"),BQ74&amp;IF(BQ74="","",CHAR(10))&amp;$A75,BQ74)</f>
        <v>◐ 059 PPP／JV財務與風險分配</v>
      </c>
      <c r="BR75" s="0" t="str">
        <f aca="false">IF(AND($B75="D10",$C75="G3"),BR74&amp;IF(BR74="","",CHAR(10))&amp;$A75,BR74)</f>
        <v/>
      </c>
      <c r="BS75" s="363" t="str">
        <f aca="false">IF(AND($B75="D10",$C75="G4"),BS74&amp;IF(BS74="","",CHAR(10))&amp;$A75,BS74)</f>
        <v>○ 056 健保申報與數位理賠
○ 057 現金流、支付與收入週期</v>
      </c>
      <c r="BT75" s="0" t="str">
        <f aca="false">IF(AND($B75="D10",$C75="G5"),BT74&amp;IF(BT74="","",CHAR(10))&amp;$A75,BT74)</f>
        <v>○ 058 國際醫療與高價值服務</v>
      </c>
      <c r="BU75" s="0" t="str">
        <f aca="false">IF(AND($B75="D10",$C75="G6"),BU74&amp;IF(BU74="","",CHAR(10))&amp;$A75,BU74)</f>
        <v>◐ 060 效益實現與複製藍圖</v>
      </c>
      <c r="BX75" s="0" t="str">
        <f aca="false">IF(AND(03_能力總表_Master!$A75&lt;&gt;"",LEFT(03_能力總表_Master!$H75,2)="缺口"),MAX($BX$4:BX74)+1,"")</f>
        <v/>
      </c>
      <c r="BY75" s="0" t="str">
        <f aca="false">IF(AND(03_能力總表_Master!$A75&lt;&gt;"",03_能力總表_Master!$J75=12_夥伴視角_PartnerView!$C$4),MAX($BY$4:BY74)+1,"")</f>
        <v/>
      </c>
      <c r="CC75" s="0" t="str">
        <f aca="false">IF(AND(03_能力總表_Master!$A75&lt;&gt;"",IFERROR(INDEX(16_能力商機矩陣_CapOppMap!$D75:$CO75,MATCH(LEFT(17_商機作戰卡_OppView!$C$4,6),16_能力商機矩陣_CapOppMap!$D$4:$CO$4,0)),"")="✓"),MAX($CC$4:CC74)+1,"")</f>
        <v/>
      </c>
    </row>
    <row r="76" customFormat="false" ht="95.5" hidden="false" customHeight="false" outlineLevel="0" collapsed="false">
      <c r="A76" s="0" t="str">
        <f aca="false">IF(03_能力總表_Master!$A76="","",IF(LEFT(03_能力總表_Master!$H76,2)="群晶","● ",IF(ISNUMBER(SEARCH("已確認",03_能力總表_Master!$H76)),"◆ ",IF(ISNUMBER(SEARCH("缺口",03_能力總表_Master!$H76)),"○ ","◐ ")))&amp;RIGHT(03_能力總表_Master!$A76,3)&amp;" "&amp;03_能力總表_Master!$E76)</f>
        <v/>
      </c>
      <c r="B76" s="0" t="str">
        <f aca="false">IF(03_能力總表_Master!$A76="","",LEFT(03_能力總表_Master!$B76,3))</f>
        <v/>
      </c>
      <c r="C76" s="0" t="str">
        <f aca="false">IF(03_能力總表_Master!$A76="","",03_能力總表_Master!$C76)</f>
        <v/>
      </c>
      <c r="D76" s="363" t="str">
        <f aca="false">IF(AND($B76="D01",$C76="G0"),D75&amp;IF(D75="","",CHAR(10))&amp;$A76,D75)</f>
        <v>◐ 001 政府授權與計畫章程
◐ 002 利害關係人與權力地圖
◐ 005 聯盟治理與利益衝突</v>
      </c>
      <c r="E76" s="363" t="str">
        <f aca="false">IF(AND($B76="D01",$C76="G1"),E75&amp;IF(E75="","",CHAR(10))&amp;$A76,E75)</f>
        <v>◐ 003 交易模式選擇
◐ 004 法規與執照路徑</v>
      </c>
      <c r="F76" s="0" t="str">
        <f aca="false">IF(AND($B76="D01",$C76="G2"),F75&amp;IF(F75="","",CHAR(10))&amp;$A76,F75)</f>
        <v>◐ 006 績效契約與變更控制</v>
      </c>
      <c r="G76" s="0" t="str">
        <f aca="false">IF(AND($B76="D01",$C76="G3"),G75&amp;IF(G75="","",CHAR(10))&amp;$A76,G75)</f>
        <v/>
      </c>
      <c r="H76" s="0" t="str">
        <f aca="false">IF(AND($B76="D01",$C76="G4"),H75&amp;IF(H75="","",CHAR(10))&amp;$A76,H75)</f>
        <v/>
      </c>
      <c r="I76" s="0" t="str">
        <f aca="false">IF(AND($B76="D01",$C76="G5"),I75&amp;IF(I75="","",CHAR(10))&amp;$A76,I75)</f>
        <v/>
      </c>
      <c r="J76" s="0" t="str">
        <f aca="false">IF(AND($B76="D01",$C76="G6"),J75&amp;IF(J75="","",CHAR(10))&amp;$A76,J75)</f>
        <v/>
      </c>
      <c r="K76" s="0" t="str">
        <f aca="false">IF(AND($B76="D02",$C76="G0"),K75&amp;IF(K75="","",CHAR(10))&amp;$A76,K75)</f>
        <v/>
      </c>
      <c r="L76" s="363" t="str">
        <f aca="false">IF(AND($B76="D02",$C76="G1"),L75&amp;IF(L75="","",CHAR(10))&amp;$A76,L75)</f>
        <v>◐ 007 人口需求與病例量預測
◐ 008 醫院定位與服務組合
◐ 009 重點專科優先化
◐ 010 病人流程與容量設計
◐ 011 轉診與區域照護網絡
◐ 012 臨床治理與責任架構</v>
      </c>
      <c r="M76" s="0" t="str">
        <f aca="false">IF(AND($B76="D02",$C76="G2"),M75&amp;IF(M75="","",CHAR(10))&amp;$A76,M75)</f>
        <v/>
      </c>
      <c r="N76" s="0" t="str">
        <f aca="false">IF(AND($B76="D02",$C76="G3"),N75&amp;IF(N75="","",CHAR(10))&amp;$A76,N75)</f>
        <v/>
      </c>
      <c r="O76" s="0" t="str">
        <f aca="false">IF(AND($B76="D02",$C76="G4"),O75&amp;IF(O75="","",CHAR(10))&amp;$A76,O75)</f>
        <v/>
      </c>
      <c r="P76" s="0" t="str">
        <f aca="false">IF(AND($B76="D02",$C76="G5"),P75&amp;IF(P75="","",CHAR(10))&amp;$A76,P75)</f>
        <v/>
      </c>
      <c r="Q76" s="0" t="str">
        <f aca="false">IF(AND($B76="D02",$C76="G6"),Q75&amp;IF(Q75="","",CHAR(10))&amp;$A76,Q75)</f>
        <v/>
      </c>
      <c r="R76" s="0" t="str">
        <f aca="false">IF(AND($B76="D03",$C76="G0"),R75&amp;IF(R75="","",CHAR(10))&amp;$A76,R75)</f>
        <v/>
      </c>
      <c r="S76" s="0" t="str">
        <f aca="false">IF(AND($B76="D03",$C76="G1"),S75&amp;IF(S75="","",CHAR(10))&amp;$A76,S75)</f>
        <v>◐ 013 場址與醫院總體規劃</v>
      </c>
      <c r="T76" s="363" t="str">
        <f aca="false">IF(AND($B76="D03",$C76="G2"),T75&amp;IF(T75="","",CHAR(10))&amp;$A76,T75)</f>
        <v>◐ 014 醫療建築功能計畫
◐ 015 感染控制與潔污動線
◐ 019 綠色與氣候韌性醫院</v>
      </c>
      <c r="U76" s="363" t="str">
        <f aca="false">IF(AND($B76="D03",$C76="G3"),U75&amp;IF(U75="","",CHAR(10))&amp;$A76,U75)</f>
        <v>● 016 電力、備援與微電網
◐ 017 醫療氣體與關鍵公用系統
◐ 018 醫療廢棄物與水資源</v>
      </c>
      <c r="V76" s="0" t="str">
        <f aca="false">IF(AND($B76="D03",$C76="G4"),V75&amp;IF(V75="","",CHAR(10))&amp;$A76,V75)</f>
        <v/>
      </c>
      <c r="W76" s="0" t="str">
        <f aca="false">IF(AND($B76="D03",$C76="G5"),W75&amp;IF(W75="","",CHAR(10))&amp;$A76,W75)</f>
        <v/>
      </c>
      <c r="X76" s="0" t="str">
        <f aca="false">IF(AND($B76="D03",$C76="G6"),X75&amp;IF(X75="","",CHAR(10))&amp;$A76,X75)</f>
        <v/>
      </c>
      <c r="Y76" s="0" t="str">
        <f aca="false">IF(AND($B76="D04",$C76="G0"),Y75&amp;IF(Y75="","",CHAR(10))&amp;$A76,Y75)</f>
        <v/>
      </c>
      <c r="Z76" s="0" t="str">
        <f aca="false">IF(AND($B76="D04",$C76="G1"),Z75&amp;IF(Z75="","",CHAR(10))&amp;$A76,Z75)</f>
        <v/>
      </c>
      <c r="AA76" s="0" t="str">
        <f aca="false">IF(AND($B76="D04",$C76="G2"),AA75&amp;IF(AA75="","",CHAR(10))&amp;$A76,AA75)</f>
        <v/>
      </c>
      <c r="AB76" s="0" t="str">
        <f aca="false">IF(AND($B76="D04",$C76="G3"),AB75&amp;IF(AB75="","",CHAR(10))&amp;$A76,AB75)</f>
        <v>● 020 IDC與邊緣運算底座</v>
      </c>
      <c r="AC76" s="363" t="str">
        <f aca="false">IF(AND($B76="D04",$C76="G4"),AC75&amp;IF(AC75="","",CHAR(10))&amp;$A76,AC75)</f>
        <v>● 021 有線無線網路與分區
◐ 022 資安營運與零信任
● 023 BMS與能源管理
● 024 RTLS與資產／人員定位
● 025 智慧病房、護理呼叫與感測
● 026 災難復原與營運持續</v>
      </c>
      <c r="AD76" s="0" t="str">
        <f aca="false">IF(AND($B76="D04",$C76="G5"),AD75&amp;IF(AD75="","",CHAR(10))&amp;$A76,AD75)</f>
        <v/>
      </c>
      <c r="AE76" s="0" t="str">
        <f aca="false">IF(AND($B76="D04",$C76="G6"),AE75&amp;IF(AE75="","",CHAR(10))&amp;$A76,AE75)</f>
        <v/>
      </c>
      <c r="AF76" s="0" t="str">
        <f aca="false">IF(AND($B76="D05",$C76="G0"),AF75&amp;IF(AF75="","",CHAR(10))&amp;$A76,AF75)</f>
        <v/>
      </c>
      <c r="AG76" s="0" t="str">
        <f aca="false">IF(AND($B76="D05",$C76="G1"),AG75&amp;IF(AG75="","",CHAR(10))&amp;$A76,AG75)</f>
        <v/>
      </c>
      <c r="AH76" s="0" t="str">
        <f aca="false">IF(AND($B76="D05",$C76="G2"),AH75&amp;IF(AH75="","",CHAR(10))&amp;$A76,AH75)</f>
        <v>◐ 027 醫材需求與設備計畫</v>
      </c>
      <c r="AI76" s="0" t="str">
        <f aca="false">IF(AND($B76="D05",$C76="G3"),AI75&amp;IF(AI75="","",CHAR(10))&amp;$A76,AI75)</f>
        <v/>
      </c>
      <c r="AJ76" s="363" t="str">
        <f aca="false">IF(AND($B76="D05",$C76="G4"),AJ75&amp;IF(AJ75="","",CHAR(10))&amp;$A76,AJ75)</f>
        <v>○ 028 影像設備、PACS與報告流程
○ 029 實驗室自動化與LIS
○ 030 手術室與重症整合
◐ 031 醫材介接與裝置身分
◐ 032 醫療工程與設備生命週期</v>
      </c>
      <c r="AK76" s="0" t="str">
        <f aca="false">IF(AND($B76="D05",$C76="G5"),AK75&amp;IF(AK75="","",CHAR(10))&amp;$A76,AK75)</f>
        <v/>
      </c>
      <c r="AL76" s="0" t="str">
        <f aca="false">IF(AND($B76="D05",$C76="G6"),AL75&amp;IF(AL75="","",CHAR(10))&amp;$A76,AL75)</f>
        <v/>
      </c>
      <c r="AM76" s="0" t="str">
        <f aca="false">IF(AND($B76="D06",$C76="G0"),AM75&amp;IF(AM75="","",CHAR(10))&amp;$A76,AM75)</f>
        <v/>
      </c>
      <c r="AN76" s="0" t="str">
        <f aca="false">IF(AND($B76="D06",$C76="G1"),AN75&amp;IF(AN75="","",CHAR(10))&amp;$A76,AN75)</f>
        <v/>
      </c>
      <c r="AO76" s="0" t="str">
        <f aca="false">IF(AND($B76="D06",$C76="G2"),AO75&amp;IF(AO75="","",CHAR(10))&amp;$A76,AO75)</f>
        <v/>
      </c>
      <c r="AP76" s="363" t="str">
        <f aca="false">IF(AND($B76="D06",$C76="G3"),AP75&amp;IF(AP75="","",CHAR(10))&amp;$A76,AP75)</f>
        <v>◐ 033 HIS／EMR核心平台
◐ 036 臨床術語與主資料治理</v>
      </c>
      <c r="AQ76" s="363" t="str">
        <f aca="false">IF(AND($B76="D06",$C76="G4"),AQ75&amp;IF(AQ75="","",CHAR(10))&amp;$A76,AQ75)</f>
        <v>◐ 034 FHIR介接與API管理
○ 035 主病人索引與身分整合
◐ 037 電子醫囑、用藥與決策支援
◐ 038 資料平台、BI與營運指揮</v>
      </c>
      <c r="AR76" s="0" t="str">
        <f aca="false">IF(AND($B76="D06",$C76="G5"),AR75&amp;IF(AR75="","",CHAR(10))&amp;$A76,AR75)</f>
        <v>○ 039 病人入口、行動服務與VNeID準備</v>
      </c>
      <c r="AS76" s="0" t="str">
        <f aca="false">IF(AND($B76="D06",$C76="G6"),AS75&amp;IF(AS75="","",CHAR(10))&amp;$A76,AS75)</f>
        <v/>
      </c>
      <c r="AT76" s="0" t="str">
        <f aca="false">IF(AND($B76="D07",$C76="G0"),AT75&amp;IF(AT75="","",CHAR(10))&amp;$A76,AT75)</f>
        <v/>
      </c>
      <c r="AU76" s="0" t="str">
        <f aca="false">IF(AND($B76="D07",$C76="G1"),AU75&amp;IF(AU75="","",CHAR(10))&amp;$A76,AU75)</f>
        <v/>
      </c>
      <c r="AV76" s="0" t="str">
        <f aca="false">IF(AND($B76="D07",$C76="G2"),AV75&amp;IF(AV75="","",CHAR(10))&amp;$A76,AV75)</f>
        <v>◐ 040 品質管理與JCI路線圖</v>
      </c>
      <c r="AW76" s="363" t="str">
        <f aca="false">IF(AND($B76="D07",$C76="G3"),AW75&amp;IF(AW75="","",CHAR(10))&amp;$A76,AW75)</f>
        <v>◐ 041 感染預防與控制制度
◐ 043 事件通報與根因改善</v>
      </c>
      <c r="AX76" s="0" t="str">
        <f aca="false">IF(AND($B76="D07",$C76="G4"),AX75&amp;IF(AX75="","",CHAR(10))&amp;$A76,AX75)</f>
        <v>◐ 042 用藥安全閉環</v>
      </c>
      <c r="AY76" s="0" t="str">
        <f aca="false">IF(AND($B76="D07",$C76="G5"),AY75&amp;IF(AY75="","",CHAR(10))&amp;$A76,AY75)</f>
        <v>◐ 044 開院臨床安全驗證</v>
      </c>
      <c r="AZ76" s="0" t="str">
        <f aca="false">IF(AND($B76="D07",$C76="G6"),AZ75&amp;IF(AZ75="","",CHAR(10))&amp;$A76,AZ75)</f>
        <v/>
      </c>
      <c r="BA76" s="0" t="str">
        <f aca="false">IF(AND($B76="D08",$C76="G0"),BA75&amp;IF(BA75="","",CHAR(10))&amp;$A76,BA75)</f>
        <v/>
      </c>
      <c r="BB76" s="0" t="str">
        <f aca="false">IF(AND($B76="D08",$C76="G1"),BB75&amp;IF(BB75="","",CHAR(10))&amp;$A76,BB75)</f>
        <v/>
      </c>
      <c r="BC76" s="0" t="str">
        <f aca="false">IF(AND($B76="D08",$C76="G2"),BC75&amp;IF(BC75="","",CHAR(10))&amp;$A76,BC75)</f>
        <v>○ 045 人力與輪班模型</v>
      </c>
      <c r="BD76" s="0" t="str">
        <f aca="false">IF(AND($B76="D08",$C76="G3"),BD75&amp;IF(BD75="","",CHAR(10))&amp;$A76,BD75)</f>
        <v>◐ 046 職能矩陣與授權</v>
      </c>
      <c r="BE76" s="363" t="str">
        <f aca="false">IF(AND($B76="D08",$C76="G4"),BE75&amp;IF(BE75="","",CHAR(10))&amp;$A76,BE75)</f>
        <v>◐ 047 種子教師與技術移轉
◐ 049 變革管理與使用者採納</v>
      </c>
      <c r="BF76" s="0" t="str">
        <f aca="false">IF(AND($B76="D08",$C76="G5"),BF75&amp;IF(BF75="","",CHAR(10))&amp;$A76,BF75)</f>
        <v>◐ 048 模擬中心與開院演練</v>
      </c>
      <c r="BG76" s="0" t="str">
        <f aca="false">IF(AND($B76="D08",$C76="G6"),BG75&amp;IF(BG75="","",CHAR(10))&amp;$A76,BG75)</f>
        <v/>
      </c>
      <c r="BH76" s="0" t="str">
        <f aca="false">IF(AND($B76="D09",$C76="G0"),BH75&amp;IF(BH75="","",CHAR(10))&amp;$A76,BH75)</f>
        <v/>
      </c>
      <c r="BI76" s="0" t="str">
        <f aca="false">IF(AND($B76="D09",$C76="G1"),BI75&amp;IF(BI75="","",CHAR(10))&amp;$A76,BI75)</f>
        <v/>
      </c>
      <c r="BJ76" s="0" t="str">
        <f aca="false">IF(AND($B76="D09",$C76="G2"),BJ75&amp;IF(BJ75="","",CHAR(10))&amp;$A76,BJ75)</f>
        <v>◐ 050 整合採購與供應商治理</v>
      </c>
      <c r="BK76" s="0" t="str">
        <f aca="false">IF(AND($B76="D09",$C76="G3"),BK75&amp;IF(BK75="","",CHAR(10))&amp;$A76,BK75)</f>
        <v/>
      </c>
      <c r="BL76" s="363" t="str">
        <f aca="false">IF(AND($B76="D09",$C76="G4"),BL75&amp;IF(BL75="","",CHAR(10))&amp;$A76,BL75)</f>
        <v>◐ 051 藥品耗材與SPD物流
◐ 052 冷鏈與特殊物料
● 053 CMMS與設施維運</v>
      </c>
      <c r="BM76" s="0" t="str">
        <f aca="false">IF(AND($B76="D09",$C76="G5"),BM75&amp;IF(BM75="","",CHAR(10))&amp;$A76,BM75)</f>
        <v>◐ 054 在地備品、維修與汰換</v>
      </c>
      <c r="BN76" s="0" t="str">
        <f aca="false">IF(AND($B76="D09",$C76="G6"),BN75&amp;IF(BN75="","",CHAR(10))&amp;$A76,BN75)</f>
        <v/>
      </c>
      <c r="BO76" s="0" t="str">
        <f aca="false">IF(AND($B76="D10",$C76="G0"),BO75&amp;IF(BO75="","",CHAR(10))&amp;$A76,BO75)</f>
        <v/>
      </c>
      <c r="BP76" s="0" t="str">
        <f aca="false">IF(AND($B76="D10",$C76="G1"),BP75&amp;IF(BP75="","",CHAR(10))&amp;$A76,BP75)</f>
        <v>◐ 055 全生命週期成本模型</v>
      </c>
      <c r="BQ76" s="0" t="str">
        <f aca="false">IF(AND($B76="D10",$C76="G2"),BQ75&amp;IF(BQ75="","",CHAR(10))&amp;$A76,BQ75)</f>
        <v>◐ 059 PPP／JV財務與風險分配</v>
      </c>
      <c r="BR76" s="0" t="str">
        <f aca="false">IF(AND($B76="D10",$C76="G3"),BR75&amp;IF(BR75="","",CHAR(10))&amp;$A76,BR75)</f>
        <v/>
      </c>
      <c r="BS76" s="363" t="str">
        <f aca="false">IF(AND($B76="D10",$C76="G4"),BS75&amp;IF(BS75="","",CHAR(10))&amp;$A76,BS75)</f>
        <v>○ 056 健保申報與數位理賠
○ 057 現金流、支付與收入週期</v>
      </c>
      <c r="BT76" s="0" t="str">
        <f aca="false">IF(AND($B76="D10",$C76="G5"),BT75&amp;IF(BT75="","",CHAR(10))&amp;$A76,BT75)</f>
        <v>○ 058 國際醫療與高價值服務</v>
      </c>
      <c r="BU76" s="0" t="str">
        <f aca="false">IF(AND($B76="D10",$C76="G6"),BU75&amp;IF(BU75="","",CHAR(10))&amp;$A76,BU75)</f>
        <v>◐ 060 效益實現與複製藍圖</v>
      </c>
      <c r="BX76" s="0" t="str">
        <f aca="false">IF(AND(03_能力總表_Master!$A76&lt;&gt;"",LEFT(03_能力總表_Master!$H76,2)="缺口"),MAX($BX$4:BX75)+1,"")</f>
        <v/>
      </c>
      <c r="BY76" s="0" t="str">
        <f aca="false">IF(AND(03_能力總表_Master!$A76&lt;&gt;"",03_能力總表_Master!$J76=12_夥伴視角_PartnerView!$C$4),MAX($BY$4:BY75)+1,"")</f>
        <v/>
      </c>
      <c r="CC76" s="0" t="str">
        <f aca="false">IF(AND(03_能力總表_Master!$A76&lt;&gt;"",IFERROR(INDEX(16_能力商機矩陣_CapOppMap!$D76:$CO76,MATCH(LEFT(17_商機作戰卡_OppView!$C$4,6),16_能力商機矩陣_CapOppMap!$D$4:$CO$4,0)),"")="✓"),MAX($CC$4:CC75)+1,"")</f>
        <v/>
      </c>
    </row>
    <row r="77" customFormat="false" ht="95.5" hidden="false" customHeight="false" outlineLevel="0" collapsed="false">
      <c r="A77" s="0" t="str">
        <f aca="false">IF(03_能力總表_Master!$A77="","",IF(LEFT(03_能力總表_Master!$H77,2)="群晶","● ",IF(ISNUMBER(SEARCH("已確認",03_能力總表_Master!$H77)),"◆ ",IF(ISNUMBER(SEARCH("缺口",03_能力總表_Master!$H77)),"○ ","◐ ")))&amp;RIGHT(03_能力總表_Master!$A77,3)&amp;" "&amp;03_能力總表_Master!$E77)</f>
        <v/>
      </c>
      <c r="B77" s="0" t="str">
        <f aca="false">IF(03_能力總表_Master!$A77="","",LEFT(03_能力總表_Master!$B77,3))</f>
        <v/>
      </c>
      <c r="C77" s="0" t="str">
        <f aca="false">IF(03_能力總表_Master!$A77="","",03_能力總表_Master!$C77)</f>
        <v/>
      </c>
      <c r="D77" s="363" t="str">
        <f aca="false">IF(AND($B77="D01",$C77="G0"),D76&amp;IF(D76="","",CHAR(10))&amp;$A77,D76)</f>
        <v>◐ 001 政府授權與計畫章程
◐ 002 利害關係人與權力地圖
◐ 005 聯盟治理與利益衝突</v>
      </c>
      <c r="E77" s="363" t="str">
        <f aca="false">IF(AND($B77="D01",$C77="G1"),E76&amp;IF(E76="","",CHAR(10))&amp;$A77,E76)</f>
        <v>◐ 003 交易模式選擇
◐ 004 法規與執照路徑</v>
      </c>
      <c r="F77" s="0" t="str">
        <f aca="false">IF(AND($B77="D01",$C77="G2"),F76&amp;IF(F76="","",CHAR(10))&amp;$A77,F76)</f>
        <v>◐ 006 績效契約與變更控制</v>
      </c>
      <c r="G77" s="0" t="str">
        <f aca="false">IF(AND($B77="D01",$C77="G3"),G76&amp;IF(G76="","",CHAR(10))&amp;$A77,G76)</f>
        <v/>
      </c>
      <c r="H77" s="0" t="str">
        <f aca="false">IF(AND($B77="D01",$C77="G4"),H76&amp;IF(H76="","",CHAR(10))&amp;$A77,H76)</f>
        <v/>
      </c>
      <c r="I77" s="0" t="str">
        <f aca="false">IF(AND($B77="D01",$C77="G5"),I76&amp;IF(I76="","",CHAR(10))&amp;$A77,I76)</f>
        <v/>
      </c>
      <c r="J77" s="0" t="str">
        <f aca="false">IF(AND($B77="D01",$C77="G6"),J76&amp;IF(J76="","",CHAR(10))&amp;$A77,J76)</f>
        <v/>
      </c>
      <c r="K77" s="0" t="str">
        <f aca="false">IF(AND($B77="D02",$C77="G0"),K76&amp;IF(K76="","",CHAR(10))&amp;$A77,K76)</f>
        <v/>
      </c>
      <c r="L77" s="363" t="str">
        <f aca="false">IF(AND($B77="D02",$C77="G1"),L76&amp;IF(L76="","",CHAR(10))&amp;$A77,L76)</f>
        <v>◐ 007 人口需求與病例量預測
◐ 008 醫院定位與服務組合
◐ 009 重點專科優先化
◐ 010 病人流程與容量設計
◐ 011 轉診與區域照護網絡
◐ 012 臨床治理與責任架構</v>
      </c>
      <c r="M77" s="0" t="str">
        <f aca="false">IF(AND($B77="D02",$C77="G2"),M76&amp;IF(M76="","",CHAR(10))&amp;$A77,M76)</f>
        <v/>
      </c>
      <c r="N77" s="0" t="str">
        <f aca="false">IF(AND($B77="D02",$C77="G3"),N76&amp;IF(N76="","",CHAR(10))&amp;$A77,N76)</f>
        <v/>
      </c>
      <c r="O77" s="0" t="str">
        <f aca="false">IF(AND($B77="D02",$C77="G4"),O76&amp;IF(O76="","",CHAR(10))&amp;$A77,O76)</f>
        <v/>
      </c>
      <c r="P77" s="0" t="str">
        <f aca="false">IF(AND($B77="D02",$C77="G5"),P76&amp;IF(P76="","",CHAR(10))&amp;$A77,P76)</f>
        <v/>
      </c>
      <c r="Q77" s="0" t="str">
        <f aca="false">IF(AND($B77="D02",$C77="G6"),Q76&amp;IF(Q76="","",CHAR(10))&amp;$A77,Q76)</f>
        <v/>
      </c>
      <c r="R77" s="0" t="str">
        <f aca="false">IF(AND($B77="D03",$C77="G0"),R76&amp;IF(R76="","",CHAR(10))&amp;$A77,R76)</f>
        <v/>
      </c>
      <c r="S77" s="0" t="str">
        <f aca="false">IF(AND($B77="D03",$C77="G1"),S76&amp;IF(S76="","",CHAR(10))&amp;$A77,S76)</f>
        <v>◐ 013 場址與醫院總體規劃</v>
      </c>
      <c r="T77" s="363" t="str">
        <f aca="false">IF(AND($B77="D03",$C77="G2"),T76&amp;IF(T76="","",CHAR(10))&amp;$A77,T76)</f>
        <v>◐ 014 醫療建築功能計畫
◐ 015 感染控制與潔污動線
◐ 019 綠色與氣候韌性醫院</v>
      </c>
      <c r="U77" s="363" t="str">
        <f aca="false">IF(AND($B77="D03",$C77="G3"),U76&amp;IF(U76="","",CHAR(10))&amp;$A77,U76)</f>
        <v>● 016 電力、備援與微電網
◐ 017 醫療氣體與關鍵公用系統
◐ 018 醫療廢棄物與水資源</v>
      </c>
      <c r="V77" s="0" t="str">
        <f aca="false">IF(AND($B77="D03",$C77="G4"),V76&amp;IF(V76="","",CHAR(10))&amp;$A77,V76)</f>
        <v/>
      </c>
      <c r="W77" s="0" t="str">
        <f aca="false">IF(AND($B77="D03",$C77="G5"),W76&amp;IF(W76="","",CHAR(10))&amp;$A77,W76)</f>
        <v/>
      </c>
      <c r="X77" s="0" t="str">
        <f aca="false">IF(AND($B77="D03",$C77="G6"),X76&amp;IF(X76="","",CHAR(10))&amp;$A77,X76)</f>
        <v/>
      </c>
      <c r="Y77" s="0" t="str">
        <f aca="false">IF(AND($B77="D04",$C77="G0"),Y76&amp;IF(Y76="","",CHAR(10))&amp;$A77,Y76)</f>
        <v/>
      </c>
      <c r="Z77" s="0" t="str">
        <f aca="false">IF(AND($B77="D04",$C77="G1"),Z76&amp;IF(Z76="","",CHAR(10))&amp;$A77,Z76)</f>
        <v/>
      </c>
      <c r="AA77" s="0" t="str">
        <f aca="false">IF(AND($B77="D04",$C77="G2"),AA76&amp;IF(AA76="","",CHAR(10))&amp;$A77,AA76)</f>
        <v/>
      </c>
      <c r="AB77" s="0" t="str">
        <f aca="false">IF(AND($B77="D04",$C77="G3"),AB76&amp;IF(AB76="","",CHAR(10))&amp;$A77,AB76)</f>
        <v>● 020 IDC與邊緣運算底座</v>
      </c>
      <c r="AC77" s="363" t="str">
        <f aca="false">IF(AND($B77="D04",$C77="G4"),AC76&amp;IF(AC76="","",CHAR(10))&amp;$A77,AC76)</f>
        <v>● 021 有線無線網路與分區
◐ 022 資安營運與零信任
● 023 BMS與能源管理
● 024 RTLS與資產／人員定位
● 025 智慧病房、護理呼叫與感測
● 026 災難復原與營運持續</v>
      </c>
      <c r="AD77" s="0" t="str">
        <f aca="false">IF(AND($B77="D04",$C77="G5"),AD76&amp;IF(AD76="","",CHAR(10))&amp;$A77,AD76)</f>
        <v/>
      </c>
      <c r="AE77" s="0" t="str">
        <f aca="false">IF(AND($B77="D04",$C77="G6"),AE76&amp;IF(AE76="","",CHAR(10))&amp;$A77,AE76)</f>
        <v/>
      </c>
      <c r="AF77" s="0" t="str">
        <f aca="false">IF(AND($B77="D05",$C77="G0"),AF76&amp;IF(AF76="","",CHAR(10))&amp;$A77,AF76)</f>
        <v/>
      </c>
      <c r="AG77" s="0" t="str">
        <f aca="false">IF(AND($B77="D05",$C77="G1"),AG76&amp;IF(AG76="","",CHAR(10))&amp;$A77,AG76)</f>
        <v/>
      </c>
      <c r="AH77" s="0" t="str">
        <f aca="false">IF(AND($B77="D05",$C77="G2"),AH76&amp;IF(AH76="","",CHAR(10))&amp;$A77,AH76)</f>
        <v>◐ 027 醫材需求與設備計畫</v>
      </c>
      <c r="AI77" s="0" t="str">
        <f aca="false">IF(AND($B77="D05",$C77="G3"),AI76&amp;IF(AI76="","",CHAR(10))&amp;$A77,AI76)</f>
        <v/>
      </c>
      <c r="AJ77" s="363" t="str">
        <f aca="false">IF(AND($B77="D05",$C77="G4"),AJ76&amp;IF(AJ76="","",CHAR(10))&amp;$A77,AJ76)</f>
        <v>○ 028 影像設備、PACS與報告流程
○ 029 實驗室自動化與LIS
○ 030 手術室與重症整合
◐ 031 醫材介接與裝置身分
◐ 032 醫療工程與設備生命週期</v>
      </c>
      <c r="AK77" s="0" t="str">
        <f aca="false">IF(AND($B77="D05",$C77="G5"),AK76&amp;IF(AK76="","",CHAR(10))&amp;$A77,AK76)</f>
        <v/>
      </c>
      <c r="AL77" s="0" t="str">
        <f aca="false">IF(AND($B77="D05",$C77="G6"),AL76&amp;IF(AL76="","",CHAR(10))&amp;$A77,AL76)</f>
        <v/>
      </c>
      <c r="AM77" s="0" t="str">
        <f aca="false">IF(AND($B77="D06",$C77="G0"),AM76&amp;IF(AM76="","",CHAR(10))&amp;$A77,AM76)</f>
        <v/>
      </c>
      <c r="AN77" s="0" t="str">
        <f aca="false">IF(AND($B77="D06",$C77="G1"),AN76&amp;IF(AN76="","",CHAR(10))&amp;$A77,AN76)</f>
        <v/>
      </c>
      <c r="AO77" s="0" t="str">
        <f aca="false">IF(AND($B77="D06",$C77="G2"),AO76&amp;IF(AO76="","",CHAR(10))&amp;$A77,AO76)</f>
        <v/>
      </c>
      <c r="AP77" s="363" t="str">
        <f aca="false">IF(AND($B77="D06",$C77="G3"),AP76&amp;IF(AP76="","",CHAR(10))&amp;$A77,AP76)</f>
        <v>◐ 033 HIS／EMR核心平台
◐ 036 臨床術語與主資料治理</v>
      </c>
      <c r="AQ77" s="363" t="str">
        <f aca="false">IF(AND($B77="D06",$C77="G4"),AQ76&amp;IF(AQ76="","",CHAR(10))&amp;$A77,AQ76)</f>
        <v>◐ 034 FHIR介接與API管理
○ 035 主病人索引與身分整合
◐ 037 電子醫囑、用藥與決策支援
◐ 038 資料平台、BI與營運指揮</v>
      </c>
      <c r="AR77" s="0" t="str">
        <f aca="false">IF(AND($B77="D06",$C77="G5"),AR76&amp;IF(AR76="","",CHAR(10))&amp;$A77,AR76)</f>
        <v>○ 039 病人入口、行動服務與VNeID準備</v>
      </c>
      <c r="AS77" s="0" t="str">
        <f aca="false">IF(AND($B77="D06",$C77="G6"),AS76&amp;IF(AS76="","",CHAR(10))&amp;$A77,AS76)</f>
        <v/>
      </c>
      <c r="AT77" s="0" t="str">
        <f aca="false">IF(AND($B77="D07",$C77="G0"),AT76&amp;IF(AT76="","",CHAR(10))&amp;$A77,AT76)</f>
        <v/>
      </c>
      <c r="AU77" s="0" t="str">
        <f aca="false">IF(AND($B77="D07",$C77="G1"),AU76&amp;IF(AU76="","",CHAR(10))&amp;$A77,AU76)</f>
        <v/>
      </c>
      <c r="AV77" s="0" t="str">
        <f aca="false">IF(AND($B77="D07",$C77="G2"),AV76&amp;IF(AV76="","",CHAR(10))&amp;$A77,AV76)</f>
        <v>◐ 040 品質管理與JCI路線圖</v>
      </c>
      <c r="AW77" s="363" t="str">
        <f aca="false">IF(AND($B77="D07",$C77="G3"),AW76&amp;IF(AW76="","",CHAR(10))&amp;$A77,AW76)</f>
        <v>◐ 041 感染預防與控制制度
◐ 043 事件通報與根因改善</v>
      </c>
      <c r="AX77" s="0" t="str">
        <f aca="false">IF(AND($B77="D07",$C77="G4"),AX76&amp;IF(AX76="","",CHAR(10))&amp;$A77,AX76)</f>
        <v>◐ 042 用藥安全閉環</v>
      </c>
      <c r="AY77" s="0" t="str">
        <f aca="false">IF(AND($B77="D07",$C77="G5"),AY76&amp;IF(AY76="","",CHAR(10))&amp;$A77,AY76)</f>
        <v>◐ 044 開院臨床安全驗證</v>
      </c>
      <c r="AZ77" s="0" t="str">
        <f aca="false">IF(AND($B77="D07",$C77="G6"),AZ76&amp;IF(AZ76="","",CHAR(10))&amp;$A77,AZ76)</f>
        <v/>
      </c>
      <c r="BA77" s="0" t="str">
        <f aca="false">IF(AND($B77="D08",$C77="G0"),BA76&amp;IF(BA76="","",CHAR(10))&amp;$A77,BA76)</f>
        <v/>
      </c>
      <c r="BB77" s="0" t="str">
        <f aca="false">IF(AND($B77="D08",$C77="G1"),BB76&amp;IF(BB76="","",CHAR(10))&amp;$A77,BB76)</f>
        <v/>
      </c>
      <c r="BC77" s="0" t="str">
        <f aca="false">IF(AND($B77="D08",$C77="G2"),BC76&amp;IF(BC76="","",CHAR(10))&amp;$A77,BC76)</f>
        <v>○ 045 人力與輪班模型</v>
      </c>
      <c r="BD77" s="0" t="str">
        <f aca="false">IF(AND($B77="D08",$C77="G3"),BD76&amp;IF(BD76="","",CHAR(10))&amp;$A77,BD76)</f>
        <v>◐ 046 職能矩陣與授權</v>
      </c>
      <c r="BE77" s="363" t="str">
        <f aca="false">IF(AND($B77="D08",$C77="G4"),BE76&amp;IF(BE76="","",CHAR(10))&amp;$A77,BE76)</f>
        <v>◐ 047 種子教師與技術移轉
◐ 049 變革管理與使用者採納</v>
      </c>
      <c r="BF77" s="0" t="str">
        <f aca="false">IF(AND($B77="D08",$C77="G5"),BF76&amp;IF(BF76="","",CHAR(10))&amp;$A77,BF76)</f>
        <v>◐ 048 模擬中心與開院演練</v>
      </c>
      <c r="BG77" s="0" t="str">
        <f aca="false">IF(AND($B77="D08",$C77="G6"),BG76&amp;IF(BG76="","",CHAR(10))&amp;$A77,BG76)</f>
        <v/>
      </c>
      <c r="BH77" s="0" t="str">
        <f aca="false">IF(AND($B77="D09",$C77="G0"),BH76&amp;IF(BH76="","",CHAR(10))&amp;$A77,BH76)</f>
        <v/>
      </c>
      <c r="BI77" s="0" t="str">
        <f aca="false">IF(AND($B77="D09",$C77="G1"),BI76&amp;IF(BI76="","",CHAR(10))&amp;$A77,BI76)</f>
        <v/>
      </c>
      <c r="BJ77" s="0" t="str">
        <f aca="false">IF(AND($B77="D09",$C77="G2"),BJ76&amp;IF(BJ76="","",CHAR(10))&amp;$A77,BJ76)</f>
        <v>◐ 050 整合採購與供應商治理</v>
      </c>
      <c r="BK77" s="0" t="str">
        <f aca="false">IF(AND($B77="D09",$C77="G3"),BK76&amp;IF(BK76="","",CHAR(10))&amp;$A77,BK76)</f>
        <v/>
      </c>
      <c r="BL77" s="363" t="str">
        <f aca="false">IF(AND($B77="D09",$C77="G4"),BL76&amp;IF(BL76="","",CHAR(10))&amp;$A77,BL76)</f>
        <v>◐ 051 藥品耗材與SPD物流
◐ 052 冷鏈與特殊物料
● 053 CMMS與設施維運</v>
      </c>
      <c r="BM77" s="0" t="str">
        <f aca="false">IF(AND($B77="D09",$C77="G5"),BM76&amp;IF(BM76="","",CHAR(10))&amp;$A77,BM76)</f>
        <v>◐ 054 在地備品、維修與汰換</v>
      </c>
      <c r="BN77" s="0" t="str">
        <f aca="false">IF(AND($B77="D09",$C77="G6"),BN76&amp;IF(BN76="","",CHAR(10))&amp;$A77,BN76)</f>
        <v/>
      </c>
      <c r="BO77" s="0" t="str">
        <f aca="false">IF(AND($B77="D10",$C77="G0"),BO76&amp;IF(BO76="","",CHAR(10))&amp;$A77,BO76)</f>
        <v/>
      </c>
      <c r="BP77" s="0" t="str">
        <f aca="false">IF(AND($B77="D10",$C77="G1"),BP76&amp;IF(BP76="","",CHAR(10))&amp;$A77,BP76)</f>
        <v>◐ 055 全生命週期成本模型</v>
      </c>
      <c r="BQ77" s="0" t="str">
        <f aca="false">IF(AND($B77="D10",$C77="G2"),BQ76&amp;IF(BQ76="","",CHAR(10))&amp;$A77,BQ76)</f>
        <v>◐ 059 PPP／JV財務與風險分配</v>
      </c>
      <c r="BR77" s="0" t="str">
        <f aca="false">IF(AND($B77="D10",$C77="G3"),BR76&amp;IF(BR76="","",CHAR(10))&amp;$A77,BR76)</f>
        <v/>
      </c>
      <c r="BS77" s="363" t="str">
        <f aca="false">IF(AND($B77="D10",$C77="G4"),BS76&amp;IF(BS76="","",CHAR(10))&amp;$A77,BS76)</f>
        <v>○ 056 健保申報與數位理賠
○ 057 現金流、支付與收入週期</v>
      </c>
      <c r="BT77" s="0" t="str">
        <f aca="false">IF(AND($B77="D10",$C77="G5"),BT76&amp;IF(BT76="","",CHAR(10))&amp;$A77,BT76)</f>
        <v>○ 058 國際醫療與高價值服務</v>
      </c>
      <c r="BU77" s="0" t="str">
        <f aca="false">IF(AND($B77="D10",$C77="G6"),BU76&amp;IF(BU76="","",CHAR(10))&amp;$A77,BU76)</f>
        <v>◐ 060 效益實現與複製藍圖</v>
      </c>
      <c r="BX77" s="0" t="str">
        <f aca="false">IF(AND(03_能力總表_Master!$A77&lt;&gt;"",LEFT(03_能力總表_Master!$H77,2)="缺口"),MAX($BX$4:BX76)+1,"")</f>
        <v/>
      </c>
      <c r="BY77" s="0" t="str">
        <f aca="false">IF(AND(03_能力總表_Master!$A77&lt;&gt;"",03_能力總表_Master!$J77=12_夥伴視角_PartnerView!$C$4),MAX($BY$4:BY76)+1,"")</f>
        <v/>
      </c>
      <c r="CC77" s="0" t="str">
        <f aca="false">IF(AND(03_能力總表_Master!$A77&lt;&gt;"",IFERROR(INDEX(16_能力商機矩陣_CapOppMap!$D77:$CO77,MATCH(LEFT(17_商機作戰卡_OppView!$C$4,6),16_能力商機矩陣_CapOppMap!$D$4:$CO$4,0)),"")="✓"),MAX($CC$4:CC76)+1,"")</f>
        <v/>
      </c>
    </row>
    <row r="78" customFormat="false" ht="95.5" hidden="false" customHeight="false" outlineLevel="0" collapsed="false">
      <c r="A78" s="0" t="str">
        <f aca="false">IF(03_能力總表_Master!$A78="","",IF(LEFT(03_能力總表_Master!$H78,2)="群晶","● ",IF(ISNUMBER(SEARCH("已確認",03_能力總表_Master!$H78)),"◆ ",IF(ISNUMBER(SEARCH("缺口",03_能力總表_Master!$H78)),"○ ","◐ ")))&amp;RIGHT(03_能力總表_Master!$A78,3)&amp;" "&amp;03_能力總表_Master!$E78)</f>
        <v/>
      </c>
      <c r="B78" s="0" t="str">
        <f aca="false">IF(03_能力總表_Master!$A78="","",LEFT(03_能力總表_Master!$B78,3))</f>
        <v/>
      </c>
      <c r="C78" s="0" t="str">
        <f aca="false">IF(03_能力總表_Master!$A78="","",03_能力總表_Master!$C78)</f>
        <v/>
      </c>
      <c r="D78" s="363" t="str">
        <f aca="false">IF(AND($B78="D01",$C78="G0"),D77&amp;IF(D77="","",CHAR(10))&amp;$A78,D77)</f>
        <v>◐ 001 政府授權與計畫章程
◐ 002 利害關係人與權力地圖
◐ 005 聯盟治理與利益衝突</v>
      </c>
      <c r="E78" s="363" t="str">
        <f aca="false">IF(AND($B78="D01",$C78="G1"),E77&amp;IF(E77="","",CHAR(10))&amp;$A78,E77)</f>
        <v>◐ 003 交易模式選擇
◐ 004 法規與執照路徑</v>
      </c>
      <c r="F78" s="0" t="str">
        <f aca="false">IF(AND($B78="D01",$C78="G2"),F77&amp;IF(F77="","",CHAR(10))&amp;$A78,F77)</f>
        <v>◐ 006 績效契約與變更控制</v>
      </c>
      <c r="G78" s="0" t="str">
        <f aca="false">IF(AND($B78="D01",$C78="G3"),G77&amp;IF(G77="","",CHAR(10))&amp;$A78,G77)</f>
        <v/>
      </c>
      <c r="H78" s="0" t="str">
        <f aca="false">IF(AND($B78="D01",$C78="G4"),H77&amp;IF(H77="","",CHAR(10))&amp;$A78,H77)</f>
        <v/>
      </c>
      <c r="I78" s="0" t="str">
        <f aca="false">IF(AND($B78="D01",$C78="G5"),I77&amp;IF(I77="","",CHAR(10))&amp;$A78,I77)</f>
        <v/>
      </c>
      <c r="J78" s="0" t="str">
        <f aca="false">IF(AND($B78="D01",$C78="G6"),J77&amp;IF(J77="","",CHAR(10))&amp;$A78,J77)</f>
        <v/>
      </c>
      <c r="K78" s="0" t="str">
        <f aca="false">IF(AND($B78="D02",$C78="G0"),K77&amp;IF(K77="","",CHAR(10))&amp;$A78,K77)</f>
        <v/>
      </c>
      <c r="L78" s="363" t="str">
        <f aca="false">IF(AND($B78="D02",$C78="G1"),L77&amp;IF(L77="","",CHAR(10))&amp;$A78,L77)</f>
        <v>◐ 007 人口需求與病例量預測
◐ 008 醫院定位與服務組合
◐ 009 重點專科優先化
◐ 010 病人流程與容量設計
◐ 011 轉診與區域照護網絡
◐ 012 臨床治理與責任架構</v>
      </c>
      <c r="M78" s="0" t="str">
        <f aca="false">IF(AND($B78="D02",$C78="G2"),M77&amp;IF(M77="","",CHAR(10))&amp;$A78,M77)</f>
        <v/>
      </c>
      <c r="N78" s="0" t="str">
        <f aca="false">IF(AND($B78="D02",$C78="G3"),N77&amp;IF(N77="","",CHAR(10))&amp;$A78,N77)</f>
        <v/>
      </c>
      <c r="O78" s="0" t="str">
        <f aca="false">IF(AND($B78="D02",$C78="G4"),O77&amp;IF(O77="","",CHAR(10))&amp;$A78,O77)</f>
        <v/>
      </c>
      <c r="P78" s="0" t="str">
        <f aca="false">IF(AND($B78="D02",$C78="G5"),P77&amp;IF(P77="","",CHAR(10))&amp;$A78,P77)</f>
        <v/>
      </c>
      <c r="Q78" s="0" t="str">
        <f aca="false">IF(AND($B78="D02",$C78="G6"),Q77&amp;IF(Q77="","",CHAR(10))&amp;$A78,Q77)</f>
        <v/>
      </c>
      <c r="R78" s="0" t="str">
        <f aca="false">IF(AND($B78="D03",$C78="G0"),R77&amp;IF(R77="","",CHAR(10))&amp;$A78,R77)</f>
        <v/>
      </c>
      <c r="S78" s="0" t="str">
        <f aca="false">IF(AND($B78="D03",$C78="G1"),S77&amp;IF(S77="","",CHAR(10))&amp;$A78,S77)</f>
        <v>◐ 013 場址與醫院總體規劃</v>
      </c>
      <c r="T78" s="363" t="str">
        <f aca="false">IF(AND($B78="D03",$C78="G2"),T77&amp;IF(T77="","",CHAR(10))&amp;$A78,T77)</f>
        <v>◐ 014 醫療建築功能計畫
◐ 015 感染控制與潔污動線
◐ 019 綠色與氣候韌性醫院</v>
      </c>
      <c r="U78" s="363" t="str">
        <f aca="false">IF(AND($B78="D03",$C78="G3"),U77&amp;IF(U77="","",CHAR(10))&amp;$A78,U77)</f>
        <v>● 016 電力、備援與微電網
◐ 017 醫療氣體與關鍵公用系統
◐ 018 醫療廢棄物與水資源</v>
      </c>
      <c r="V78" s="0" t="str">
        <f aca="false">IF(AND($B78="D03",$C78="G4"),V77&amp;IF(V77="","",CHAR(10))&amp;$A78,V77)</f>
        <v/>
      </c>
      <c r="W78" s="0" t="str">
        <f aca="false">IF(AND($B78="D03",$C78="G5"),W77&amp;IF(W77="","",CHAR(10))&amp;$A78,W77)</f>
        <v/>
      </c>
      <c r="X78" s="0" t="str">
        <f aca="false">IF(AND($B78="D03",$C78="G6"),X77&amp;IF(X77="","",CHAR(10))&amp;$A78,X77)</f>
        <v/>
      </c>
      <c r="Y78" s="0" t="str">
        <f aca="false">IF(AND($B78="D04",$C78="G0"),Y77&amp;IF(Y77="","",CHAR(10))&amp;$A78,Y77)</f>
        <v/>
      </c>
      <c r="Z78" s="0" t="str">
        <f aca="false">IF(AND($B78="D04",$C78="G1"),Z77&amp;IF(Z77="","",CHAR(10))&amp;$A78,Z77)</f>
        <v/>
      </c>
      <c r="AA78" s="0" t="str">
        <f aca="false">IF(AND($B78="D04",$C78="G2"),AA77&amp;IF(AA77="","",CHAR(10))&amp;$A78,AA77)</f>
        <v/>
      </c>
      <c r="AB78" s="0" t="str">
        <f aca="false">IF(AND($B78="D04",$C78="G3"),AB77&amp;IF(AB77="","",CHAR(10))&amp;$A78,AB77)</f>
        <v>● 020 IDC與邊緣運算底座</v>
      </c>
      <c r="AC78" s="363" t="str">
        <f aca="false">IF(AND($B78="D04",$C78="G4"),AC77&amp;IF(AC77="","",CHAR(10))&amp;$A78,AC77)</f>
        <v>● 021 有線無線網路與分區
◐ 022 資安營運與零信任
● 023 BMS與能源管理
● 024 RTLS與資產／人員定位
● 025 智慧病房、護理呼叫與感測
● 026 災難復原與營運持續</v>
      </c>
      <c r="AD78" s="0" t="str">
        <f aca="false">IF(AND($B78="D04",$C78="G5"),AD77&amp;IF(AD77="","",CHAR(10))&amp;$A78,AD77)</f>
        <v/>
      </c>
      <c r="AE78" s="0" t="str">
        <f aca="false">IF(AND($B78="D04",$C78="G6"),AE77&amp;IF(AE77="","",CHAR(10))&amp;$A78,AE77)</f>
        <v/>
      </c>
      <c r="AF78" s="0" t="str">
        <f aca="false">IF(AND($B78="D05",$C78="G0"),AF77&amp;IF(AF77="","",CHAR(10))&amp;$A78,AF77)</f>
        <v/>
      </c>
      <c r="AG78" s="0" t="str">
        <f aca="false">IF(AND($B78="D05",$C78="G1"),AG77&amp;IF(AG77="","",CHAR(10))&amp;$A78,AG77)</f>
        <v/>
      </c>
      <c r="AH78" s="0" t="str">
        <f aca="false">IF(AND($B78="D05",$C78="G2"),AH77&amp;IF(AH77="","",CHAR(10))&amp;$A78,AH77)</f>
        <v>◐ 027 醫材需求與設備計畫</v>
      </c>
      <c r="AI78" s="0" t="str">
        <f aca="false">IF(AND($B78="D05",$C78="G3"),AI77&amp;IF(AI77="","",CHAR(10))&amp;$A78,AI77)</f>
        <v/>
      </c>
      <c r="AJ78" s="363" t="str">
        <f aca="false">IF(AND($B78="D05",$C78="G4"),AJ77&amp;IF(AJ77="","",CHAR(10))&amp;$A78,AJ77)</f>
        <v>○ 028 影像設備、PACS與報告流程
○ 029 實驗室自動化與LIS
○ 030 手術室與重症整合
◐ 031 醫材介接與裝置身分
◐ 032 醫療工程與設備生命週期</v>
      </c>
      <c r="AK78" s="0" t="str">
        <f aca="false">IF(AND($B78="D05",$C78="G5"),AK77&amp;IF(AK77="","",CHAR(10))&amp;$A78,AK77)</f>
        <v/>
      </c>
      <c r="AL78" s="0" t="str">
        <f aca="false">IF(AND($B78="D05",$C78="G6"),AL77&amp;IF(AL77="","",CHAR(10))&amp;$A78,AL77)</f>
        <v/>
      </c>
      <c r="AM78" s="0" t="str">
        <f aca="false">IF(AND($B78="D06",$C78="G0"),AM77&amp;IF(AM77="","",CHAR(10))&amp;$A78,AM77)</f>
        <v/>
      </c>
      <c r="AN78" s="0" t="str">
        <f aca="false">IF(AND($B78="D06",$C78="G1"),AN77&amp;IF(AN77="","",CHAR(10))&amp;$A78,AN77)</f>
        <v/>
      </c>
      <c r="AO78" s="0" t="str">
        <f aca="false">IF(AND($B78="D06",$C78="G2"),AO77&amp;IF(AO77="","",CHAR(10))&amp;$A78,AO77)</f>
        <v/>
      </c>
      <c r="AP78" s="363" t="str">
        <f aca="false">IF(AND($B78="D06",$C78="G3"),AP77&amp;IF(AP77="","",CHAR(10))&amp;$A78,AP77)</f>
        <v>◐ 033 HIS／EMR核心平台
◐ 036 臨床術語與主資料治理</v>
      </c>
      <c r="AQ78" s="363" t="str">
        <f aca="false">IF(AND($B78="D06",$C78="G4"),AQ77&amp;IF(AQ77="","",CHAR(10))&amp;$A78,AQ77)</f>
        <v>◐ 034 FHIR介接與API管理
○ 035 主病人索引與身分整合
◐ 037 電子醫囑、用藥與決策支援
◐ 038 資料平台、BI與營運指揮</v>
      </c>
      <c r="AR78" s="0" t="str">
        <f aca="false">IF(AND($B78="D06",$C78="G5"),AR77&amp;IF(AR77="","",CHAR(10))&amp;$A78,AR77)</f>
        <v>○ 039 病人入口、行動服務與VNeID準備</v>
      </c>
      <c r="AS78" s="0" t="str">
        <f aca="false">IF(AND($B78="D06",$C78="G6"),AS77&amp;IF(AS77="","",CHAR(10))&amp;$A78,AS77)</f>
        <v/>
      </c>
      <c r="AT78" s="0" t="str">
        <f aca="false">IF(AND($B78="D07",$C78="G0"),AT77&amp;IF(AT77="","",CHAR(10))&amp;$A78,AT77)</f>
        <v/>
      </c>
      <c r="AU78" s="0" t="str">
        <f aca="false">IF(AND($B78="D07",$C78="G1"),AU77&amp;IF(AU77="","",CHAR(10))&amp;$A78,AU77)</f>
        <v/>
      </c>
      <c r="AV78" s="0" t="str">
        <f aca="false">IF(AND($B78="D07",$C78="G2"),AV77&amp;IF(AV77="","",CHAR(10))&amp;$A78,AV77)</f>
        <v>◐ 040 品質管理與JCI路線圖</v>
      </c>
      <c r="AW78" s="363" t="str">
        <f aca="false">IF(AND($B78="D07",$C78="G3"),AW77&amp;IF(AW77="","",CHAR(10))&amp;$A78,AW77)</f>
        <v>◐ 041 感染預防與控制制度
◐ 043 事件通報與根因改善</v>
      </c>
      <c r="AX78" s="0" t="str">
        <f aca="false">IF(AND($B78="D07",$C78="G4"),AX77&amp;IF(AX77="","",CHAR(10))&amp;$A78,AX77)</f>
        <v>◐ 042 用藥安全閉環</v>
      </c>
      <c r="AY78" s="0" t="str">
        <f aca="false">IF(AND($B78="D07",$C78="G5"),AY77&amp;IF(AY77="","",CHAR(10))&amp;$A78,AY77)</f>
        <v>◐ 044 開院臨床安全驗證</v>
      </c>
      <c r="AZ78" s="0" t="str">
        <f aca="false">IF(AND($B78="D07",$C78="G6"),AZ77&amp;IF(AZ77="","",CHAR(10))&amp;$A78,AZ77)</f>
        <v/>
      </c>
      <c r="BA78" s="0" t="str">
        <f aca="false">IF(AND($B78="D08",$C78="G0"),BA77&amp;IF(BA77="","",CHAR(10))&amp;$A78,BA77)</f>
        <v/>
      </c>
      <c r="BB78" s="0" t="str">
        <f aca="false">IF(AND($B78="D08",$C78="G1"),BB77&amp;IF(BB77="","",CHAR(10))&amp;$A78,BB77)</f>
        <v/>
      </c>
      <c r="BC78" s="0" t="str">
        <f aca="false">IF(AND($B78="D08",$C78="G2"),BC77&amp;IF(BC77="","",CHAR(10))&amp;$A78,BC77)</f>
        <v>○ 045 人力與輪班模型</v>
      </c>
      <c r="BD78" s="0" t="str">
        <f aca="false">IF(AND($B78="D08",$C78="G3"),BD77&amp;IF(BD77="","",CHAR(10))&amp;$A78,BD77)</f>
        <v>◐ 046 職能矩陣與授權</v>
      </c>
      <c r="BE78" s="363" t="str">
        <f aca="false">IF(AND($B78="D08",$C78="G4"),BE77&amp;IF(BE77="","",CHAR(10))&amp;$A78,BE77)</f>
        <v>◐ 047 種子教師與技術移轉
◐ 049 變革管理與使用者採納</v>
      </c>
      <c r="BF78" s="0" t="str">
        <f aca="false">IF(AND($B78="D08",$C78="G5"),BF77&amp;IF(BF77="","",CHAR(10))&amp;$A78,BF77)</f>
        <v>◐ 048 模擬中心與開院演練</v>
      </c>
      <c r="BG78" s="0" t="str">
        <f aca="false">IF(AND($B78="D08",$C78="G6"),BG77&amp;IF(BG77="","",CHAR(10))&amp;$A78,BG77)</f>
        <v/>
      </c>
      <c r="BH78" s="0" t="str">
        <f aca="false">IF(AND($B78="D09",$C78="G0"),BH77&amp;IF(BH77="","",CHAR(10))&amp;$A78,BH77)</f>
        <v/>
      </c>
      <c r="BI78" s="0" t="str">
        <f aca="false">IF(AND($B78="D09",$C78="G1"),BI77&amp;IF(BI77="","",CHAR(10))&amp;$A78,BI77)</f>
        <v/>
      </c>
      <c r="BJ78" s="0" t="str">
        <f aca="false">IF(AND($B78="D09",$C78="G2"),BJ77&amp;IF(BJ77="","",CHAR(10))&amp;$A78,BJ77)</f>
        <v>◐ 050 整合採購與供應商治理</v>
      </c>
      <c r="BK78" s="0" t="str">
        <f aca="false">IF(AND($B78="D09",$C78="G3"),BK77&amp;IF(BK77="","",CHAR(10))&amp;$A78,BK77)</f>
        <v/>
      </c>
      <c r="BL78" s="363" t="str">
        <f aca="false">IF(AND($B78="D09",$C78="G4"),BL77&amp;IF(BL77="","",CHAR(10))&amp;$A78,BL77)</f>
        <v>◐ 051 藥品耗材與SPD物流
◐ 052 冷鏈與特殊物料
● 053 CMMS與設施維運</v>
      </c>
      <c r="BM78" s="0" t="str">
        <f aca="false">IF(AND($B78="D09",$C78="G5"),BM77&amp;IF(BM77="","",CHAR(10))&amp;$A78,BM77)</f>
        <v>◐ 054 在地備品、維修與汰換</v>
      </c>
      <c r="BN78" s="0" t="str">
        <f aca="false">IF(AND($B78="D09",$C78="G6"),BN77&amp;IF(BN77="","",CHAR(10))&amp;$A78,BN77)</f>
        <v/>
      </c>
      <c r="BO78" s="0" t="str">
        <f aca="false">IF(AND($B78="D10",$C78="G0"),BO77&amp;IF(BO77="","",CHAR(10))&amp;$A78,BO77)</f>
        <v/>
      </c>
      <c r="BP78" s="0" t="str">
        <f aca="false">IF(AND($B78="D10",$C78="G1"),BP77&amp;IF(BP77="","",CHAR(10))&amp;$A78,BP77)</f>
        <v>◐ 055 全生命週期成本模型</v>
      </c>
      <c r="BQ78" s="0" t="str">
        <f aca="false">IF(AND($B78="D10",$C78="G2"),BQ77&amp;IF(BQ77="","",CHAR(10))&amp;$A78,BQ77)</f>
        <v>◐ 059 PPP／JV財務與風險分配</v>
      </c>
      <c r="BR78" s="0" t="str">
        <f aca="false">IF(AND($B78="D10",$C78="G3"),BR77&amp;IF(BR77="","",CHAR(10))&amp;$A78,BR77)</f>
        <v/>
      </c>
      <c r="BS78" s="363" t="str">
        <f aca="false">IF(AND($B78="D10",$C78="G4"),BS77&amp;IF(BS77="","",CHAR(10))&amp;$A78,BS77)</f>
        <v>○ 056 健保申報與數位理賠
○ 057 現金流、支付與收入週期</v>
      </c>
      <c r="BT78" s="0" t="str">
        <f aca="false">IF(AND($B78="D10",$C78="G5"),BT77&amp;IF(BT77="","",CHAR(10))&amp;$A78,BT77)</f>
        <v>○ 058 國際醫療與高價值服務</v>
      </c>
      <c r="BU78" s="0" t="str">
        <f aca="false">IF(AND($B78="D10",$C78="G6"),BU77&amp;IF(BU77="","",CHAR(10))&amp;$A78,BU77)</f>
        <v>◐ 060 效益實現與複製藍圖</v>
      </c>
      <c r="BX78" s="0" t="str">
        <f aca="false">IF(AND(03_能力總表_Master!$A78&lt;&gt;"",LEFT(03_能力總表_Master!$H78,2)="缺口"),MAX($BX$4:BX77)+1,"")</f>
        <v/>
      </c>
      <c r="BY78" s="0" t="str">
        <f aca="false">IF(AND(03_能力總表_Master!$A78&lt;&gt;"",03_能力總表_Master!$J78=12_夥伴視角_PartnerView!$C$4),MAX($BY$4:BY77)+1,"")</f>
        <v/>
      </c>
      <c r="CC78" s="0" t="str">
        <f aca="false">IF(AND(03_能力總表_Master!$A78&lt;&gt;"",IFERROR(INDEX(16_能力商機矩陣_CapOppMap!$D78:$CO78,MATCH(LEFT(17_商機作戰卡_OppView!$C$4,6),16_能力商機矩陣_CapOppMap!$D$4:$CO$4,0)),"")="✓"),MAX($CC$4:CC77)+1,"")</f>
        <v/>
      </c>
    </row>
    <row r="79" customFormat="false" ht="95.5" hidden="false" customHeight="false" outlineLevel="0" collapsed="false">
      <c r="A79" s="0" t="str">
        <f aca="false">IF(03_能力總表_Master!$A79="","",IF(LEFT(03_能力總表_Master!$H79,2)="群晶","● ",IF(ISNUMBER(SEARCH("已確認",03_能力總表_Master!$H79)),"◆ ",IF(ISNUMBER(SEARCH("缺口",03_能力總表_Master!$H79)),"○ ","◐ ")))&amp;RIGHT(03_能力總表_Master!$A79,3)&amp;" "&amp;03_能力總表_Master!$E79)</f>
        <v/>
      </c>
      <c r="B79" s="0" t="str">
        <f aca="false">IF(03_能力總表_Master!$A79="","",LEFT(03_能力總表_Master!$B79,3))</f>
        <v/>
      </c>
      <c r="C79" s="0" t="str">
        <f aca="false">IF(03_能力總表_Master!$A79="","",03_能力總表_Master!$C79)</f>
        <v/>
      </c>
      <c r="D79" s="363" t="str">
        <f aca="false">IF(AND($B79="D01",$C79="G0"),D78&amp;IF(D78="","",CHAR(10))&amp;$A79,D78)</f>
        <v>◐ 001 政府授權與計畫章程
◐ 002 利害關係人與權力地圖
◐ 005 聯盟治理與利益衝突</v>
      </c>
      <c r="E79" s="363" t="str">
        <f aca="false">IF(AND($B79="D01",$C79="G1"),E78&amp;IF(E78="","",CHAR(10))&amp;$A79,E78)</f>
        <v>◐ 003 交易模式選擇
◐ 004 法規與執照路徑</v>
      </c>
      <c r="F79" s="0" t="str">
        <f aca="false">IF(AND($B79="D01",$C79="G2"),F78&amp;IF(F78="","",CHAR(10))&amp;$A79,F78)</f>
        <v>◐ 006 績效契約與變更控制</v>
      </c>
      <c r="G79" s="0" t="str">
        <f aca="false">IF(AND($B79="D01",$C79="G3"),G78&amp;IF(G78="","",CHAR(10))&amp;$A79,G78)</f>
        <v/>
      </c>
      <c r="H79" s="0" t="str">
        <f aca="false">IF(AND($B79="D01",$C79="G4"),H78&amp;IF(H78="","",CHAR(10))&amp;$A79,H78)</f>
        <v/>
      </c>
      <c r="I79" s="0" t="str">
        <f aca="false">IF(AND($B79="D01",$C79="G5"),I78&amp;IF(I78="","",CHAR(10))&amp;$A79,I78)</f>
        <v/>
      </c>
      <c r="J79" s="0" t="str">
        <f aca="false">IF(AND($B79="D01",$C79="G6"),J78&amp;IF(J78="","",CHAR(10))&amp;$A79,J78)</f>
        <v/>
      </c>
      <c r="K79" s="0" t="str">
        <f aca="false">IF(AND($B79="D02",$C79="G0"),K78&amp;IF(K78="","",CHAR(10))&amp;$A79,K78)</f>
        <v/>
      </c>
      <c r="L79" s="363" t="str">
        <f aca="false">IF(AND($B79="D02",$C79="G1"),L78&amp;IF(L78="","",CHAR(10))&amp;$A79,L78)</f>
        <v>◐ 007 人口需求與病例量預測
◐ 008 醫院定位與服務組合
◐ 009 重點專科優先化
◐ 010 病人流程與容量設計
◐ 011 轉診與區域照護網絡
◐ 012 臨床治理與責任架構</v>
      </c>
      <c r="M79" s="0" t="str">
        <f aca="false">IF(AND($B79="D02",$C79="G2"),M78&amp;IF(M78="","",CHAR(10))&amp;$A79,M78)</f>
        <v/>
      </c>
      <c r="N79" s="0" t="str">
        <f aca="false">IF(AND($B79="D02",$C79="G3"),N78&amp;IF(N78="","",CHAR(10))&amp;$A79,N78)</f>
        <v/>
      </c>
      <c r="O79" s="0" t="str">
        <f aca="false">IF(AND($B79="D02",$C79="G4"),O78&amp;IF(O78="","",CHAR(10))&amp;$A79,O78)</f>
        <v/>
      </c>
      <c r="P79" s="0" t="str">
        <f aca="false">IF(AND($B79="D02",$C79="G5"),P78&amp;IF(P78="","",CHAR(10))&amp;$A79,P78)</f>
        <v/>
      </c>
      <c r="Q79" s="0" t="str">
        <f aca="false">IF(AND($B79="D02",$C79="G6"),Q78&amp;IF(Q78="","",CHAR(10))&amp;$A79,Q78)</f>
        <v/>
      </c>
      <c r="R79" s="0" t="str">
        <f aca="false">IF(AND($B79="D03",$C79="G0"),R78&amp;IF(R78="","",CHAR(10))&amp;$A79,R78)</f>
        <v/>
      </c>
      <c r="S79" s="0" t="str">
        <f aca="false">IF(AND($B79="D03",$C79="G1"),S78&amp;IF(S78="","",CHAR(10))&amp;$A79,S78)</f>
        <v>◐ 013 場址與醫院總體規劃</v>
      </c>
      <c r="T79" s="363" t="str">
        <f aca="false">IF(AND($B79="D03",$C79="G2"),T78&amp;IF(T78="","",CHAR(10))&amp;$A79,T78)</f>
        <v>◐ 014 醫療建築功能計畫
◐ 015 感染控制與潔污動線
◐ 019 綠色與氣候韌性醫院</v>
      </c>
      <c r="U79" s="363" t="str">
        <f aca="false">IF(AND($B79="D03",$C79="G3"),U78&amp;IF(U78="","",CHAR(10))&amp;$A79,U78)</f>
        <v>● 016 電力、備援與微電網
◐ 017 醫療氣體與關鍵公用系統
◐ 018 醫療廢棄物與水資源</v>
      </c>
      <c r="V79" s="0" t="str">
        <f aca="false">IF(AND($B79="D03",$C79="G4"),V78&amp;IF(V78="","",CHAR(10))&amp;$A79,V78)</f>
        <v/>
      </c>
      <c r="W79" s="0" t="str">
        <f aca="false">IF(AND($B79="D03",$C79="G5"),W78&amp;IF(W78="","",CHAR(10))&amp;$A79,W78)</f>
        <v/>
      </c>
      <c r="X79" s="0" t="str">
        <f aca="false">IF(AND($B79="D03",$C79="G6"),X78&amp;IF(X78="","",CHAR(10))&amp;$A79,X78)</f>
        <v/>
      </c>
      <c r="Y79" s="0" t="str">
        <f aca="false">IF(AND($B79="D04",$C79="G0"),Y78&amp;IF(Y78="","",CHAR(10))&amp;$A79,Y78)</f>
        <v/>
      </c>
      <c r="Z79" s="0" t="str">
        <f aca="false">IF(AND($B79="D04",$C79="G1"),Z78&amp;IF(Z78="","",CHAR(10))&amp;$A79,Z78)</f>
        <v/>
      </c>
      <c r="AA79" s="0" t="str">
        <f aca="false">IF(AND($B79="D04",$C79="G2"),AA78&amp;IF(AA78="","",CHAR(10))&amp;$A79,AA78)</f>
        <v/>
      </c>
      <c r="AB79" s="0" t="str">
        <f aca="false">IF(AND($B79="D04",$C79="G3"),AB78&amp;IF(AB78="","",CHAR(10))&amp;$A79,AB78)</f>
        <v>● 020 IDC與邊緣運算底座</v>
      </c>
      <c r="AC79" s="363" t="str">
        <f aca="false">IF(AND($B79="D04",$C79="G4"),AC78&amp;IF(AC78="","",CHAR(10))&amp;$A79,AC78)</f>
        <v>● 021 有線無線網路與分區
◐ 022 資安營運與零信任
● 023 BMS與能源管理
● 024 RTLS與資產／人員定位
● 025 智慧病房、護理呼叫與感測
● 026 災難復原與營運持續</v>
      </c>
      <c r="AD79" s="0" t="str">
        <f aca="false">IF(AND($B79="D04",$C79="G5"),AD78&amp;IF(AD78="","",CHAR(10))&amp;$A79,AD78)</f>
        <v/>
      </c>
      <c r="AE79" s="0" t="str">
        <f aca="false">IF(AND($B79="D04",$C79="G6"),AE78&amp;IF(AE78="","",CHAR(10))&amp;$A79,AE78)</f>
        <v/>
      </c>
      <c r="AF79" s="0" t="str">
        <f aca="false">IF(AND($B79="D05",$C79="G0"),AF78&amp;IF(AF78="","",CHAR(10))&amp;$A79,AF78)</f>
        <v/>
      </c>
      <c r="AG79" s="0" t="str">
        <f aca="false">IF(AND($B79="D05",$C79="G1"),AG78&amp;IF(AG78="","",CHAR(10))&amp;$A79,AG78)</f>
        <v/>
      </c>
      <c r="AH79" s="0" t="str">
        <f aca="false">IF(AND($B79="D05",$C79="G2"),AH78&amp;IF(AH78="","",CHAR(10))&amp;$A79,AH78)</f>
        <v>◐ 027 醫材需求與設備計畫</v>
      </c>
      <c r="AI79" s="0" t="str">
        <f aca="false">IF(AND($B79="D05",$C79="G3"),AI78&amp;IF(AI78="","",CHAR(10))&amp;$A79,AI78)</f>
        <v/>
      </c>
      <c r="AJ79" s="363" t="str">
        <f aca="false">IF(AND($B79="D05",$C79="G4"),AJ78&amp;IF(AJ78="","",CHAR(10))&amp;$A79,AJ78)</f>
        <v>○ 028 影像設備、PACS與報告流程
○ 029 實驗室自動化與LIS
○ 030 手術室與重症整合
◐ 031 醫材介接與裝置身分
◐ 032 醫療工程與設備生命週期</v>
      </c>
      <c r="AK79" s="0" t="str">
        <f aca="false">IF(AND($B79="D05",$C79="G5"),AK78&amp;IF(AK78="","",CHAR(10))&amp;$A79,AK78)</f>
        <v/>
      </c>
      <c r="AL79" s="0" t="str">
        <f aca="false">IF(AND($B79="D05",$C79="G6"),AL78&amp;IF(AL78="","",CHAR(10))&amp;$A79,AL78)</f>
        <v/>
      </c>
      <c r="AM79" s="0" t="str">
        <f aca="false">IF(AND($B79="D06",$C79="G0"),AM78&amp;IF(AM78="","",CHAR(10))&amp;$A79,AM78)</f>
        <v/>
      </c>
      <c r="AN79" s="0" t="str">
        <f aca="false">IF(AND($B79="D06",$C79="G1"),AN78&amp;IF(AN78="","",CHAR(10))&amp;$A79,AN78)</f>
        <v/>
      </c>
      <c r="AO79" s="0" t="str">
        <f aca="false">IF(AND($B79="D06",$C79="G2"),AO78&amp;IF(AO78="","",CHAR(10))&amp;$A79,AO78)</f>
        <v/>
      </c>
      <c r="AP79" s="363" t="str">
        <f aca="false">IF(AND($B79="D06",$C79="G3"),AP78&amp;IF(AP78="","",CHAR(10))&amp;$A79,AP78)</f>
        <v>◐ 033 HIS／EMR核心平台
◐ 036 臨床術語與主資料治理</v>
      </c>
      <c r="AQ79" s="363" t="str">
        <f aca="false">IF(AND($B79="D06",$C79="G4"),AQ78&amp;IF(AQ78="","",CHAR(10))&amp;$A79,AQ78)</f>
        <v>◐ 034 FHIR介接與API管理
○ 035 主病人索引與身分整合
◐ 037 電子醫囑、用藥與決策支援
◐ 038 資料平台、BI與營運指揮</v>
      </c>
      <c r="AR79" s="0" t="str">
        <f aca="false">IF(AND($B79="D06",$C79="G5"),AR78&amp;IF(AR78="","",CHAR(10))&amp;$A79,AR78)</f>
        <v>○ 039 病人入口、行動服務與VNeID準備</v>
      </c>
      <c r="AS79" s="0" t="str">
        <f aca="false">IF(AND($B79="D06",$C79="G6"),AS78&amp;IF(AS78="","",CHAR(10))&amp;$A79,AS78)</f>
        <v/>
      </c>
      <c r="AT79" s="0" t="str">
        <f aca="false">IF(AND($B79="D07",$C79="G0"),AT78&amp;IF(AT78="","",CHAR(10))&amp;$A79,AT78)</f>
        <v/>
      </c>
      <c r="AU79" s="0" t="str">
        <f aca="false">IF(AND($B79="D07",$C79="G1"),AU78&amp;IF(AU78="","",CHAR(10))&amp;$A79,AU78)</f>
        <v/>
      </c>
      <c r="AV79" s="0" t="str">
        <f aca="false">IF(AND($B79="D07",$C79="G2"),AV78&amp;IF(AV78="","",CHAR(10))&amp;$A79,AV78)</f>
        <v>◐ 040 品質管理與JCI路線圖</v>
      </c>
      <c r="AW79" s="363" t="str">
        <f aca="false">IF(AND($B79="D07",$C79="G3"),AW78&amp;IF(AW78="","",CHAR(10))&amp;$A79,AW78)</f>
        <v>◐ 041 感染預防與控制制度
◐ 043 事件通報與根因改善</v>
      </c>
      <c r="AX79" s="0" t="str">
        <f aca="false">IF(AND($B79="D07",$C79="G4"),AX78&amp;IF(AX78="","",CHAR(10))&amp;$A79,AX78)</f>
        <v>◐ 042 用藥安全閉環</v>
      </c>
      <c r="AY79" s="0" t="str">
        <f aca="false">IF(AND($B79="D07",$C79="G5"),AY78&amp;IF(AY78="","",CHAR(10))&amp;$A79,AY78)</f>
        <v>◐ 044 開院臨床安全驗證</v>
      </c>
      <c r="AZ79" s="0" t="str">
        <f aca="false">IF(AND($B79="D07",$C79="G6"),AZ78&amp;IF(AZ78="","",CHAR(10))&amp;$A79,AZ78)</f>
        <v/>
      </c>
      <c r="BA79" s="0" t="str">
        <f aca="false">IF(AND($B79="D08",$C79="G0"),BA78&amp;IF(BA78="","",CHAR(10))&amp;$A79,BA78)</f>
        <v/>
      </c>
      <c r="BB79" s="0" t="str">
        <f aca="false">IF(AND($B79="D08",$C79="G1"),BB78&amp;IF(BB78="","",CHAR(10))&amp;$A79,BB78)</f>
        <v/>
      </c>
      <c r="BC79" s="0" t="str">
        <f aca="false">IF(AND($B79="D08",$C79="G2"),BC78&amp;IF(BC78="","",CHAR(10))&amp;$A79,BC78)</f>
        <v>○ 045 人力與輪班模型</v>
      </c>
      <c r="BD79" s="0" t="str">
        <f aca="false">IF(AND($B79="D08",$C79="G3"),BD78&amp;IF(BD78="","",CHAR(10))&amp;$A79,BD78)</f>
        <v>◐ 046 職能矩陣與授權</v>
      </c>
      <c r="BE79" s="363" t="str">
        <f aca="false">IF(AND($B79="D08",$C79="G4"),BE78&amp;IF(BE78="","",CHAR(10))&amp;$A79,BE78)</f>
        <v>◐ 047 種子教師與技術移轉
◐ 049 變革管理與使用者採納</v>
      </c>
      <c r="BF79" s="0" t="str">
        <f aca="false">IF(AND($B79="D08",$C79="G5"),BF78&amp;IF(BF78="","",CHAR(10))&amp;$A79,BF78)</f>
        <v>◐ 048 模擬中心與開院演練</v>
      </c>
      <c r="BG79" s="0" t="str">
        <f aca="false">IF(AND($B79="D08",$C79="G6"),BG78&amp;IF(BG78="","",CHAR(10))&amp;$A79,BG78)</f>
        <v/>
      </c>
      <c r="BH79" s="0" t="str">
        <f aca="false">IF(AND($B79="D09",$C79="G0"),BH78&amp;IF(BH78="","",CHAR(10))&amp;$A79,BH78)</f>
        <v/>
      </c>
      <c r="BI79" s="0" t="str">
        <f aca="false">IF(AND($B79="D09",$C79="G1"),BI78&amp;IF(BI78="","",CHAR(10))&amp;$A79,BI78)</f>
        <v/>
      </c>
      <c r="BJ79" s="0" t="str">
        <f aca="false">IF(AND($B79="D09",$C79="G2"),BJ78&amp;IF(BJ78="","",CHAR(10))&amp;$A79,BJ78)</f>
        <v>◐ 050 整合採購與供應商治理</v>
      </c>
      <c r="BK79" s="0" t="str">
        <f aca="false">IF(AND($B79="D09",$C79="G3"),BK78&amp;IF(BK78="","",CHAR(10))&amp;$A79,BK78)</f>
        <v/>
      </c>
      <c r="BL79" s="363" t="str">
        <f aca="false">IF(AND($B79="D09",$C79="G4"),BL78&amp;IF(BL78="","",CHAR(10))&amp;$A79,BL78)</f>
        <v>◐ 051 藥品耗材與SPD物流
◐ 052 冷鏈與特殊物料
● 053 CMMS與設施維運</v>
      </c>
      <c r="BM79" s="0" t="str">
        <f aca="false">IF(AND($B79="D09",$C79="G5"),BM78&amp;IF(BM78="","",CHAR(10))&amp;$A79,BM78)</f>
        <v>◐ 054 在地備品、維修與汰換</v>
      </c>
      <c r="BN79" s="0" t="str">
        <f aca="false">IF(AND($B79="D09",$C79="G6"),BN78&amp;IF(BN78="","",CHAR(10))&amp;$A79,BN78)</f>
        <v/>
      </c>
      <c r="BO79" s="0" t="str">
        <f aca="false">IF(AND($B79="D10",$C79="G0"),BO78&amp;IF(BO78="","",CHAR(10))&amp;$A79,BO78)</f>
        <v/>
      </c>
      <c r="BP79" s="0" t="str">
        <f aca="false">IF(AND($B79="D10",$C79="G1"),BP78&amp;IF(BP78="","",CHAR(10))&amp;$A79,BP78)</f>
        <v>◐ 055 全生命週期成本模型</v>
      </c>
      <c r="BQ79" s="0" t="str">
        <f aca="false">IF(AND($B79="D10",$C79="G2"),BQ78&amp;IF(BQ78="","",CHAR(10))&amp;$A79,BQ78)</f>
        <v>◐ 059 PPP／JV財務與風險分配</v>
      </c>
      <c r="BR79" s="0" t="str">
        <f aca="false">IF(AND($B79="D10",$C79="G3"),BR78&amp;IF(BR78="","",CHAR(10))&amp;$A79,BR78)</f>
        <v/>
      </c>
      <c r="BS79" s="363" t="str">
        <f aca="false">IF(AND($B79="D10",$C79="G4"),BS78&amp;IF(BS78="","",CHAR(10))&amp;$A79,BS78)</f>
        <v>○ 056 健保申報與數位理賠
○ 057 現金流、支付與收入週期</v>
      </c>
      <c r="BT79" s="0" t="str">
        <f aca="false">IF(AND($B79="D10",$C79="G5"),BT78&amp;IF(BT78="","",CHAR(10))&amp;$A79,BT78)</f>
        <v>○ 058 國際醫療與高價值服務</v>
      </c>
      <c r="BU79" s="0" t="str">
        <f aca="false">IF(AND($B79="D10",$C79="G6"),BU78&amp;IF(BU78="","",CHAR(10))&amp;$A79,BU78)</f>
        <v>◐ 060 效益實現與複製藍圖</v>
      </c>
      <c r="BX79" s="0" t="str">
        <f aca="false">IF(AND(03_能力總表_Master!$A79&lt;&gt;"",LEFT(03_能力總表_Master!$H79,2)="缺口"),MAX($BX$4:BX78)+1,"")</f>
        <v/>
      </c>
      <c r="BY79" s="0" t="str">
        <f aca="false">IF(AND(03_能力總表_Master!$A79&lt;&gt;"",03_能力總表_Master!$J79=12_夥伴視角_PartnerView!$C$4),MAX($BY$4:BY78)+1,"")</f>
        <v/>
      </c>
      <c r="CC79" s="0" t="str">
        <f aca="false">IF(AND(03_能力總表_Master!$A79&lt;&gt;"",IFERROR(INDEX(16_能力商機矩陣_CapOppMap!$D79:$CO79,MATCH(LEFT(17_商機作戰卡_OppView!$C$4,6),16_能力商機矩陣_CapOppMap!$D$4:$CO$4,0)),"")="✓"),MAX($CC$4:CC78)+1,"")</f>
        <v/>
      </c>
    </row>
    <row r="80" customFormat="false" ht="95.5" hidden="false" customHeight="false" outlineLevel="0" collapsed="false">
      <c r="A80" s="0" t="str">
        <f aca="false">IF(03_能力總表_Master!$A80="","",IF(LEFT(03_能力總表_Master!$H80,2)="群晶","● ",IF(ISNUMBER(SEARCH("已確認",03_能力總表_Master!$H80)),"◆ ",IF(ISNUMBER(SEARCH("缺口",03_能力總表_Master!$H80)),"○ ","◐ ")))&amp;RIGHT(03_能力總表_Master!$A80,3)&amp;" "&amp;03_能力總表_Master!$E80)</f>
        <v/>
      </c>
      <c r="B80" s="0" t="str">
        <f aca="false">IF(03_能力總表_Master!$A80="","",LEFT(03_能力總表_Master!$B80,3))</f>
        <v/>
      </c>
      <c r="C80" s="0" t="str">
        <f aca="false">IF(03_能力總表_Master!$A80="","",03_能力總表_Master!$C80)</f>
        <v/>
      </c>
      <c r="D80" s="363" t="str">
        <f aca="false">IF(AND($B80="D01",$C80="G0"),D79&amp;IF(D79="","",CHAR(10))&amp;$A80,D79)</f>
        <v>◐ 001 政府授權與計畫章程
◐ 002 利害關係人與權力地圖
◐ 005 聯盟治理與利益衝突</v>
      </c>
      <c r="E80" s="363" t="str">
        <f aca="false">IF(AND($B80="D01",$C80="G1"),E79&amp;IF(E79="","",CHAR(10))&amp;$A80,E79)</f>
        <v>◐ 003 交易模式選擇
◐ 004 法規與執照路徑</v>
      </c>
      <c r="F80" s="0" t="str">
        <f aca="false">IF(AND($B80="D01",$C80="G2"),F79&amp;IF(F79="","",CHAR(10))&amp;$A80,F79)</f>
        <v>◐ 006 績效契約與變更控制</v>
      </c>
      <c r="G80" s="0" t="str">
        <f aca="false">IF(AND($B80="D01",$C80="G3"),G79&amp;IF(G79="","",CHAR(10))&amp;$A80,G79)</f>
        <v/>
      </c>
      <c r="H80" s="0" t="str">
        <f aca="false">IF(AND($B80="D01",$C80="G4"),H79&amp;IF(H79="","",CHAR(10))&amp;$A80,H79)</f>
        <v/>
      </c>
      <c r="I80" s="0" t="str">
        <f aca="false">IF(AND($B80="D01",$C80="G5"),I79&amp;IF(I79="","",CHAR(10))&amp;$A80,I79)</f>
        <v/>
      </c>
      <c r="J80" s="0" t="str">
        <f aca="false">IF(AND($B80="D01",$C80="G6"),J79&amp;IF(J79="","",CHAR(10))&amp;$A80,J79)</f>
        <v/>
      </c>
      <c r="K80" s="0" t="str">
        <f aca="false">IF(AND($B80="D02",$C80="G0"),K79&amp;IF(K79="","",CHAR(10))&amp;$A80,K79)</f>
        <v/>
      </c>
      <c r="L80" s="363" t="str">
        <f aca="false">IF(AND($B80="D02",$C80="G1"),L79&amp;IF(L79="","",CHAR(10))&amp;$A80,L79)</f>
        <v>◐ 007 人口需求與病例量預測
◐ 008 醫院定位與服務組合
◐ 009 重點專科優先化
◐ 010 病人流程與容量設計
◐ 011 轉診與區域照護網絡
◐ 012 臨床治理與責任架構</v>
      </c>
      <c r="M80" s="0" t="str">
        <f aca="false">IF(AND($B80="D02",$C80="G2"),M79&amp;IF(M79="","",CHAR(10))&amp;$A80,M79)</f>
        <v/>
      </c>
      <c r="N80" s="0" t="str">
        <f aca="false">IF(AND($B80="D02",$C80="G3"),N79&amp;IF(N79="","",CHAR(10))&amp;$A80,N79)</f>
        <v/>
      </c>
      <c r="O80" s="0" t="str">
        <f aca="false">IF(AND($B80="D02",$C80="G4"),O79&amp;IF(O79="","",CHAR(10))&amp;$A80,O79)</f>
        <v/>
      </c>
      <c r="P80" s="0" t="str">
        <f aca="false">IF(AND($B80="D02",$C80="G5"),P79&amp;IF(P79="","",CHAR(10))&amp;$A80,P79)</f>
        <v/>
      </c>
      <c r="Q80" s="0" t="str">
        <f aca="false">IF(AND($B80="D02",$C80="G6"),Q79&amp;IF(Q79="","",CHAR(10))&amp;$A80,Q79)</f>
        <v/>
      </c>
      <c r="R80" s="0" t="str">
        <f aca="false">IF(AND($B80="D03",$C80="G0"),R79&amp;IF(R79="","",CHAR(10))&amp;$A80,R79)</f>
        <v/>
      </c>
      <c r="S80" s="0" t="str">
        <f aca="false">IF(AND($B80="D03",$C80="G1"),S79&amp;IF(S79="","",CHAR(10))&amp;$A80,S79)</f>
        <v>◐ 013 場址與醫院總體規劃</v>
      </c>
      <c r="T80" s="363" t="str">
        <f aca="false">IF(AND($B80="D03",$C80="G2"),T79&amp;IF(T79="","",CHAR(10))&amp;$A80,T79)</f>
        <v>◐ 014 醫療建築功能計畫
◐ 015 感染控制與潔污動線
◐ 019 綠色與氣候韌性醫院</v>
      </c>
      <c r="U80" s="363" t="str">
        <f aca="false">IF(AND($B80="D03",$C80="G3"),U79&amp;IF(U79="","",CHAR(10))&amp;$A80,U79)</f>
        <v>● 016 電力、備援與微電網
◐ 017 醫療氣體與關鍵公用系統
◐ 018 醫療廢棄物與水資源</v>
      </c>
      <c r="V80" s="0" t="str">
        <f aca="false">IF(AND($B80="D03",$C80="G4"),V79&amp;IF(V79="","",CHAR(10))&amp;$A80,V79)</f>
        <v/>
      </c>
      <c r="W80" s="0" t="str">
        <f aca="false">IF(AND($B80="D03",$C80="G5"),W79&amp;IF(W79="","",CHAR(10))&amp;$A80,W79)</f>
        <v/>
      </c>
      <c r="X80" s="0" t="str">
        <f aca="false">IF(AND($B80="D03",$C80="G6"),X79&amp;IF(X79="","",CHAR(10))&amp;$A80,X79)</f>
        <v/>
      </c>
      <c r="Y80" s="0" t="str">
        <f aca="false">IF(AND($B80="D04",$C80="G0"),Y79&amp;IF(Y79="","",CHAR(10))&amp;$A80,Y79)</f>
        <v/>
      </c>
      <c r="Z80" s="0" t="str">
        <f aca="false">IF(AND($B80="D04",$C80="G1"),Z79&amp;IF(Z79="","",CHAR(10))&amp;$A80,Z79)</f>
        <v/>
      </c>
      <c r="AA80" s="0" t="str">
        <f aca="false">IF(AND($B80="D04",$C80="G2"),AA79&amp;IF(AA79="","",CHAR(10))&amp;$A80,AA79)</f>
        <v/>
      </c>
      <c r="AB80" s="0" t="str">
        <f aca="false">IF(AND($B80="D04",$C80="G3"),AB79&amp;IF(AB79="","",CHAR(10))&amp;$A80,AB79)</f>
        <v>● 020 IDC與邊緣運算底座</v>
      </c>
      <c r="AC80" s="363" t="str">
        <f aca="false">IF(AND($B80="D04",$C80="G4"),AC79&amp;IF(AC79="","",CHAR(10))&amp;$A80,AC79)</f>
        <v>● 021 有線無線網路與分區
◐ 022 資安營運與零信任
● 023 BMS與能源管理
● 024 RTLS與資產／人員定位
● 025 智慧病房、護理呼叫與感測
● 026 災難復原與營運持續</v>
      </c>
      <c r="AD80" s="0" t="str">
        <f aca="false">IF(AND($B80="D04",$C80="G5"),AD79&amp;IF(AD79="","",CHAR(10))&amp;$A80,AD79)</f>
        <v/>
      </c>
      <c r="AE80" s="0" t="str">
        <f aca="false">IF(AND($B80="D04",$C80="G6"),AE79&amp;IF(AE79="","",CHAR(10))&amp;$A80,AE79)</f>
        <v/>
      </c>
      <c r="AF80" s="0" t="str">
        <f aca="false">IF(AND($B80="D05",$C80="G0"),AF79&amp;IF(AF79="","",CHAR(10))&amp;$A80,AF79)</f>
        <v/>
      </c>
      <c r="AG80" s="0" t="str">
        <f aca="false">IF(AND($B80="D05",$C80="G1"),AG79&amp;IF(AG79="","",CHAR(10))&amp;$A80,AG79)</f>
        <v/>
      </c>
      <c r="AH80" s="0" t="str">
        <f aca="false">IF(AND($B80="D05",$C80="G2"),AH79&amp;IF(AH79="","",CHAR(10))&amp;$A80,AH79)</f>
        <v>◐ 027 醫材需求與設備計畫</v>
      </c>
      <c r="AI80" s="0" t="str">
        <f aca="false">IF(AND($B80="D05",$C80="G3"),AI79&amp;IF(AI79="","",CHAR(10))&amp;$A80,AI79)</f>
        <v/>
      </c>
      <c r="AJ80" s="363" t="str">
        <f aca="false">IF(AND($B80="D05",$C80="G4"),AJ79&amp;IF(AJ79="","",CHAR(10))&amp;$A80,AJ79)</f>
        <v>○ 028 影像設備、PACS與報告流程
○ 029 實驗室自動化與LIS
○ 030 手術室與重症整合
◐ 031 醫材介接與裝置身分
◐ 032 醫療工程與設備生命週期</v>
      </c>
      <c r="AK80" s="0" t="str">
        <f aca="false">IF(AND($B80="D05",$C80="G5"),AK79&amp;IF(AK79="","",CHAR(10))&amp;$A80,AK79)</f>
        <v/>
      </c>
      <c r="AL80" s="0" t="str">
        <f aca="false">IF(AND($B80="D05",$C80="G6"),AL79&amp;IF(AL79="","",CHAR(10))&amp;$A80,AL79)</f>
        <v/>
      </c>
      <c r="AM80" s="0" t="str">
        <f aca="false">IF(AND($B80="D06",$C80="G0"),AM79&amp;IF(AM79="","",CHAR(10))&amp;$A80,AM79)</f>
        <v/>
      </c>
      <c r="AN80" s="0" t="str">
        <f aca="false">IF(AND($B80="D06",$C80="G1"),AN79&amp;IF(AN79="","",CHAR(10))&amp;$A80,AN79)</f>
        <v/>
      </c>
      <c r="AO80" s="0" t="str">
        <f aca="false">IF(AND($B80="D06",$C80="G2"),AO79&amp;IF(AO79="","",CHAR(10))&amp;$A80,AO79)</f>
        <v/>
      </c>
      <c r="AP80" s="363" t="str">
        <f aca="false">IF(AND($B80="D06",$C80="G3"),AP79&amp;IF(AP79="","",CHAR(10))&amp;$A80,AP79)</f>
        <v>◐ 033 HIS／EMR核心平台
◐ 036 臨床術語與主資料治理</v>
      </c>
      <c r="AQ80" s="363" t="str">
        <f aca="false">IF(AND($B80="D06",$C80="G4"),AQ79&amp;IF(AQ79="","",CHAR(10))&amp;$A80,AQ79)</f>
        <v>◐ 034 FHIR介接與API管理
○ 035 主病人索引與身分整合
◐ 037 電子醫囑、用藥與決策支援
◐ 038 資料平台、BI與營運指揮</v>
      </c>
      <c r="AR80" s="0" t="str">
        <f aca="false">IF(AND($B80="D06",$C80="G5"),AR79&amp;IF(AR79="","",CHAR(10))&amp;$A80,AR79)</f>
        <v>○ 039 病人入口、行動服務與VNeID準備</v>
      </c>
      <c r="AS80" s="0" t="str">
        <f aca="false">IF(AND($B80="D06",$C80="G6"),AS79&amp;IF(AS79="","",CHAR(10))&amp;$A80,AS79)</f>
        <v/>
      </c>
      <c r="AT80" s="0" t="str">
        <f aca="false">IF(AND($B80="D07",$C80="G0"),AT79&amp;IF(AT79="","",CHAR(10))&amp;$A80,AT79)</f>
        <v/>
      </c>
      <c r="AU80" s="0" t="str">
        <f aca="false">IF(AND($B80="D07",$C80="G1"),AU79&amp;IF(AU79="","",CHAR(10))&amp;$A80,AU79)</f>
        <v/>
      </c>
      <c r="AV80" s="0" t="str">
        <f aca="false">IF(AND($B80="D07",$C80="G2"),AV79&amp;IF(AV79="","",CHAR(10))&amp;$A80,AV79)</f>
        <v>◐ 040 品質管理與JCI路線圖</v>
      </c>
      <c r="AW80" s="363" t="str">
        <f aca="false">IF(AND($B80="D07",$C80="G3"),AW79&amp;IF(AW79="","",CHAR(10))&amp;$A80,AW79)</f>
        <v>◐ 041 感染預防與控制制度
◐ 043 事件通報與根因改善</v>
      </c>
      <c r="AX80" s="0" t="str">
        <f aca="false">IF(AND($B80="D07",$C80="G4"),AX79&amp;IF(AX79="","",CHAR(10))&amp;$A80,AX79)</f>
        <v>◐ 042 用藥安全閉環</v>
      </c>
      <c r="AY80" s="0" t="str">
        <f aca="false">IF(AND($B80="D07",$C80="G5"),AY79&amp;IF(AY79="","",CHAR(10))&amp;$A80,AY79)</f>
        <v>◐ 044 開院臨床安全驗證</v>
      </c>
      <c r="AZ80" s="0" t="str">
        <f aca="false">IF(AND($B80="D07",$C80="G6"),AZ79&amp;IF(AZ79="","",CHAR(10))&amp;$A80,AZ79)</f>
        <v/>
      </c>
      <c r="BA80" s="0" t="str">
        <f aca="false">IF(AND($B80="D08",$C80="G0"),BA79&amp;IF(BA79="","",CHAR(10))&amp;$A80,BA79)</f>
        <v/>
      </c>
      <c r="BB80" s="0" t="str">
        <f aca="false">IF(AND($B80="D08",$C80="G1"),BB79&amp;IF(BB79="","",CHAR(10))&amp;$A80,BB79)</f>
        <v/>
      </c>
      <c r="BC80" s="0" t="str">
        <f aca="false">IF(AND($B80="D08",$C80="G2"),BC79&amp;IF(BC79="","",CHAR(10))&amp;$A80,BC79)</f>
        <v>○ 045 人力與輪班模型</v>
      </c>
      <c r="BD80" s="0" t="str">
        <f aca="false">IF(AND($B80="D08",$C80="G3"),BD79&amp;IF(BD79="","",CHAR(10))&amp;$A80,BD79)</f>
        <v>◐ 046 職能矩陣與授權</v>
      </c>
      <c r="BE80" s="363" t="str">
        <f aca="false">IF(AND($B80="D08",$C80="G4"),BE79&amp;IF(BE79="","",CHAR(10))&amp;$A80,BE79)</f>
        <v>◐ 047 種子教師與技術移轉
◐ 049 變革管理與使用者採納</v>
      </c>
      <c r="BF80" s="0" t="str">
        <f aca="false">IF(AND($B80="D08",$C80="G5"),BF79&amp;IF(BF79="","",CHAR(10))&amp;$A80,BF79)</f>
        <v>◐ 048 模擬中心與開院演練</v>
      </c>
      <c r="BG80" s="0" t="str">
        <f aca="false">IF(AND($B80="D08",$C80="G6"),BG79&amp;IF(BG79="","",CHAR(10))&amp;$A80,BG79)</f>
        <v/>
      </c>
      <c r="BH80" s="0" t="str">
        <f aca="false">IF(AND($B80="D09",$C80="G0"),BH79&amp;IF(BH79="","",CHAR(10))&amp;$A80,BH79)</f>
        <v/>
      </c>
      <c r="BI80" s="0" t="str">
        <f aca="false">IF(AND($B80="D09",$C80="G1"),BI79&amp;IF(BI79="","",CHAR(10))&amp;$A80,BI79)</f>
        <v/>
      </c>
      <c r="BJ80" s="0" t="str">
        <f aca="false">IF(AND($B80="D09",$C80="G2"),BJ79&amp;IF(BJ79="","",CHAR(10))&amp;$A80,BJ79)</f>
        <v>◐ 050 整合採購與供應商治理</v>
      </c>
      <c r="BK80" s="0" t="str">
        <f aca="false">IF(AND($B80="D09",$C80="G3"),BK79&amp;IF(BK79="","",CHAR(10))&amp;$A80,BK79)</f>
        <v/>
      </c>
      <c r="BL80" s="363" t="str">
        <f aca="false">IF(AND($B80="D09",$C80="G4"),BL79&amp;IF(BL79="","",CHAR(10))&amp;$A80,BL79)</f>
        <v>◐ 051 藥品耗材與SPD物流
◐ 052 冷鏈與特殊物料
● 053 CMMS與設施維運</v>
      </c>
      <c r="BM80" s="0" t="str">
        <f aca="false">IF(AND($B80="D09",$C80="G5"),BM79&amp;IF(BM79="","",CHAR(10))&amp;$A80,BM79)</f>
        <v>◐ 054 在地備品、維修與汰換</v>
      </c>
      <c r="BN80" s="0" t="str">
        <f aca="false">IF(AND($B80="D09",$C80="G6"),BN79&amp;IF(BN79="","",CHAR(10))&amp;$A80,BN79)</f>
        <v/>
      </c>
      <c r="BO80" s="0" t="str">
        <f aca="false">IF(AND($B80="D10",$C80="G0"),BO79&amp;IF(BO79="","",CHAR(10))&amp;$A80,BO79)</f>
        <v/>
      </c>
      <c r="BP80" s="0" t="str">
        <f aca="false">IF(AND($B80="D10",$C80="G1"),BP79&amp;IF(BP79="","",CHAR(10))&amp;$A80,BP79)</f>
        <v>◐ 055 全生命週期成本模型</v>
      </c>
      <c r="BQ80" s="0" t="str">
        <f aca="false">IF(AND($B80="D10",$C80="G2"),BQ79&amp;IF(BQ79="","",CHAR(10))&amp;$A80,BQ79)</f>
        <v>◐ 059 PPP／JV財務與風險分配</v>
      </c>
      <c r="BR80" s="0" t="str">
        <f aca="false">IF(AND($B80="D10",$C80="G3"),BR79&amp;IF(BR79="","",CHAR(10))&amp;$A80,BR79)</f>
        <v/>
      </c>
      <c r="BS80" s="363" t="str">
        <f aca="false">IF(AND($B80="D10",$C80="G4"),BS79&amp;IF(BS79="","",CHAR(10))&amp;$A80,BS79)</f>
        <v>○ 056 健保申報與數位理賠
○ 057 現金流、支付與收入週期</v>
      </c>
      <c r="BT80" s="0" t="str">
        <f aca="false">IF(AND($B80="D10",$C80="G5"),BT79&amp;IF(BT79="","",CHAR(10))&amp;$A80,BT79)</f>
        <v>○ 058 國際醫療與高價值服務</v>
      </c>
      <c r="BU80" s="0" t="str">
        <f aca="false">IF(AND($B80="D10",$C80="G6"),BU79&amp;IF(BU79="","",CHAR(10))&amp;$A80,BU79)</f>
        <v>◐ 060 效益實現與複製藍圖</v>
      </c>
      <c r="BX80" s="0" t="str">
        <f aca="false">IF(AND(03_能力總表_Master!$A80&lt;&gt;"",LEFT(03_能力總表_Master!$H80,2)="缺口"),MAX($BX$4:BX79)+1,"")</f>
        <v/>
      </c>
      <c r="BY80" s="0" t="str">
        <f aca="false">IF(AND(03_能力總表_Master!$A80&lt;&gt;"",03_能力總表_Master!$J80=12_夥伴視角_PartnerView!$C$4),MAX($BY$4:BY79)+1,"")</f>
        <v/>
      </c>
      <c r="CC80" s="0" t="str">
        <f aca="false">IF(AND(03_能力總表_Master!$A80&lt;&gt;"",IFERROR(INDEX(16_能力商機矩陣_CapOppMap!$D80:$CO80,MATCH(LEFT(17_商機作戰卡_OppView!$C$4,6),16_能力商機矩陣_CapOppMap!$D$4:$CO$4,0)),"")="✓"),MAX($CC$4:CC79)+1,"")</f>
        <v/>
      </c>
    </row>
    <row r="81" customFormat="false" ht="95.5" hidden="false" customHeight="false" outlineLevel="0" collapsed="false">
      <c r="A81" s="0" t="str">
        <f aca="false">IF(03_能力總表_Master!$A81="","",IF(LEFT(03_能力總表_Master!$H81,2)="群晶","● ",IF(ISNUMBER(SEARCH("已確認",03_能力總表_Master!$H81)),"◆ ",IF(ISNUMBER(SEARCH("缺口",03_能力總表_Master!$H81)),"○ ","◐ ")))&amp;RIGHT(03_能力總表_Master!$A81,3)&amp;" "&amp;03_能力總表_Master!$E81)</f>
        <v/>
      </c>
      <c r="B81" s="0" t="str">
        <f aca="false">IF(03_能力總表_Master!$A81="","",LEFT(03_能力總表_Master!$B81,3))</f>
        <v/>
      </c>
      <c r="C81" s="0" t="str">
        <f aca="false">IF(03_能力總表_Master!$A81="","",03_能力總表_Master!$C81)</f>
        <v/>
      </c>
      <c r="D81" s="363" t="str">
        <f aca="false">IF(AND($B81="D01",$C81="G0"),D80&amp;IF(D80="","",CHAR(10))&amp;$A81,D80)</f>
        <v>◐ 001 政府授權與計畫章程
◐ 002 利害關係人與權力地圖
◐ 005 聯盟治理與利益衝突</v>
      </c>
      <c r="E81" s="363" t="str">
        <f aca="false">IF(AND($B81="D01",$C81="G1"),E80&amp;IF(E80="","",CHAR(10))&amp;$A81,E80)</f>
        <v>◐ 003 交易模式選擇
◐ 004 法規與執照路徑</v>
      </c>
      <c r="F81" s="0" t="str">
        <f aca="false">IF(AND($B81="D01",$C81="G2"),F80&amp;IF(F80="","",CHAR(10))&amp;$A81,F80)</f>
        <v>◐ 006 績效契約與變更控制</v>
      </c>
      <c r="G81" s="0" t="str">
        <f aca="false">IF(AND($B81="D01",$C81="G3"),G80&amp;IF(G80="","",CHAR(10))&amp;$A81,G80)</f>
        <v/>
      </c>
      <c r="H81" s="0" t="str">
        <f aca="false">IF(AND($B81="D01",$C81="G4"),H80&amp;IF(H80="","",CHAR(10))&amp;$A81,H80)</f>
        <v/>
      </c>
      <c r="I81" s="0" t="str">
        <f aca="false">IF(AND($B81="D01",$C81="G5"),I80&amp;IF(I80="","",CHAR(10))&amp;$A81,I80)</f>
        <v/>
      </c>
      <c r="J81" s="0" t="str">
        <f aca="false">IF(AND($B81="D01",$C81="G6"),J80&amp;IF(J80="","",CHAR(10))&amp;$A81,J80)</f>
        <v/>
      </c>
      <c r="K81" s="0" t="str">
        <f aca="false">IF(AND($B81="D02",$C81="G0"),K80&amp;IF(K80="","",CHAR(10))&amp;$A81,K80)</f>
        <v/>
      </c>
      <c r="L81" s="363" t="str">
        <f aca="false">IF(AND($B81="D02",$C81="G1"),L80&amp;IF(L80="","",CHAR(10))&amp;$A81,L80)</f>
        <v>◐ 007 人口需求與病例量預測
◐ 008 醫院定位與服務組合
◐ 009 重點專科優先化
◐ 010 病人流程與容量設計
◐ 011 轉診與區域照護網絡
◐ 012 臨床治理與責任架構</v>
      </c>
      <c r="M81" s="0" t="str">
        <f aca="false">IF(AND($B81="D02",$C81="G2"),M80&amp;IF(M80="","",CHAR(10))&amp;$A81,M80)</f>
        <v/>
      </c>
      <c r="N81" s="0" t="str">
        <f aca="false">IF(AND($B81="D02",$C81="G3"),N80&amp;IF(N80="","",CHAR(10))&amp;$A81,N80)</f>
        <v/>
      </c>
      <c r="O81" s="0" t="str">
        <f aca="false">IF(AND($B81="D02",$C81="G4"),O80&amp;IF(O80="","",CHAR(10))&amp;$A81,O80)</f>
        <v/>
      </c>
      <c r="P81" s="0" t="str">
        <f aca="false">IF(AND($B81="D02",$C81="G5"),P80&amp;IF(P80="","",CHAR(10))&amp;$A81,P80)</f>
        <v/>
      </c>
      <c r="Q81" s="0" t="str">
        <f aca="false">IF(AND($B81="D02",$C81="G6"),Q80&amp;IF(Q80="","",CHAR(10))&amp;$A81,Q80)</f>
        <v/>
      </c>
      <c r="R81" s="0" t="str">
        <f aca="false">IF(AND($B81="D03",$C81="G0"),R80&amp;IF(R80="","",CHAR(10))&amp;$A81,R80)</f>
        <v/>
      </c>
      <c r="S81" s="0" t="str">
        <f aca="false">IF(AND($B81="D03",$C81="G1"),S80&amp;IF(S80="","",CHAR(10))&amp;$A81,S80)</f>
        <v>◐ 013 場址與醫院總體規劃</v>
      </c>
      <c r="T81" s="363" t="str">
        <f aca="false">IF(AND($B81="D03",$C81="G2"),T80&amp;IF(T80="","",CHAR(10))&amp;$A81,T80)</f>
        <v>◐ 014 醫療建築功能計畫
◐ 015 感染控制與潔污動線
◐ 019 綠色與氣候韌性醫院</v>
      </c>
      <c r="U81" s="363" t="str">
        <f aca="false">IF(AND($B81="D03",$C81="G3"),U80&amp;IF(U80="","",CHAR(10))&amp;$A81,U80)</f>
        <v>● 016 電力、備援與微電網
◐ 017 醫療氣體與關鍵公用系統
◐ 018 醫療廢棄物與水資源</v>
      </c>
      <c r="V81" s="0" t="str">
        <f aca="false">IF(AND($B81="D03",$C81="G4"),V80&amp;IF(V80="","",CHAR(10))&amp;$A81,V80)</f>
        <v/>
      </c>
      <c r="W81" s="0" t="str">
        <f aca="false">IF(AND($B81="D03",$C81="G5"),W80&amp;IF(W80="","",CHAR(10))&amp;$A81,W80)</f>
        <v/>
      </c>
      <c r="X81" s="0" t="str">
        <f aca="false">IF(AND($B81="D03",$C81="G6"),X80&amp;IF(X80="","",CHAR(10))&amp;$A81,X80)</f>
        <v/>
      </c>
      <c r="Y81" s="0" t="str">
        <f aca="false">IF(AND($B81="D04",$C81="G0"),Y80&amp;IF(Y80="","",CHAR(10))&amp;$A81,Y80)</f>
        <v/>
      </c>
      <c r="Z81" s="0" t="str">
        <f aca="false">IF(AND($B81="D04",$C81="G1"),Z80&amp;IF(Z80="","",CHAR(10))&amp;$A81,Z80)</f>
        <v/>
      </c>
      <c r="AA81" s="0" t="str">
        <f aca="false">IF(AND($B81="D04",$C81="G2"),AA80&amp;IF(AA80="","",CHAR(10))&amp;$A81,AA80)</f>
        <v/>
      </c>
      <c r="AB81" s="0" t="str">
        <f aca="false">IF(AND($B81="D04",$C81="G3"),AB80&amp;IF(AB80="","",CHAR(10))&amp;$A81,AB80)</f>
        <v>● 020 IDC與邊緣運算底座</v>
      </c>
      <c r="AC81" s="363" t="str">
        <f aca="false">IF(AND($B81="D04",$C81="G4"),AC80&amp;IF(AC80="","",CHAR(10))&amp;$A81,AC80)</f>
        <v>● 021 有線無線網路與分區
◐ 022 資安營運與零信任
● 023 BMS與能源管理
● 024 RTLS與資產／人員定位
● 025 智慧病房、護理呼叫與感測
● 026 災難復原與營運持續</v>
      </c>
      <c r="AD81" s="0" t="str">
        <f aca="false">IF(AND($B81="D04",$C81="G5"),AD80&amp;IF(AD80="","",CHAR(10))&amp;$A81,AD80)</f>
        <v/>
      </c>
      <c r="AE81" s="0" t="str">
        <f aca="false">IF(AND($B81="D04",$C81="G6"),AE80&amp;IF(AE80="","",CHAR(10))&amp;$A81,AE80)</f>
        <v/>
      </c>
      <c r="AF81" s="0" t="str">
        <f aca="false">IF(AND($B81="D05",$C81="G0"),AF80&amp;IF(AF80="","",CHAR(10))&amp;$A81,AF80)</f>
        <v/>
      </c>
      <c r="AG81" s="0" t="str">
        <f aca="false">IF(AND($B81="D05",$C81="G1"),AG80&amp;IF(AG80="","",CHAR(10))&amp;$A81,AG80)</f>
        <v/>
      </c>
      <c r="AH81" s="0" t="str">
        <f aca="false">IF(AND($B81="D05",$C81="G2"),AH80&amp;IF(AH80="","",CHAR(10))&amp;$A81,AH80)</f>
        <v>◐ 027 醫材需求與設備計畫</v>
      </c>
      <c r="AI81" s="0" t="str">
        <f aca="false">IF(AND($B81="D05",$C81="G3"),AI80&amp;IF(AI80="","",CHAR(10))&amp;$A81,AI80)</f>
        <v/>
      </c>
      <c r="AJ81" s="363" t="str">
        <f aca="false">IF(AND($B81="D05",$C81="G4"),AJ80&amp;IF(AJ80="","",CHAR(10))&amp;$A81,AJ80)</f>
        <v>○ 028 影像設備、PACS與報告流程
○ 029 實驗室自動化與LIS
○ 030 手術室與重症整合
◐ 031 醫材介接與裝置身分
◐ 032 醫療工程與設備生命週期</v>
      </c>
      <c r="AK81" s="0" t="str">
        <f aca="false">IF(AND($B81="D05",$C81="G5"),AK80&amp;IF(AK80="","",CHAR(10))&amp;$A81,AK80)</f>
        <v/>
      </c>
      <c r="AL81" s="0" t="str">
        <f aca="false">IF(AND($B81="D05",$C81="G6"),AL80&amp;IF(AL80="","",CHAR(10))&amp;$A81,AL80)</f>
        <v/>
      </c>
      <c r="AM81" s="0" t="str">
        <f aca="false">IF(AND($B81="D06",$C81="G0"),AM80&amp;IF(AM80="","",CHAR(10))&amp;$A81,AM80)</f>
        <v/>
      </c>
      <c r="AN81" s="0" t="str">
        <f aca="false">IF(AND($B81="D06",$C81="G1"),AN80&amp;IF(AN80="","",CHAR(10))&amp;$A81,AN80)</f>
        <v/>
      </c>
      <c r="AO81" s="0" t="str">
        <f aca="false">IF(AND($B81="D06",$C81="G2"),AO80&amp;IF(AO80="","",CHAR(10))&amp;$A81,AO80)</f>
        <v/>
      </c>
      <c r="AP81" s="363" t="str">
        <f aca="false">IF(AND($B81="D06",$C81="G3"),AP80&amp;IF(AP80="","",CHAR(10))&amp;$A81,AP80)</f>
        <v>◐ 033 HIS／EMR核心平台
◐ 036 臨床術語與主資料治理</v>
      </c>
      <c r="AQ81" s="363" t="str">
        <f aca="false">IF(AND($B81="D06",$C81="G4"),AQ80&amp;IF(AQ80="","",CHAR(10))&amp;$A81,AQ80)</f>
        <v>◐ 034 FHIR介接與API管理
○ 035 主病人索引與身分整合
◐ 037 電子醫囑、用藥與決策支援
◐ 038 資料平台、BI與營運指揮</v>
      </c>
      <c r="AR81" s="0" t="str">
        <f aca="false">IF(AND($B81="D06",$C81="G5"),AR80&amp;IF(AR80="","",CHAR(10))&amp;$A81,AR80)</f>
        <v>○ 039 病人入口、行動服務與VNeID準備</v>
      </c>
      <c r="AS81" s="0" t="str">
        <f aca="false">IF(AND($B81="D06",$C81="G6"),AS80&amp;IF(AS80="","",CHAR(10))&amp;$A81,AS80)</f>
        <v/>
      </c>
      <c r="AT81" s="0" t="str">
        <f aca="false">IF(AND($B81="D07",$C81="G0"),AT80&amp;IF(AT80="","",CHAR(10))&amp;$A81,AT80)</f>
        <v/>
      </c>
      <c r="AU81" s="0" t="str">
        <f aca="false">IF(AND($B81="D07",$C81="G1"),AU80&amp;IF(AU80="","",CHAR(10))&amp;$A81,AU80)</f>
        <v/>
      </c>
      <c r="AV81" s="0" t="str">
        <f aca="false">IF(AND($B81="D07",$C81="G2"),AV80&amp;IF(AV80="","",CHAR(10))&amp;$A81,AV80)</f>
        <v>◐ 040 品質管理與JCI路線圖</v>
      </c>
      <c r="AW81" s="363" t="str">
        <f aca="false">IF(AND($B81="D07",$C81="G3"),AW80&amp;IF(AW80="","",CHAR(10))&amp;$A81,AW80)</f>
        <v>◐ 041 感染預防與控制制度
◐ 043 事件通報與根因改善</v>
      </c>
      <c r="AX81" s="0" t="str">
        <f aca="false">IF(AND($B81="D07",$C81="G4"),AX80&amp;IF(AX80="","",CHAR(10))&amp;$A81,AX80)</f>
        <v>◐ 042 用藥安全閉環</v>
      </c>
      <c r="AY81" s="0" t="str">
        <f aca="false">IF(AND($B81="D07",$C81="G5"),AY80&amp;IF(AY80="","",CHAR(10))&amp;$A81,AY80)</f>
        <v>◐ 044 開院臨床安全驗證</v>
      </c>
      <c r="AZ81" s="0" t="str">
        <f aca="false">IF(AND($B81="D07",$C81="G6"),AZ80&amp;IF(AZ80="","",CHAR(10))&amp;$A81,AZ80)</f>
        <v/>
      </c>
      <c r="BA81" s="0" t="str">
        <f aca="false">IF(AND($B81="D08",$C81="G0"),BA80&amp;IF(BA80="","",CHAR(10))&amp;$A81,BA80)</f>
        <v/>
      </c>
      <c r="BB81" s="0" t="str">
        <f aca="false">IF(AND($B81="D08",$C81="G1"),BB80&amp;IF(BB80="","",CHAR(10))&amp;$A81,BB80)</f>
        <v/>
      </c>
      <c r="BC81" s="0" t="str">
        <f aca="false">IF(AND($B81="D08",$C81="G2"),BC80&amp;IF(BC80="","",CHAR(10))&amp;$A81,BC80)</f>
        <v>○ 045 人力與輪班模型</v>
      </c>
      <c r="BD81" s="0" t="str">
        <f aca="false">IF(AND($B81="D08",$C81="G3"),BD80&amp;IF(BD80="","",CHAR(10))&amp;$A81,BD80)</f>
        <v>◐ 046 職能矩陣與授權</v>
      </c>
      <c r="BE81" s="363" t="str">
        <f aca="false">IF(AND($B81="D08",$C81="G4"),BE80&amp;IF(BE80="","",CHAR(10))&amp;$A81,BE80)</f>
        <v>◐ 047 種子教師與技術移轉
◐ 049 變革管理與使用者採納</v>
      </c>
      <c r="BF81" s="0" t="str">
        <f aca="false">IF(AND($B81="D08",$C81="G5"),BF80&amp;IF(BF80="","",CHAR(10))&amp;$A81,BF80)</f>
        <v>◐ 048 模擬中心與開院演練</v>
      </c>
      <c r="BG81" s="0" t="str">
        <f aca="false">IF(AND($B81="D08",$C81="G6"),BG80&amp;IF(BG80="","",CHAR(10))&amp;$A81,BG80)</f>
        <v/>
      </c>
      <c r="BH81" s="0" t="str">
        <f aca="false">IF(AND($B81="D09",$C81="G0"),BH80&amp;IF(BH80="","",CHAR(10))&amp;$A81,BH80)</f>
        <v/>
      </c>
      <c r="BI81" s="0" t="str">
        <f aca="false">IF(AND($B81="D09",$C81="G1"),BI80&amp;IF(BI80="","",CHAR(10))&amp;$A81,BI80)</f>
        <v/>
      </c>
      <c r="BJ81" s="0" t="str">
        <f aca="false">IF(AND($B81="D09",$C81="G2"),BJ80&amp;IF(BJ80="","",CHAR(10))&amp;$A81,BJ80)</f>
        <v>◐ 050 整合採購與供應商治理</v>
      </c>
      <c r="BK81" s="0" t="str">
        <f aca="false">IF(AND($B81="D09",$C81="G3"),BK80&amp;IF(BK80="","",CHAR(10))&amp;$A81,BK80)</f>
        <v/>
      </c>
      <c r="BL81" s="363" t="str">
        <f aca="false">IF(AND($B81="D09",$C81="G4"),BL80&amp;IF(BL80="","",CHAR(10))&amp;$A81,BL80)</f>
        <v>◐ 051 藥品耗材與SPD物流
◐ 052 冷鏈與特殊物料
● 053 CMMS與設施維運</v>
      </c>
      <c r="BM81" s="0" t="str">
        <f aca="false">IF(AND($B81="D09",$C81="G5"),BM80&amp;IF(BM80="","",CHAR(10))&amp;$A81,BM80)</f>
        <v>◐ 054 在地備品、維修與汰換</v>
      </c>
      <c r="BN81" s="0" t="str">
        <f aca="false">IF(AND($B81="D09",$C81="G6"),BN80&amp;IF(BN80="","",CHAR(10))&amp;$A81,BN80)</f>
        <v/>
      </c>
      <c r="BO81" s="0" t="str">
        <f aca="false">IF(AND($B81="D10",$C81="G0"),BO80&amp;IF(BO80="","",CHAR(10))&amp;$A81,BO80)</f>
        <v/>
      </c>
      <c r="BP81" s="0" t="str">
        <f aca="false">IF(AND($B81="D10",$C81="G1"),BP80&amp;IF(BP80="","",CHAR(10))&amp;$A81,BP80)</f>
        <v>◐ 055 全生命週期成本模型</v>
      </c>
      <c r="BQ81" s="0" t="str">
        <f aca="false">IF(AND($B81="D10",$C81="G2"),BQ80&amp;IF(BQ80="","",CHAR(10))&amp;$A81,BQ80)</f>
        <v>◐ 059 PPP／JV財務與風險分配</v>
      </c>
      <c r="BR81" s="0" t="str">
        <f aca="false">IF(AND($B81="D10",$C81="G3"),BR80&amp;IF(BR80="","",CHAR(10))&amp;$A81,BR80)</f>
        <v/>
      </c>
      <c r="BS81" s="363" t="str">
        <f aca="false">IF(AND($B81="D10",$C81="G4"),BS80&amp;IF(BS80="","",CHAR(10))&amp;$A81,BS80)</f>
        <v>○ 056 健保申報與數位理賠
○ 057 現金流、支付與收入週期</v>
      </c>
      <c r="BT81" s="0" t="str">
        <f aca="false">IF(AND($B81="D10",$C81="G5"),BT80&amp;IF(BT80="","",CHAR(10))&amp;$A81,BT80)</f>
        <v>○ 058 國際醫療與高價值服務</v>
      </c>
      <c r="BU81" s="0" t="str">
        <f aca="false">IF(AND($B81="D10",$C81="G6"),BU80&amp;IF(BU80="","",CHAR(10))&amp;$A81,BU80)</f>
        <v>◐ 060 效益實現與複製藍圖</v>
      </c>
      <c r="BX81" s="0" t="str">
        <f aca="false">IF(AND(03_能力總表_Master!$A81&lt;&gt;"",LEFT(03_能力總表_Master!$H81,2)="缺口"),MAX($BX$4:BX80)+1,"")</f>
        <v/>
      </c>
      <c r="BY81" s="0" t="str">
        <f aca="false">IF(AND(03_能力總表_Master!$A81&lt;&gt;"",03_能力總表_Master!$J81=12_夥伴視角_PartnerView!$C$4),MAX($BY$4:BY80)+1,"")</f>
        <v/>
      </c>
      <c r="CC81" s="0" t="str">
        <f aca="false">IF(AND(03_能力總表_Master!$A81&lt;&gt;"",IFERROR(INDEX(16_能力商機矩陣_CapOppMap!$D81:$CO81,MATCH(LEFT(17_商機作戰卡_OppView!$C$4,6),16_能力商機矩陣_CapOppMap!$D$4:$CO$4,0)),"")="✓"),MAX($CC$4:CC80)+1,"")</f>
        <v/>
      </c>
    </row>
    <row r="82" customFormat="false" ht="95.5" hidden="false" customHeight="false" outlineLevel="0" collapsed="false">
      <c r="A82" s="0" t="str">
        <f aca="false">IF(03_能力總表_Master!$A82="","",IF(LEFT(03_能力總表_Master!$H82,2)="群晶","● ",IF(ISNUMBER(SEARCH("已確認",03_能力總表_Master!$H82)),"◆ ",IF(ISNUMBER(SEARCH("缺口",03_能力總表_Master!$H82)),"○ ","◐ ")))&amp;RIGHT(03_能力總表_Master!$A82,3)&amp;" "&amp;03_能力總表_Master!$E82)</f>
        <v/>
      </c>
      <c r="B82" s="0" t="str">
        <f aca="false">IF(03_能力總表_Master!$A82="","",LEFT(03_能力總表_Master!$B82,3))</f>
        <v/>
      </c>
      <c r="C82" s="0" t="str">
        <f aca="false">IF(03_能力總表_Master!$A82="","",03_能力總表_Master!$C82)</f>
        <v/>
      </c>
      <c r="D82" s="363" t="str">
        <f aca="false">IF(AND($B82="D01",$C82="G0"),D81&amp;IF(D81="","",CHAR(10))&amp;$A82,D81)</f>
        <v>◐ 001 政府授權與計畫章程
◐ 002 利害關係人與權力地圖
◐ 005 聯盟治理與利益衝突</v>
      </c>
      <c r="E82" s="363" t="str">
        <f aca="false">IF(AND($B82="D01",$C82="G1"),E81&amp;IF(E81="","",CHAR(10))&amp;$A82,E81)</f>
        <v>◐ 003 交易模式選擇
◐ 004 法規與執照路徑</v>
      </c>
      <c r="F82" s="0" t="str">
        <f aca="false">IF(AND($B82="D01",$C82="G2"),F81&amp;IF(F81="","",CHAR(10))&amp;$A82,F81)</f>
        <v>◐ 006 績效契約與變更控制</v>
      </c>
      <c r="G82" s="0" t="str">
        <f aca="false">IF(AND($B82="D01",$C82="G3"),G81&amp;IF(G81="","",CHAR(10))&amp;$A82,G81)</f>
        <v/>
      </c>
      <c r="H82" s="0" t="str">
        <f aca="false">IF(AND($B82="D01",$C82="G4"),H81&amp;IF(H81="","",CHAR(10))&amp;$A82,H81)</f>
        <v/>
      </c>
      <c r="I82" s="0" t="str">
        <f aca="false">IF(AND($B82="D01",$C82="G5"),I81&amp;IF(I81="","",CHAR(10))&amp;$A82,I81)</f>
        <v/>
      </c>
      <c r="J82" s="0" t="str">
        <f aca="false">IF(AND($B82="D01",$C82="G6"),J81&amp;IF(J81="","",CHAR(10))&amp;$A82,J81)</f>
        <v/>
      </c>
      <c r="K82" s="0" t="str">
        <f aca="false">IF(AND($B82="D02",$C82="G0"),K81&amp;IF(K81="","",CHAR(10))&amp;$A82,K81)</f>
        <v/>
      </c>
      <c r="L82" s="363" t="str">
        <f aca="false">IF(AND($B82="D02",$C82="G1"),L81&amp;IF(L81="","",CHAR(10))&amp;$A82,L81)</f>
        <v>◐ 007 人口需求與病例量預測
◐ 008 醫院定位與服務組合
◐ 009 重點專科優先化
◐ 010 病人流程與容量設計
◐ 011 轉診與區域照護網絡
◐ 012 臨床治理與責任架構</v>
      </c>
      <c r="M82" s="0" t="str">
        <f aca="false">IF(AND($B82="D02",$C82="G2"),M81&amp;IF(M81="","",CHAR(10))&amp;$A82,M81)</f>
        <v/>
      </c>
      <c r="N82" s="0" t="str">
        <f aca="false">IF(AND($B82="D02",$C82="G3"),N81&amp;IF(N81="","",CHAR(10))&amp;$A82,N81)</f>
        <v/>
      </c>
      <c r="O82" s="0" t="str">
        <f aca="false">IF(AND($B82="D02",$C82="G4"),O81&amp;IF(O81="","",CHAR(10))&amp;$A82,O81)</f>
        <v/>
      </c>
      <c r="P82" s="0" t="str">
        <f aca="false">IF(AND($B82="D02",$C82="G5"),P81&amp;IF(P81="","",CHAR(10))&amp;$A82,P81)</f>
        <v/>
      </c>
      <c r="Q82" s="0" t="str">
        <f aca="false">IF(AND($B82="D02",$C82="G6"),Q81&amp;IF(Q81="","",CHAR(10))&amp;$A82,Q81)</f>
        <v/>
      </c>
      <c r="R82" s="0" t="str">
        <f aca="false">IF(AND($B82="D03",$C82="G0"),R81&amp;IF(R81="","",CHAR(10))&amp;$A82,R81)</f>
        <v/>
      </c>
      <c r="S82" s="0" t="str">
        <f aca="false">IF(AND($B82="D03",$C82="G1"),S81&amp;IF(S81="","",CHAR(10))&amp;$A82,S81)</f>
        <v>◐ 013 場址與醫院總體規劃</v>
      </c>
      <c r="T82" s="363" t="str">
        <f aca="false">IF(AND($B82="D03",$C82="G2"),T81&amp;IF(T81="","",CHAR(10))&amp;$A82,T81)</f>
        <v>◐ 014 醫療建築功能計畫
◐ 015 感染控制與潔污動線
◐ 019 綠色與氣候韌性醫院</v>
      </c>
      <c r="U82" s="363" t="str">
        <f aca="false">IF(AND($B82="D03",$C82="G3"),U81&amp;IF(U81="","",CHAR(10))&amp;$A82,U81)</f>
        <v>● 016 電力、備援與微電網
◐ 017 醫療氣體與關鍵公用系統
◐ 018 醫療廢棄物與水資源</v>
      </c>
      <c r="V82" s="0" t="str">
        <f aca="false">IF(AND($B82="D03",$C82="G4"),V81&amp;IF(V81="","",CHAR(10))&amp;$A82,V81)</f>
        <v/>
      </c>
      <c r="W82" s="0" t="str">
        <f aca="false">IF(AND($B82="D03",$C82="G5"),W81&amp;IF(W81="","",CHAR(10))&amp;$A82,W81)</f>
        <v/>
      </c>
      <c r="X82" s="0" t="str">
        <f aca="false">IF(AND($B82="D03",$C82="G6"),X81&amp;IF(X81="","",CHAR(10))&amp;$A82,X81)</f>
        <v/>
      </c>
      <c r="Y82" s="0" t="str">
        <f aca="false">IF(AND($B82="D04",$C82="G0"),Y81&amp;IF(Y81="","",CHAR(10))&amp;$A82,Y81)</f>
        <v/>
      </c>
      <c r="Z82" s="0" t="str">
        <f aca="false">IF(AND($B82="D04",$C82="G1"),Z81&amp;IF(Z81="","",CHAR(10))&amp;$A82,Z81)</f>
        <v/>
      </c>
      <c r="AA82" s="0" t="str">
        <f aca="false">IF(AND($B82="D04",$C82="G2"),AA81&amp;IF(AA81="","",CHAR(10))&amp;$A82,AA81)</f>
        <v/>
      </c>
      <c r="AB82" s="0" t="str">
        <f aca="false">IF(AND($B82="D04",$C82="G3"),AB81&amp;IF(AB81="","",CHAR(10))&amp;$A82,AB81)</f>
        <v>● 020 IDC與邊緣運算底座</v>
      </c>
      <c r="AC82" s="363" t="str">
        <f aca="false">IF(AND($B82="D04",$C82="G4"),AC81&amp;IF(AC81="","",CHAR(10))&amp;$A82,AC81)</f>
        <v>● 021 有線無線網路與分區
◐ 022 資安營運與零信任
● 023 BMS與能源管理
● 024 RTLS與資產／人員定位
● 025 智慧病房、護理呼叫與感測
● 026 災難復原與營運持續</v>
      </c>
      <c r="AD82" s="0" t="str">
        <f aca="false">IF(AND($B82="D04",$C82="G5"),AD81&amp;IF(AD81="","",CHAR(10))&amp;$A82,AD81)</f>
        <v/>
      </c>
      <c r="AE82" s="0" t="str">
        <f aca="false">IF(AND($B82="D04",$C82="G6"),AE81&amp;IF(AE81="","",CHAR(10))&amp;$A82,AE81)</f>
        <v/>
      </c>
      <c r="AF82" s="0" t="str">
        <f aca="false">IF(AND($B82="D05",$C82="G0"),AF81&amp;IF(AF81="","",CHAR(10))&amp;$A82,AF81)</f>
        <v/>
      </c>
      <c r="AG82" s="0" t="str">
        <f aca="false">IF(AND($B82="D05",$C82="G1"),AG81&amp;IF(AG81="","",CHAR(10))&amp;$A82,AG81)</f>
        <v/>
      </c>
      <c r="AH82" s="0" t="str">
        <f aca="false">IF(AND($B82="D05",$C82="G2"),AH81&amp;IF(AH81="","",CHAR(10))&amp;$A82,AH81)</f>
        <v>◐ 027 醫材需求與設備計畫</v>
      </c>
      <c r="AI82" s="0" t="str">
        <f aca="false">IF(AND($B82="D05",$C82="G3"),AI81&amp;IF(AI81="","",CHAR(10))&amp;$A82,AI81)</f>
        <v/>
      </c>
      <c r="AJ82" s="363" t="str">
        <f aca="false">IF(AND($B82="D05",$C82="G4"),AJ81&amp;IF(AJ81="","",CHAR(10))&amp;$A82,AJ81)</f>
        <v>○ 028 影像設備、PACS與報告流程
○ 029 實驗室自動化與LIS
○ 030 手術室與重症整合
◐ 031 醫材介接與裝置身分
◐ 032 醫療工程與設備生命週期</v>
      </c>
      <c r="AK82" s="0" t="str">
        <f aca="false">IF(AND($B82="D05",$C82="G5"),AK81&amp;IF(AK81="","",CHAR(10))&amp;$A82,AK81)</f>
        <v/>
      </c>
      <c r="AL82" s="0" t="str">
        <f aca="false">IF(AND($B82="D05",$C82="G6"),AL81&amp;IF(AL81="","",CHAR(10))&amp;$A82,AL81)</f>
        <v/>
      </c>
      <c r="AM82" s="0" t="str">
        <f aca="false">IF(AND($B82="D06",$C82="G0"),AM81&amp;IF(AM81="","",CHAR(10))&amp;$A82,AM81)</f>
        <v/>
      </c>
      <c r="AN82" s="0" t="str">
        <f aca="false">IF(AND($B82="D06",$C82="G1"),AN81&amp;IF(AN81="","",CHAR(10))&amp;$A82,AN81)</f>
        <v/>
      </c>
      <c r="AO82" s="0" t="str">
        <f aca="false">IF(AND($B82="D06",$C82="G2"),AO81&amp;IF(AO81="","",CHAR(10))&amp;$A82,AO81)</f>
        <v/>
      </c>
      <c r="AP82" s="363" t="str">
        <f aca="false">IF(AND($B82="D06",$C82="G3"),AP81&amp;IF(AP81="","",CHAR(10))&amp;$A82,AP81)</f>
        <v>◐ 033 HIS／EMR核心平台
◐ 036 臨床術語與主資料治理</v>
      </c>
      <c r="AQ82" s="363" t="str">
        <f aca="false">IF(AND($B82="D06",$C82="G4"),AQ81&amp;IF(AQ81="","",CHAR(10))&amp;$A82,AQ81)</f>
        <v>◐ 034 FHIR介接與API管理
○ 035 主病人索引與身分整合
◐ 037 電子醫囑、用藥與決策支援
◐ 038 資料平台、BI與營運指揮</v>
      </c>
      <c r="AR82" s="0" t="str">
        <f aca="false">IF(AND($B82="D06",$C82="G5"),AR81&amp;IF(AR81="","",CHAR(10))&amp;$A82,AR81)</f>
        <v>○ 039 病人入口、行動服務與VNeID準備</v>
      </c>
      <c r="AS82" s="0" t="str">
        <f aca="false">IF(AND($B82="D06",$C82="G6"),AS81&amp;IF(AS81="","",CHAR(10))&amp;$A82,AS81)</f>
        <v/>
      </c>
      <c r="AT82" s="0" t="str">
        <f aca="false">IF(AND($B82="D07",$C82="G0"),AT81&amp;IF(AT81="","",CHAR(10))&amp;$A82,AT81)</f>
        <v/>
      </c>
      <c r="AU82" s="0" t="str">
        <f aca="false">IF(AND($B82="D07",$C82="G1"),AU81&amp;IF(AU81="","",CHAR(10))&amp;$A82,AU81)</f>
        <v/>
      </c>
      <c r="AV82" s="0" t="str">
        <f aca="false">IF(AND($B82="D07",$C82="G2"),AV81&amp;IF(AV81="","",CHAR(10))&amp;$A82,AV81)</f>
        <v>◐ 040 品質管理與JCI路線圖</v>
      </c>
      <c r="AW82" s="363" t="str">
        <f aca="false">IF(AND($B82="D07",$C82="G3"),AW81&amp;IF(AW81="","",CHAR(10))&amp;$A82,AW81)</f>
        <v>◐ 041 感染預防與控制制度
◐ 043 事件通報與根因改善</v>
      </c>
      <c r="AX82" s="0" t="str">
        <f aca="false">IF(AND($B82="D07",$C82="G4"),AX81&amp;IF(AX81="","",CHAR(10))&amp;$A82,AX81)</f>
        <v>◐ 042 用藥安全閉環</v>
      </c>
      <c r="AY82" s="0" t="str">
        <f aca="false">IF(AND($B82="D07",$C82="G5"),AY81&amp;IF(AY81="","",CHAR(10))&amp;$A82,AY81)</f>
        <v>◐ 044 開院臨床安全驗證</v>
      </c>
      <c r="AZ82" s="0" t="str">
        <f aca="false">IF(AND($B82="D07",$C82="G6"),AZ81&amp;IF(AZ81="","",CHAR(10))&amp;$A82,AZ81)</f>
        <v/>
      </c>
      <c r="BA82" s="0" t="str">
        <f aca="false">IF(AND($B82="D08",$C82="G0"),BA81&amp;IF(BA81="","",CHAR(10))&amp;$A82,BA81)</f>
        <v/>
      </c>
      <c r="BB82" s="0" t="str">
        <f aca="false">IF(AND($B82="D08",$C82="G1"),BB81&amp;IF(BB81="","",CHAR(10))&amp;$A82,BB81)</f>
        <v/>
      </c>
      <c r="BC82" s="0" t="str">
        <f aca="false">IF(AND($B82="D08",$C82="G2"),BC81&amp;IF(BC81="","",CHAR(10))&amp;$A82,BC81)</f>
        <v>○ 045 人力與輪班模型</v>
      </c>
      <c r="BD82" s="0" t="str">
        <f aca="false">IF(AND($B82="D08",$C82="G3"),BD81&amp;IF(BD81="","",CHAR(10))&amp;$A82,BD81)</f>
        <v>◐ 046 職能矩陣與授權</v>
      </c>
      <c r="BE82" s="363" t="str">
        <f aca="false">IF(AND($B82="D08",$C82="G4"),BE81&amp;IF(BE81="","",CHAR(10))&amp;$A82,BE81)</f>
        <v>◐ 047 種子教師與技術移轉
◐ 049 變革管理與使用者採納</v>
      </c>
      <c r="BF82" s="0" t="str">
        <f aca="false">IF(AND($B82="D08",$C82="G5"),BF81&amp;IF(BF81="","",CHAR(10))&amp;$A82,BF81)</f>
        <v>◐ 048 模擬中心與開院演練</v>
      </c>
      <c r="BG82" s="0" t="str">
        <f aca="false">IF(AND($B82="D08",$C82="G6"),BG81&amp;IF(BG81="","",CHAR(10))&amp;$A82,BG81)</f>
        <v/>
      </c>
      <c r="BH82" s="0" t="str">
        <f aca="false">IF(AND($B82="D09",$C82="G0"),BH81&amp;IF(BH81="","",CHAR(10))&amp;$A82,BH81)</f>
        <v/>
      </c>
      <c r="BI82" s="0" t="str">
        <f aca="false">IF(AND($B82="D09",$C82="G1"),BI81&amp;IF(BI81="","",CHAR(10))&amp;$A82,BI81)</f>
        <v/>
      </c>
      <c r="BJ82" s="0" t="str">
        <f aca="false">IF(AND($B82="D09",$C82="G2"),BJ81&amp;IF(BJ81="","",CHAR(10))&amp;$A82,BJ81)</f>
        <v>◐ 050 整合採購與供應商治理</v>
      </c>
      <c r="BK82" s="0" t="str">
        <f aca="false">IF(AND($B82="D09",$C82="G3"),BK81&amp;IF(BK81="","",CHAR(10))&amp;$A82,BK81)</f>
        <v/>
      </c>
      <c r="BL82" s="363" t="str">
        <f aca="false">IF(AND($B82="D09",$C82="G4"),BL81&amp;IF(BL81="","",CHAR(10))&amp;$A82,BL81)</f>
        <v>◐ 051 藥品耗材與SPD物流
◐ 052 冷鏈與特殊物料
● 053 CMMS與設施維運</v>
      </c>
      <c r="BM82" s="0" t="str">
        <f aca="false">IF(AND($B82="D09",$C82="G5"),BM81&amp;IF(BM81="","",CHAR(10))&amp;$A82,BM81)</f>
        <v>◐ 054 在地備品、維修與汰換</v>
      </c>
      <c r="BN82" s="0" t="str">
        <f aca="false">IF(AND($B82="D09",$C82="G6"),BN81&amp;IF(BN81="","",CHAR(10))&amp;$A82,BN81)</f>
        <v/>
      </c>
      <c r="BO82" s="0" t="str">
        <f aca="false">IF(AND($B82="D10",$C82="G0"),BO81&amp;IF(BO81="","",CHAR(10))&amp;$A82,BO81)</f>
        <v/>
      </c>
      <c r="BP82" s="0" t="str">
        <f aca="false">IF(AND($B82="D10",$C82="G1"),BP81&amp;IF(BP81="","",CHAR(10))&amp;$A82,BP81)</f>
        <v>◐ 055 全生命週期成本模型</v>
      </c>
      <c r="BQ82" s="0" t="str">
        <f aca="false">IF(AND($B82="D10",$C82="G2"),BQ81&amp;IF(BQ81="","",CHAR(10))&amp;$A82,BQ81)</f>
        <v>◐ 059 PPP／JV財務與風險分配</v>
      </c>
      <c r="BR82" s="0" t="str">
        <f aca="false">IF(AND($B82="D10",$C82="G3"),BR81&amp;IF(BR81="","",CHAR(10))&amp;$A82,BR81)</f>
        <v/>
      </c>
      <c r="BS82" s="363" t="str">
        <f aca="false">IF(AND($B82="D10",$C82="G4"),BS81&amp;IF(BS81="","",CHAR(10))&amp;$A82,BS81)</f>
        <v>○ 056 健保申報與數位理賠
○ 057 現金流、支付與收入週期</v>
      </c>
      <c r="BT82" s="0" t="str">
        <f aca="false">IF(AND($B82="D10",$C82="G5"),BT81&amp;IF(BT81="","",CHAR(10))&amp;$A82,BT81)</f>
        <v>○ 058 國際醫療與高價值服務</v>
      </c>
      <c r="BU82" s="0" t="str">
        <f aca="false">IF(AND($B82="D10",$C82="G6"),BU81&amp;IF(BU81="","",CHAR(10))&amp;$A82,BU81)</f>
        <v>◐ 060 效益實現與複製藍圖</v>
      </c>
      <c r="BX82" s="0" t="str">
        <f aca="false">IF(AND(03_能力總表_Master!$A82&lt;&gt;"",LEFT(03_能力總表_Master!$H82,2)="缺口"),MAX($BX$4:BX81)+1,"")</f>
        <v/>
      </c>
      <c r="BY82" s="0" t="str">
        <f aca="false">IF(AND(03_能力總表_Master!$A82&lt;&gt;"",03_能力總表_Master!$J82=12_夥伴視角_PartnerView!$C$4),MAX($BY$4:BY81)+1,"")</f>
        <v/>
      </c>
      <c r="CC82" s="0" t="str">
        <f aca="false">IF(AND(03_能力總表_Master!$A82&lt;&gt;"",IFERROR(INDEX(16_能力商機矩陣_CapOppMap!$D82:$CO82,MATCH(LEFT(17_商機作戰卡_OppView!$C$4,6),16_能力商機矩陣_CapOppMap!$D$4:$CO$4,0)),"")="✓"),MAX($CC$4:CC81)+1,"")</f>
        <v/>
      </c>
    </row>
    <row r="83" customFormat="false" ht="95.5" hidden="false" customHeight="false" outlineLevel="0" collapsed="false">
      <c r="A83" s="0" t="str">
        <f aca="false">IF(03_能力總表_Master!$A83="","",IF(LEFT(03_能力總表_Master!$H83,2)="群晶","● ",IF(ISNUMBER(SEARCH("已確認",03_能力總表_Master!$H83)),"◆ ",IF(ISNUMBER(SEARCH("缺口",03_能力總表_Master!$H83)),"○ ","◐ ")))&amp;RIGHT(03_能力總表_Master!$A83,3)&amp;" "&amp;03_能力總表_Master!$E83)</f>
        <v/>
      </c>
      <c r="B83" s="0" t="str">
        <f aca="false">IF(03_能力總表_Master!$A83="","",LEFT(03_能力總表_Master!$B83,3))</f>
        <v/>
      </c>
      <c r="C83" s="0" t="str">
        <f aca="false">IF(03_能力總表_Master!$A83="","",03_能力總表_Master!$C83)</f>
        <v/>
      </c>
      <c r="D83" s="363" t="str">
        <f aca="false">IF(AND($B83="D01",$C83="G0"),D82&amp;IF(D82="","",CHAR(10))&amp;$A83,D82)</f>
        <v>◐ 001 政府授權與計畫章程
◐ 002 利害關係人與權力地圖
◐ 005 聯盟治理與利益衝突</v>
      </c>
      <c r="E83" s="363" t="str">
        <f aca="false">IF(AND($B83="D01",$C83="G1"),E82&amp;IF(E82="","",CHAR(10))&amp;$A83,E82)</f>
        <v>◐ 003 交易模式選擇
◐ 004 法規與執照路徑</v>
      </c>
      <c r="F83" s="0" t="str">
        <f aca="false">IF(AND($B83="D01",$C83="G2"),F82&amp;IF(F82="","",CHAR(10))&amp;$A83,F82)</f>
        <v>◐ 006 績效契約與變更控制</v>
      </c>
      <c r="G83" s="0" t="str">
        <f aca="false">IF(AND($B83="D01",$C83="G3"),G82&amp;IF(G82="","",CHAR(10))&amp;$A83,G82)</f>
        <v/>
      </c>
      <c r="H83" s="0" t="str">
        <f aca="false">IF(AND($B83="D01",$C83="G4"),H82&amp;IF(H82="","",CHAR(10))&amp;$A83,H82)</f>
        <v/>
      </c>
      <c r="I83" s="0" t="str">
        <f aca="false">IF(AND($B83="D01",$C83="G5"),I82&amp;IF(I82="","",CHAR(10))&amp;$A83,I82)</f>
        <v/>
      </c>
      <c r="J83" s="0" t="str">
        <f aca="false">IF(AND($B83="D01",$C83="G6"),J82&amp;IF(J82="","",CHAR(10))&amp;$A83,J82)</f>
        <v/>
      </c>
      <c r="K83" s="0" t="str">
        <f aca="false">IF(AND($B83="D02",$C83="G0"),K82&amp;IF(K82="","",CHAR(10))&amp;$A83,K82)</f>
        <v/>
      </c>
      <c r="L83" s="363" t="str">
        <f aca="false">IF(AND($B83="D02",$C83="G1"),L82&amp;IF(L82="","",CHAR(10))&amp;$A83,L82)</f>
        <v>◐ 007 人口需求與病例量預測
◐ 008 醫院定位與服務組合
◐ 009 重點專科優先化
◐ 010 病人流程與容量設計
◐ 011 轉診與區域照護網絡
◐ 012 臨床治理與責任架構</v>
      </c>
      <c r="M83" s="0" t="str">
        <f aca="false">IF(AND($B83="D02",$C83="G2"),M82&amp;IF(M82="","",CHAR(10))&amp;$A83,M82)</f>
        <v/>
      </c>
      <c r="N83" s="0" t="str">
        <f aca="false">IF(AND($B83="D02",$C83="G3"),N82&amp;IF(N82="","",CHAR(10))&amp;$A83,N82)</f>
        <v/>
      </c>
      <c r="O83" s="0" t="str">
        <f aca="false">IF(AND($B83="D02",$C83="G4"),O82&amp;IF(O82="","",CHAR(10))&amp;$A83,O82)</f>
        <v/>
      </c>
      <c r="P83" s="0" t="str">
        <f aca="false">IF(AND($B83="D02",$C83="G5"),P82&amp;IF(P82="","",CHAR(10))&amp;$A83,P82)</f>
        <v/>
      </c>
      <c r="Q83" s="0" t="str">
        <f aca="false">IF(AND($B83="D02",$C83="G6"),Q82&amp;IF(Q82="","",CHAR(10))&amp;$A83,Q82)</f>
        <v/>
      </c>
      <c r="R83" s="0" t="str">
        <f aca="false">IF(AND($B83="D03",$C83="G0"),R82&amp;IF(R82="","",CHAR(10))&amp;$A83,R82)</f>
        <v/>
      </c>
      <c r="S83" s="0" t="str">
        <f aca="false">IF(AND($B83="D03",$C83="G1"),S82&amp;IF(S82="","",CHAR(10))&amp;$A83,S82)</f>
        <v>◐ 013 場址與醫院總體規劃</v>
      </c>
      <c r="T83" s="363" t="str">
        <f aca="false">IF(AND($B83="D03",$C83="G2"),T82&amp;IF(T82="","",CHAR(10))&amp;$A83,T82)</f>
        <v>◐ 014 醫療建築功能計畫
◐ 015 感染控制與潔污動線
◐ 019 綠色與氣候韌性醫院</v>
      </c>
      <c r="U83" s="363" t="str">
        <f aca="false">IF(AND($B83="D03",$C83="G3"),U82&amp;IF(U82="","",CHAR(10))&amp;$A83,U82)</f>
        <v>● 016 電力、備援與微電網
◐ 017 醫療氣體與關鍵公用系統
◐ 018 醫療廢棄物與水資源</v>
      </c>
      <c r="V83" s="0" t="str">
        <f aca="false">IF(AND($B83="D03",$C83="G4"),V82&amp;IF(V82="","",CHAR(10))&amp;$A83,V82)</f>
        <v/>
      </c>
      <c r="W83" s="0" t="str">
        <f aca="false">IF(AND($B83="D03",$C83="G5"),W82&amp;IF(W82="","",CHAR(10))&amp;$A83,W82)</f>
        <v/>
      </c>
      <c r="X83" s="0" t="str">
        <f aca="false">IF(AND($B83="D03",$C83="G6"),X82&amp;IF(X82="","",CHAR(10))&amp;$A83,X82)</f>
        <v/>
      </c>
      <c r="Y83" s="0" t="str">
        <f aca="false">IF(AND($B83="D04",$C83="G0"),Y82&amp;IF(Y82="","",CHAR(10))&amp;$A83,Y82)</f>
        <v/>
      </c>
      <c r="Z83" s="0" t="str">
        <f aca="false">IF(AND($B83="D04",$C83="G1"),Z82&amp;IF(Z82="","",CHAR(10))&amp;$A83,Z82)</f>
        <v/>
      </c>
      <c r="AA83" s="0" t="str">
        <f aca="false">IF(AND($B83="D04",$C83="G2"),AA82&amp;IF(AA82="","",CHAR(10))&amp;$A83,AA82)</f>
        <v/>
      </c>
      <c r="AB83" s="0" t="str">
        <f aca="false">IF(AND($B83="D04",$C83="G3"),AB82&amp;IF(AB82="","",CHAR(10))&amp;$A83,AB82)</f>
        <v>● 020 IDC與邊緣運算底座</v>
      </c>
      <c r="AC83" s="363" t="str">
        <f aca="false">IF(AND($B83="D04",$C83="G4"),AC82&amp;IF(AC82="","",CHAR(10))&amp;$A83,AC82)</f>
        <v>● 021 有線無線網路與分區
◐ 022 資安營運與零信任
● 023 BMS與能源管理
● 024 RTLS與資產／人員定位
● 025 智慧病房、護理呼叫與感測
● 026 災難復原與營運持續</v>
      </c>
      <c r="AD83" s="0" t="str">
        <f aca="false">IF(AND($B83="D04",$C83="G5"),AD82&amp;IF(AD82="","",CHAR(10))&amp;$A83,AD82)</f>
        <v/>
      </c>
      <c r="AE83" s="0" t="str">
        <f aca="false">IF(AND($B83="D04",$C83="G6"),AE82&amp;IF(AE82="","",CHAR(10))&amp;$A83,AE82)</f>
        <v/>
      </c>
      <c r="AF83" s="0" t="str">
        <f aca="false">IF(AND($B83="D05",$C83="G0"),AF82&amp;IF(AF82="","",CHAR(10))&amp;$A83,AF82)</f>
        <v/>
      </c>
      <c r="AG83" s="0" t="str">
        <f aca="false">IF(AND($B83="D05",$C83="G1"),AG82&amp;IF(AG82="","",CHAR(10))&amp;$A83,AG82)</f>
        <v/>
      </c>
      <c r="AH83" s="0" t="str">
        <f aca="false">IF(AND($B83="D05",$C83="G2"),AH82&amp;IF(AH82="","",CHAR(10))&amp;$A83,AH82)</f>
        <v>◐ 027 醫材需求與設備計畫</v>
      </c>
      <c r="AI83" s="0" t="str">
        <f aca="false">IF(AND($B83="D05",$C83="G3"),AI82&amp;IF(AI82="","",CHAR(10))&amp;$A83,AI82)</f>
        <v/>
      </c>
      <c r="AJ83" s="363" t="str">
        <f aca="false">IF(AND($B83="D05",$C83="G4"),AJ82&amp;IF(AJ82="","",CHAR(10))&amp;$A83,AJ82)</f>
        <v>○ 028 影像設備、PACS與報告流程
○ 029 實驗室自動化與LIS
○ 030 手術室與重症整合
◐ 031 醫材介接與裝置身分
◐ 032 醫療工程與設備生命週期</v>
      </c>
      <c r="AK83" s="0" t="str">
        <f aca="false">IF(AND($B83="D05",$C83="G5"),AK82&amp;IF(AK82="","",CHAR(10))&amp;$A83,AK82)</f>
        <v/>
      </c>
      <c r="AL83" s="0" t="str">
        <f aca="false">IF(AND($B83="D05",$C83="G6"),AL82&amp;IF(AL82="","",CHAR(10))&amp;$A83,AL82)</f>
        <v/>
      </c>
      <c r="AM83" s="0" t="str">
        <f aca="false">IF(AND($B83="D06",$C83="G0"),AM82&amp;IF(AM82="","",CHAR(10))&amp;$A83,AM82)</f>
        <v/>
      </c>
      <c r="AN83" s="0" t="str">
        <f aca="false">IF(AND($B83="D06",$C83="G1"),AN82&amp;IF(AN82="","",CHAR(10))&amp;$A83,AN82)</f>
        <v/>
      </c>
      <c r="AO83" s="0" t="str">
        <f aca="false">IF(AND($B83="D06",$C83="G2"),AO82&amp;IF(AO82="","",CHAR(10))&amp;$A83,AO82)</f>
        <v/>
      </c>
      <c r="AP83" s="363" t="str">
        <f aca="false">IF(AND($B83="D06",$C83="G3"),AP82&amp;IF(AP82="","",CHAR(10))&amp;$A83,AP82)</f>
        <v>◐ 033 HIS／EMR核心平台
◐ 036 臨床術語與主資料治理</v>
      </c>
      <c r="AQ83" s="363" t="str">
        <f aca="false">IF(AND($B83="D06",$C83="G4"),AQ82&amp;IF(AQ82="","",CHAR(10))&amp;$A83,AQ82)</f>
        <v>◐ 034 FHIR介接與API管理
○ 035 主病人索引與身分整合
◐ 037 電子醫囑、用藥與決策支援
◐ 038 資料平台、BI與營運指揮</v>
      </c>
      <c r="AR83" s="0" t="str">
        <f aca="false">IF(AND($B83="D06",$C83="G5"),AR82&amp;IF(AR82="","",CHAR(10))&amp;$A83,AR82)</f>
        <v>○ 039 病人入口、行動服務與VNeID準備</v>
      </c>
      <c r="AS83" s="0" t="str">
        <f aca="false">IF(AND($B83="D06",$C83="G6"),AS82&amp;IF(AS82="","",CHAR(10))&amp;$A83,AS82)</f>
        <v/>
      </c>
      <c r="AT83" s="0" t="str">
        <f aca="false">IF(AND($B83="D07",$C83="G0"),AT82&amp;IF(AT82="","",CHAR(10))&amp;$A83,AT82)</f>
        <v/>
      </c>
      <c r="AU83" s="0" t="str">
        <f aca="false">IF(AND($B83="D07",$C83="G1"),AU82&amp;IF(AU82="","",CHAR(10))&amp;$A83,AU82)</f>
        <v/>
      </c>
      <c r="AV83" s="0" t="str">
        <f aca="false">IF(AND($B83="D07",$C83="G2"),AV82&amp;IF(AV82="","",CHAR(10))&amp;$A83,AV82)</f>
        <v>◐ 040 品質管理與JCI路線圖</v>
      </c>
      <c r="AW83" s="363" t="str">
        <f aca="false">IF(AND($B83="D07",$C83="G3"),AW82&amp;IF(AW82="","",CHAR(10))&amp;$A83,AW82)</f>
        <v>◐ 041 感染預防與控制制度
◐ 043 事件通報與根因改善</v>
      </c>
      <c r="AX83" s="0" t="str">
        <f aca="false">IF(AND($B83="D07",$C83="G4"),AX82&amp;IF(AX82="","",CHAR(10))&amp;$A83,AX82)</f>
        <v>◐ 042 用藥安全閉環</v>
      </c>
      <c r="AY83" s="0" t="str">
        <f aca="false">IF(AND($B83="D07",$C83="G5"),AY82&amp;IF(AY82="","",CHAR(10))&amp;$A83,AY82)</f>
        <v>◐ 044 開院臨床安全驗證</v>
      </c>
      <c r="AZ83" s="0" t="str">
        <f aca="false">IF(AND($B83="D07",$C83="G6"),AZ82&amp;IF(AZ82="","",CHAR(10))&amp;$A83,AZ82)</f>
        <v/>
      </c>
      <c r="BA83" s="0" t="str">
        <f aca="false">IF(AND($B83="D08",$C83="G0"),BA82&amp;IF(BA82="","",CHAR(10))&amp;$A83,BA82)</f>
        <v/>
      </c>
      <c r="BB83" s="0" t="str">
        <f aca="false">IF(AND($B83="D08",$C83="G1"),BB82&amp;IF(BB82="","",CHAR(10))&amp;$A83,BB82)</f>
        <v/>
      </c>
      <c r="BC83" s="0" t="str">
        <f aca="false">IF(AND($B83="D08",$C83="G2"),BC82&amp;IF(BC82="","",CHAR(10))&amp;$A83,BC82)</f>
        <v>○ 045 人力與輪班模型</v>
      </c>
      <c r="BD83" s="0" t="str">
        <f aca="false">IF(AND($B83="D08",$C83="G3"),BD82&amp;IF(BD82="","",CHAR(10))&amp;$A83,BD82)</f>
        <v>◐ 046 職能矩陣與授權</v>
      </c>
      <c r="BE83" s="363" t="str">
        <f aca="false">IF(AND($B83="D08",$C83="G4"),BE82&amp;IF(BE82="","",CHAR(10))&amp;$A83,BE82)</f>
        <v>◐ 047 種子教師與技術移轉
◐ 049 變革管理與使用者採納</v>
      </c>
      <c r="BF83" s="0" t="str">
        <f aca="false">IF(AND($B83="D08",$C83="G5"),BF82&amp;IF(BF82="","",CHAR(10))&amp;$A83,BF82)</f>
        <v>◐ 048 模擬中心與開院演練</v>
      </c>
      <c r="BG83" s="0" t="str">
        <f aca="false">IF(AND($B83="D08",$C83="G6"),BG82&amp;IF(BG82="","",CHAR(10))&amp;$A83,BG82)</f>
        <v/>
      </c>
      <c r="BH83" s="0" t="str">
        <f aca="false">IF(AND($B83="D09",$C83="G0"),BH82&amp;IF(BH82="","",CHAR(10))&amp;$A83,BH82)</f>
        <v/>
      </c>
      <c r="BI83" s="0" t="str">
        <f aca="false">IF(AND($B83="D09",$C83="G1"),BI82&amp;IF(BI82="","",CHAR(10))&amp;$A83,BI82)</f>
        <v/>
      </c>
      <c r="BJ83" s="0" t="str">
        <f aca="false">IF(AND($B83="D09",$C83="G2"),BJ82&amp;IF(BJ82="","",CHAR(10))&amp;$A83,BJ82)</f>
        <v>◐ 050 整合採購與供應商治理</v>
      </c>
      <c r="BK83" s="0" t="str">
        <f aca="false">IF(AND($B83="D09",$C83="G3"),BK82&amp;IF(BK82="","",CHAR(10))&amp;$A83,BK82)</f>
        <v/>
      </c>
      <c r="BL83" s="363" t="str">
        <f aca="false">IF(AND($B83="D09",$C83="G4"),BL82&amp;IF(BL82="","",CHAR(10))&amp;$A83,BL82)</f>
        <v>◐ 051 藥品耗材與SPD物流
◐ 052 冷鏈與特殊物料
● 053 CMMS與設施維運</v>
      </c>
      <c r="BM83" s="0" t="str">
        <f aca="false">IF(AND($B83="D09",$C83="G5"),BM82&amp;IF(BM82="","",CHAR(10))&amp;$A83,BM82)</f>
        <v>◐ 054 在地備品、維修與汰換</v>
      </c>
      <c r="BN83" s="0" t="str">
        <f aca="false">IF(AND($B83="D09",$C83="G6"),BN82&amp;IF(BN82="","",CHAR(10))&amp;$A83,BN82)</f>
        <v/>
      </c>
      <c r="BO83" s="0" t="str">
        <f aca="false">IF(AND($B83="D10",$C83="G0"),BO82&amp;IF(BO82="","",CHAR(10))&amp;$A83,BO82)</f>
        <v/>
      </c>
      <c r="BP83" s="0" t="str">
        <f aca="false">IF(AND($B83="D10",$C83="G1"),BP82&amp;IF(BP82="","",CHAR(10))&amp;$A83,BP82)</f>
        <v>◐ 055 全生命週期成本模型</v>
      </c>
      <c r="BQ83" s="0" t="str">
        <f aca="false">IF(AND($B83="D10",$C83="G2"),BQ82&amp;IF(BQ82="","",CHAR(10))&amp;$A83,BQ82)</f>
        <v>◐ 059 PPP／JV財務與風險分配</v>
      </c>
      <c r="BR83" s="0" t="str">
        <f aca="false">IF(AND($B83="D10",$C83="G3"),BR82&amp;IF(BR82="","",CHAR(10))&amp;$A83,BR82)</f>
        <v/>
      </c>
      <c r="BS83" s="363" t="str">
        <f aca="false">IF(AND($B83="D10",$C83="G4"),BS82&amp;IF(BS82="","",CHAR(10))&amp;$A83,BS82)</f>
        <v>○ 056 健保申報與數位理賠
○ 057 現金流、支付與收入週期</v>
      </c>
      <c r="BT83" s="0" t="str">
        <f aca="false">IF(AND($B83="D10",$C83="G5"),BT82&amp;IF(BT82="","",CHAR(10))&amp;$A83,BT82)</f>
        <v>○ 058 國際醫療與高價值服務</v>
      </c>
      <c r="BU83" s="0" t="str">
        <f aca="false">IF(AND($B83="D10",$C83="G6"),BU82&amp;IF(BU82="","",CHAR(10))&amp;$A83,BU82)</f>
        <v>◐ 060 效益實現與複製藍圖</v>
      </c>
      <c r="BX83" s="0" t="str">
        <f aca="false">IF(AND(03_能力總表_Master!$A83&lt;&gt;"",LEFT(03_能力總表_Master!$H83,2)="缺口"),MAX($BX$4:BX82)+1,"")</f>
        <v/>
      </c>
      <c r="BY83" s="0" t="str">
        <f aca="false">IF(AND(03_能力總表_Master!$A83&lt;&gt;"",03_能力總表_Master!$J83=12_夥伴視角_PartnerView!$C$4),MAX($BY$4:BY82)+1,"")</f>
        <v/>
      </c>
      <c r="CC83" s="0" t="str">
        <f aca="false">IF(AND(03_能力總表_Master!$A83&lt;&gt;"",IFERROR(INDEX(16_能力商機矩陣_CapOppMap!$D83:$CO83,MATCH(LEFT(17_商機作戰卡_OppView!$C$4,6),16_能力商機矩陣_CapOppMap!$D$4:$CO$4,0)),"")="✓"),MAX($CC$4:CC82)+1,"")</f>
        <v/>
      </c>
    </row>
    <row r="84" customFormat="false" ht="95.5" hidden="false" customHeight="false" outlineLevel="0" collapsed="false">
      <c r="A84" s="0" t="str">
        <f aca="false">IF(03_能力總表_Master!$A84="","",IF(LEFT(03_能力總表_Master!$H84,2)="群晶","● ",IF(ISNUMBER(SEARCH("已確認",03_能力總表_Master!$H84)),"◆ ",IF(ISNUMBER(SEARCH("缺口",03_能力總表_Master!$H84)),"○ ","◐ ")))&amp;RIGHT(03_能力總表_Master!$A84,3)&amp;" "&amp;03_能力總表_Master!$E84)</f>
        <v/>
      </c>
      <c r="B84" s="0" t="str">
        <f aca="false">IF(03_能力總表_Master!$A84="","",LEFT(03_能力總表_Master!$B84,3))</f>
        <v/>
      </c>
      <c r="C84" s="0" t="str">
        <f aca="false">IF(03_能力總表_Master!$A84="","",03_能力總表_Master!$C84)</f>
        <v/>
      </c>
      <c r="D84" s="363" t="str">
        <f aca="false">IF(AND($B84="D01",$C84="G0"),D83&amp;IF(D83="","",CHAR(10))&amp;$A84,D83)</f>
        <v>◐ 001 政府授權與計畫章程
◐ 002 利害關係人與權力地圖
◐ 005 聯盟治理與利益衝突</v>
      </c>
      <c r="E84" s="363" t="str">
        <f aca="false">IF(AND($B84="D01",$C84="G1"),E83&amp;IF(E83="","",CHAR(10))&amp;$A84,E83)</f>
        <v>◐ 003 交易模式選擇
◐ 004 法規與執照路徑</v>
      </c>
      <c r="F84" s="0" t="str">
        <f aca="false">IF(AND($B84="D01",$C84="G2"),F83&amp;IF(F83="","",CHAR(10))&amp;$A84,F83)</f>
        <v>◐ 006 績效契約與變更控制</v>
      </c>
      <c r="G84" s="0" t="str">
        <f aca="false">IF(AND($B84="D01",$C84="G3"),G83&amp;IF(G83="","",CHAR(10))&amp;$A84,G83)</f>
        <v/>
      </c>
      <c r="H84" s="0" t="str">
        <f aca="false">IF(AND($B84="D01",$C84="G4"),H83&amp;IF(H83="","",CHAR(10))&amp;$A84,H83)</f>
        <v/>
      </c>
      <c r="I84" s="0" t="str">
        <f aca="false">IF(AND($B84="D01",$C84="G5"),I83&amp;IF(I83="","",CHAR(10))&amp;$A84,I83)</f>
        <v/>
      </c>
      <c r="J84" s="0" t="str">
        <f aca="false">IF(AND($B84="D01",$C84="G6"),J83&amp;IF(J83="","",CHAR(10))&amp;$A84,J83)</f>
        <v/>
      </c>
      <c r="K84" s="0" t="str">
        <f aca="false">IF(AND($B84="D02",$C84="G0"),K83&amp;IF(K83="","",CHAR(10))&amp;$A84,K83)</f>
        <v/>
      </c>
      <c r="L84" s="363" t="str">
        <f aca="false">IF(AND($B84="D02",$C84="G1"),L83&amp;IF(L83="","",CHAR(10))&amp;$A84,L83)</f>
        <v>◐ 007 人口需求與病例量預測
◐ 008 醫院定位與服務組合
◐ 009 重點專科優先化
◐ 010 病人流程與容量設計
◐ 011 轉診與區域照護網絡
◐ 012 臨床治理與責任架構</v>
      </c>
      <c r="M84" s="0" t="str">
        <f aca="false">IF(AND($B84="D02",$C84="G2"),M83&amp;IF(M83="","",CHAR(10))&amp;$A84,M83)</f>
        <v/>
      </c>
      <c r="N84" s="0" t="str">
        <f aca="false">IF(AND($B84="D02",$C84="G3"),N83&amp;IF(N83="","",CHAR(10))&amp;$A84,N83)</f>
        <v/>
      </c>
      <c r="O84" s="0" t="str">
        <f aca="false">IF(AND($B84="D02",$C84="G4"),O83&amp;IF(O83="","",CHAR(10))&amp;$A84,O83)</f>
        <v/>
      </c>
      <c r="P84" s="0" t="str">
        <f aca="false">IF(AND($B84="D02",$C84="G5"),P83&amp;IF(P83="","",CHAR(10))&amp;$A84,P83)</f>
        <v/>
      </c>
      <c r="Q84" s="0" t="str">
        <f aca="false">IF(AND($B84="D02",$C84="G6"),Q83&amp;IF(Q83="","",CHAR(10))&amp;$A84,Q83)</f>
        <v/>
      </c>
      <c r="R84" s="0" t="str">
        <f aca="false">IF(AND($B84="D03",$C84="G0"),R83&amp;IF(R83="","",CHAR(10))&amp;$A84,R83)</f>
        <v/>
      </c>
      <c r="S84" s="0" t="str">
        <f aca="false">IF(AND($B84="D03",$C84="G1"),S83&amp;IF(S83="","",CHAR(10))&amp;$A84,S83)</f>
        <v>◐ 013 場址與醫院總體規劃</v>
      </c>
      <c r="T84" s="363" t="str">
        <f aca="false">IF(AND($B84="D03",$C84="G2"),T83&amp;IF(T83="","",CHAR(10))&amp;$A84,T83)</f>
        <v>◐ 014 醫療建築功能計畫
◐ 015 感染控制與潔污動線
◐ 019 綠色與氣候韌性醫院</v>
      </c>
      <c r="U84" s="363" t="str">
        <f aca="false">IF(AND($B84="D03",$C84="G3"),U83&amp;IF(U83="","",CHAR(10))&amp;$A84,U83)</f>
        <v>● 016 電力、備援與微電網
◐ 017 醫療氣體與關鍵公用系統
◐ 018 醫療廢棄物與水資源</v>
      </c>
      <c r="V84" s="0" t="str">
        <f aca="false">IF(AND($B84="D03",$C84="G4"),V83&amp;IF(V83="","",CHAR(10))&amp;$A84,V83)</f>
        <v/>
      </c>
      <c r="W84" s="0" t="str">
        <f aca="false">IF(AND($B84="D03",$C84="G5"),W83&amp;IF(W83="","",CHAR(10))&amp;$A84,W83)</f>
        <v/>
      </c>
      <c r="X84" s="0" t="str">
        <f aca="false">IF(AND($B84="D03",$C84="G6"),X83&amp;IF(X83="","",CHAR(10))&amp;$A84,X83)</f>
        <v/>
      </c>
      <c r="Y84" s="0" t="str">
        <f aca="false">IF(AND($B84="D04",$C84="G0"),Y83&amp;IF(Y83="","",CHAR(10))&amp;$A84,Y83)</f>
        <v/>
      </c>
      <c r="Z84" s="0" t="str">
        <f aca="false">IF(AND($B84="D04",$C84="G1"),Z83&amp;IF(Z83="","",CHAR(10))&amp;$A84,Z83)</f>
        <v/>
      </c>
      <c r="AA84" s="0" t="str">
        <f aca="false">IF(AND($B84="D04",$C84="G2"),AA83&amp;IF(AA83="","",CHAR(10))&amp;$A84,AA83)</f>
        <v/>
      </c>
      <c r="AB84" s="0" t="str">
        <f aca="false">IF(AND($B84="D04",$C84="G3"),AB83&amp;IF(AB83="","",CHAR(10))&amp;$A84,AB83)</f>
        <v>● 020 IDC與邊緣運算底座</v>
      </c>
      <c r="AC84" s="363" t="str">
        <f aca="false">IF(AND($B84="D04",$C84="G4"),AC83&amp;IF(AC83="","",CHAR(10))&amp;$A84,AC83)</f>
        <v>● 021 有線無線網路與分區
◐ 022 資安營運與零信任
● 023 BMS與能源管理
● 024 RTLS與資產／人員定位
● 025 智慧病房、護理呼叫與感測
● 026 災難復原與營運持續</v>
      </c>
      <c r="AD84" s="0" t="str">
        <f aca="false">IF(AND($B84="D04",$C84="G5"),AD83&amp;IF(AD83="","",CHAR(10))&amp;$A84,AD83)</f>
        <v/>
      </c>
      <c r="AE84" s="0" t="str">
        <f aca="false">IF(AND($B84="D04",$C84="G6"),AE83&amp;IF(AE83="","",CHAR(10))&amp;$A84,AE83)</f>
        <v/>
      </c>
      <c r="AF84" s="0" t="str">
        <f aca="false">IF(AND($B84="D05",$C84="G0"),AF83&amp;IF(AF83="","",CHAR(10))&amp;$A84,AF83)</f>
        <v/>
      </c>
      <c r="AG84" s="0" t="str">
        <f aca="false">IF(AND($B84="D05",$C84="G1"),AG83&amp;IF(AG83="","",CHAR(10))&amp;$A84,AG83)</f>
        <v/>
      </c>
      <c r="AH84" s="0" t="str">
        <f aca="false">IF(AND($B84="D05",$C84="G2"),AH83&amp;IF(AH83="","",CHAR(10))&amp;$A84,AH83)</f>
        <v>◐ 027 醫材需求與設備計畫</v>
      </c>
      <c r="AI84" s="0" t="str">
        <f aca="false">IF(AND($B84="D05",$C84="G3"),AI83&amp;IF(AI83="","",CHAR(10))&amp;$A84,AI83)</f>
        <v/>
      </c>
      <c r="AJ84" s="363" t="str">
        <f aca="false">IF(AND($B84="D05",$C84="G4"),AJ83&amp;IF(AJ83="","",CHAR(10))&amp;$A84,AJ83)</f>
        <v>○ 028 影像設備、PACS與報告流程
○ 029 實驗室自動化與LIS
○ 030 手術室與重症整合
◐ 031 醫材介接與裝置身分
◐ 032 醫療工程與設備生命週期</v>
      </c>
      <c r="AK84" s="0" t="str">
        <f aca="false">IF(AND($B84="D05",$C84="G5"),AK83&amp;IF(AK83="","",CHAR(10))&amp;$A84,AK83)</f>
        <v/>
      </c>
      <c r="AL84" s="0" t="str">
        <f aca="false">IF(AND($B84="D05",$C84="G6"),AL83&amp;IF(AL83="","",CHAR(10))&amp;$A84,AL83)</f>
        <v/>
      </c>
      <c r="AM84" s="0" t="str">
        <f aca="false">IF(AND($B84="D06",$C84="G0"),AM83&amp;IF(AM83="","",CHAR(10))&amp;$A84,AM83)</f>
        <v/>
      </c>
      <c r="AN84" s="0" t="str">
        <f aca="false">IF(AND($B84="D06",$C84="G1"),AN83&amp;IF(AN83="","",CHAR(10))&amp;$A84,AN83)</f>
        <v/>
      </c>
      <c r="AO84" s="0" t="str">
        <f aca="false">IF(AND($B84="D06",$C84="G2"),AO83&amp;IF(AO83="","",CHAR(10))&amp;$A84,AO83)</f>
        <v/>
      </c>
      <c r="AP84" s="363" t="str">
        <f aca="false">IF(AND($B84="D06",$C84="G3"),AP83&amp;IF(AP83="","",CHAR(10))&amp;$A84,AP83)</f>
        <v>◐ 033 HIS／EMR核心平台
◐ 036 臨床術語與主資料治理</v>
      </c>
      <c r="AQ84" s="363" t="str">
        <f aca="false">IF(AND($B84="D06",$C84="G4"),AQ83&amp;IF(AQ83="","",CHAR(10))&amp;$A84,AQ83)</f>
        <v>◐ 034 FHIR介接與API管理
○ 035 主病人索引與身分整合
◐ 037 電子醫囑、用藥與決策支援
◐ 038 資料平台、BI與營運指揮</v>
      </c>
      <c r="AR84" s="0" t="str">
        <f aca="false">IF(AND($B84="D06",$C84="G5"),AR83&amp;IF(AR83="","",CHAR(10))&amp;$A84,AR83)</f>
        <v>○ 039 病人入口、行動服務與VNeID準備</v>
      </c>
      <c r="AS84" s="0" t="str">
        <f aca="false">IF(AND($B84="D06",$C84="G6"),AS83&amp;IF(AS83="","",CHAR(10))&amp;$A84,AS83)</f>
        <v/>
      </c>
      <c r="AT84" s="0" t="str">
        <f aca="false">IF(AND($B84="D07",$C84="G0"),AT83&amp;IF(AT83="","",CHAR(10))&amp;$A84,AT83)</f>
        <v/>
      </c>
      <c r="AU84" s="0" t="str">
        <f aca="false">IF(AND($B84="D07",$C84="G1"),AU83&amp;IF(AU83="","",CHAR(10))&amp;$A84,AU83)</f>
        <v/>
      </c>
      <c r="AV84" s="0" t="str">
        <f aca="false">IF(AND($B84="D07",$C84="G2"),AV83&amp;IF(AV83="","",CHAR(10))&amp;$A84,AV83)</f>
        <v>◐ 040 品質管理與JCI路線圖</v>
      </c>
      <c r="AW84" s="363" t="str">
        <f aca="false">IF(AND($B84="D07",$C84="G3"),AW83&amp;IF(AW83="","",CHAR(10))&amp;$A84,AW83)</f>
        <v>◐ 041 感染預防與控制制度
◐ 043 事件通報與根因改善</v>
      </c>
      <c r="AX84" s="0" t="str">
        <f aca="false">IF(AND($B84="D07",$C84="G4"),AX83&amp;IF(AX83="","",CHAR(10))&amp;$A84,AX83)</f>
        <v>◐ 042 用藥安全閉環</v>
      </c>
      <c r="AY84" s="0" t="str">
        <f aca="false">IF(AND($B84="D07",$C84="G5"),AY83&amp;IF(AY83="","",CHAR(10))&amp;$A84,AY83)</f>
        <v>◐ 044 開院臨床安全驗證</v>
      </c>
      <c r="AZ84" s="0" t="str">
        <f aca="false">IF(AND($B84="D07",$C84="G6"),AZ83&amp;IF(AZ83="","",CHAR(10))&amp;$A84,AZ83)</f>
        <v/>
      </c>
      <c r="BA84" s="0" t="str">
        <f aca="false">IF(AND($B84="D08",$C84="G0"),BA83&amp;IF(BA83="","",CHAR(10))&amp;$A84,BA83)</f>
        <v/>
      </c>
      <c r="BB84" s="0" t="str">
        <f aca="false">IF(AND($B84="D08",$C84="G1"),BB83&amp;IF(BB83="","",CHAR(10))&amp;$A84,BB83)</f>
        <v/>
      </c>
      <c r="BC84" s="0" t="str">
        <f aca="false">IF(AND($B84="D08",$C84="G2"),BC83&amp;IF(BC83="","",CHAR(10))&amp;$A84,BC83)</f>
        <v>○ 045 人力與輪班模型</v>
      </c>
      <c r="BD84" s="0" t="str">
        <f aca="false">IF(AND($B84="D08",$C84="G3"),BD83&amp;IF(BD83="","",CHAR(10))&amp;$A84,BD83)</f>
        <v>◐ 046 職能矩陣與授權</v>
      </c>
      <c r="BE84" s="363" t="str">
        <f aca="false">IF(AND($B84="D08",$C84="G4"),BE83&amp;IF(BE83="","",CHAR(10))&amp;$A84,BE83)</f>
        <v>◐ 047 種子教師與技術移轉
◐ 049 變革管理與使用者採納</v>
      </c>
      <c r="BF84" s="0" t="str">
        <f aca="false">IF(AND($B84="D08",$C84="G5"),BF83&amp;IF(BF83="","",CHAR(10))&amp;$A84,BF83)</f>
        <v>◐ 048 模擬中心與開院演練</v>
      </c>
      <c r="BG84" s="0" t="str">
        <f aca="false">IF(AND($B84="D08",$C84="G6"),BG83&amp;IF(BG83="","",CHAR(10))&amp;$A84,BG83)</f>
        <v/>
      </c>
      <c r="BH84" s="0" t="str">
        <f aca="false">IF(AND($B84="D09",$C84="G0"),BH83&amp;IF(BH83="","",CHAR(10))&amp;$A84,BH83)</f>
        <v/>
      </c>
      <c r="BI84" s="0" t="str">
        <f aca="false">IF(AND($B84="D09",$C84="G1"),BI83&amp;IF(BI83="","",CHAR(10))&amp;$A84,BI83)</f>
        <v/>
      </c>
      <c r="BJ84" s="0" t="str">
        <f aca="false">IF(AND($B84="D09",$C84="G2"),BJ83&amp;IF(BJ83="","",CHAR(10))&amp;$A84,BJ83)</f>
        <v>◐ 050 整合採購與供應商治理</v>
      </c>
      <c r="BK84" s="0" t="str">
        <f aca="false">IF(AND($B84="D09",$C84="G3"),BK83&amp;IF(BK83="","",CHAR(10))&amp;$A84,BK83)</f>
        <v/>
      </c>
      <c r="BL84" s="363" t="str">
        <f aca="false">IF(AND($B84="D09",$C84="G4"),BL83&amp;IF(BL83="","",CHAR(10))&amp;$A84,BL83)</f>
        <v>◐ 051 藥品耗材與SPD物流
◐ 052 冷鏈與特殊物料
● 053 CMMS與設施維運</v>
      </c>
      <c r="BM84" s="0" t="str">
        <f aca="false">IF(AND($B84="D09",$C84="G5"),BM83&amp;IF(BM83="","",CHAR(10))&amp;$A84,BM83)</f>
        <v>◐ 054 在地備品、維修與汰換</v>
      </c>
      <c r="BN84" s="0" t="str">
        <f aca="false">IF(AND($B84="D09",$C84="G6"),BN83&amp;IF(BN83="","",CHAR(10))&amp;$A84,BN83)</f>
        <v/>
      </c>
      <c r="BO84" s="0" t="str">
        <f aca="false">IF(AND($B84="D10",$C84="G0"),BO83&amp;IF(BO83="","",CHAR(10))&amp;$A84,BO83)</f>
        <v/>
      </c>
      <c r="BP84" s="0" t="str">
        <f aca="false">IF(AND($B84="D10",$C84="G1"),BP83&amp;IF(BP83="","",CHAR(10))&amp;$A84,BP83)</f>
        <v>◐ 055 全生命週期成本模型</v>
      </c>
      <c r="BQ84" s="0" t="str">
        <f aca="false">IF(AND($B84="D10",$C84="G2"),BQ83&amp;IF(BQ83="","",CHAR(10))&amp;$A84,BQ83)</f>
        <v>◐ 059 PPP／JV財務與風險分配</v>
      </c>
      <c r="BR84" s="0" t="str">
        <f aca="false">IF(AND($B84="D10",$C84="G3"),BR83&amp;IF(BR83="","",CHAR(10))&amp;$A84,BR83)</f>
        <v/>
      </c>
      <c r="BS84" s="363" t="str">
        <f aca="false">IF(AND($B84="D10",$C84="G4"),BS83&amp;IF(BS83="","",CHAR(10))&amp;$A84,BS83)</f>
        <v>○ 056 健保申報與數位理賠
○ 057 現金流、支付與收入週期</v>
      </c>
      <c r="BT84" s="0" t="str">
        <f aca="false">IF(AND($B84="D10",$C84="G5"),BT83&amp;IF(BT83="","",CHAR(10))&amp;$A84,BT83)</f>
        <v>○ 058 國際醫療與高價值服務</v>
      </c>
      <c r="BU84" s="0" t="str">
        <f aca="false">IF(AND($B84="D10",$C84="G6"),BU83&amp;IF(BU83="","",CHAR(10))&amp;$A84,BU83)</f>
        <v>◐ 060 效益實現與複製藍圖</v>
      </c>
      <c r="BX84" s="0" t="str">
        <f aca="false">IF(AND(03_能力總表_Master!$A84&lt;&gt;"",LEFT(03_能力總表_Master!$H84,2)="缺口"),MAX($BX$4:BX83)+1,"")</f>
        <v/>
      </c>
      <c r="BY84" s="0" t="str">
        <f aca="false">IF(AND(03_能力總表_Master!$A84&lt;&gt;"",03_能力總表_Master!$J84=12_夥伴視角_PartnerView!$C$4),MAX($BY$4:BY83)+1,"")</f>
        <v/>
      </c>
      <c r="CC84" s="0" t="str">
        <f aca="false">IF(AND(03_能力總表_Master!$A84&lt;&gt;"",IFERROR(INDEX(16_能力商機矩陣_CapOppMap!$D84:$CO84,MATCH(LEFT(17_商機作戰卡_OppView!$C$4,6),16_能力商機矩陣_CapOppMap!$D$4:$CO$4,0)),"")="✓"),MAX($CC$4:CC83)+1,"")</f>
        <v/>
      </c>
    </row>
    <row r="85" customFormat="false" ht="95.5" hidden="false" customHeight="false" outlineLevel="0" collapsed="false">
      <c r="A85" s="0" t="str">
        <f aca="false">IF(03_能力總表_Master!$A85="","",IF(LEFT(03_能力總表_Master!$H85,2)="群晶","● ",IF(ISNUMBER(SEARCH("已確認",03_能力總表_Master!$H85)),"◆ ",IF(ISNUMBER(SEARCH("缺口",03_能力總表_Master!$H85)),"○ ","◐ ")))&amp;RIGHT(03_能力總表_Master!$A85,3)&amp;" "&amp;03_能力總表_Master!$E85)</f>
        <v/>
      </c>
      <c r="B85" s="0" t="str">
        <f aca="false">IF(03_能力總表_Master!$A85="","",LEFT(03_能力總表_Master!$B85,3))</f>
        <v/>
      </c>
      <c r="C85" s="0" t="str">
        <f aca="false">IF(03_能力總表_Master!$A85="","",03_能力總表_Master!$C85)</f>
        <v/>
      </c>
      <c r="D85" s="363" t="str">
        <f aca="false">IF(AND($B85="D01",$C85="G0"),D84&amp;IF(D84="","",CHAR(10))&amp;$A85,D84)</f>
        <v>◐ 001 政府授權與計畫章程
◐ 002 利害關係人與權力地圖
◐ 005 聯盟治理與利益衝突</v>
      </c>
      <c r="E85" s="363" t="str">
        <f aca="false">IF(AND($B85="D01",$C85="G1"),E84&amp;IF(E84="","",CHAR(10))&amp;$A85,E84)</f>
        <v>◐ 003 交易模式選擇
◐ 004 法規與執照路徑</v>
      </c>
      <c r="F85" s="0" t="str">
        <f aca="false">IF(AND($B85="D01",$C85="G2"),F84&amp;IF(F84="","",CHAR(10))&amp;$A85,F84)</f>
        <v>◐ 006 績效契約與變更控制</v>
      </c>
      <c r="G85" s="0" t="str">
        <f aca="false">IF(AND($B85="D01",$C85="G3"),G84&amp;IF(G84="","",CHAR(10))&amp;$A85,G84)</f>
        <v/>
      </c>
      <c r="H85" s="0" t="str">
        <f aca="false">IF(AND($B85="D01",$C85="G4"),H84&amp;IF(H84="","",CHAR(10))&amp;$A85,H84)</f>
        <v/>
      </c>
      <c r="I85" s="0" t="str">
        <f aca="false">IF(AND($B85="D01",$C85="G5"),I84&amp;IF(I84="","",CHAR(10))&amp;$A85,I84)</f>
        <v/>
      </c>
      <c r="J85" s="0" t="str">
        <f aca="false">IF(AND($B85="D01",$C85="G6"),J84&amp;IF(J84="","",CHAR(10))&amp;$A85,J84)</f>
        <v/>
      </c>
      <c r="K85" s="0" t="str">
        <f aca="false">IF(AND($B85="D02",$C85="G0"),K84&amp;IF(K84="","",CHAR(10))&amp;$A85,K84)</f>
        <v/>
      </c>
      <c r="L85" s="363" t="str">
        <f aca="false">IF(AND($B85="D02",$C85="G1"),L84&amp;IF(L84="","",CHAR(10))&amp;$A85,L84)</f>
        <v>◐ 007 人口需求與病例量預測
◐ 008 醫院定位與服務組合
◐ 009 重點專科優先化
◐ 010 病人流程與容量設計
◐ 011 轉診與區域照護網絡
◐ 012 臨床治理與責任架構</v>
      </c>
      <c r="M85" s="0" t="str">
        <f aca="false">IF(AND($B85="D02",$C85="G2"),M84&amp;IF(M84="","",CHAR(10))&amp;$A85,M84)</f>
        <v/>
      </c>
      <c r="N85" s="0" t="str">
        <f aca="false">IF(AND($B85="D02",$C85="G3"),N84&amp;IF(N84="","",CHAR(10))&amp;$A85,N84)</f>
        <v/>
      </c>
      <c r="O85" s="0" t="str">
        <f aca="false">IF(AND($B85="D02",$C85="G4"),O84&amp;IF(O84="","",CHAR(10))&amp;$A85,O84)</f>
        <v/>
      </c>
      <c r="P85" s="0" t="str">
        <f aca="false">IF(AND($B85="D02",$C85="G5"),P84&amp;IF(P84="","",CHAR(10))&amp;$A85,P84)</f>
        <v/>
      </c>
      <c r="Q85" s="0" t="str">
        <f aca="false">IF(AND($B85="D02",$C85="G6"),Q84&amp;IF(Q84="","",CHAR(10))&amp;$A85,Q84)</f>
        <v/>
      </c>
      <c r="R85" s="0" t="str">
        <f aca="false">IF(AND($B85="D03",$C85="G0"),R84&amp;IF(R84="","",CHAR(10))&amp;$A85,R84)</f>
        <v/>
      </c>
      <c r="S85" s="0" t="str">
        <f aca="false">IF(AND($B85="D03",$C85="G1"),S84&amp;IF(S84="","",CHAR(10))&amp;$A85,S84)</f>
        <v>◐ 013 場址與醫院總體規劃</v>
      </c>
      <c r="T85" s="363" t="str">
        <f aca="false">IF(AND($B85="D03",$C85="G2"),T84&amp;IF(T84="","",CHAR(10))&amp;$A85,T84)</f>
        <v>◐ 014 醫療建築功能計畫
◐ 015 感染控制與潔污動線
◐ 019 綠色與氣候韌性醫院</v>
      </c>
      <c r="U85" s="363" t="str">
        <f aca="false">IF(AND($B85="D03",$C85="G3"),U84&amp;IF(U84="","",CHAR(10))&amp;$A85,U84)</f>
        <v>● 016 電力、備援與微電網
◐ 017 醫療氣體與關鍵公用系統
◐ 018 醫療廢棄物與水資源</v>
      </c>
      <c r="V85" s="0" t="str">
        <f aca="false">IF(AND($B85="D03",$C85="G4"),V84&amp;IF(V84="","",CHAR(10))&amp;$A85,V84)</f>
        <v/>
      </c>
      <c r="W85" s="0" t="str">
        <f aca="false">IF(AND($B85="D03",$C85="G5"),W84&amp;IF(W84="","",CHAR(10))&amp;$A85,W84)</f>
        <v/>
      </c>
      <c r="X85" s="0" t="str">
        <f aca="false">IF(AND($B85="D03",$C85="G6"),X84&amp;IF(X84="","",CHAR(10))&amp;$A85,X84)</f>
        <v/>
      </c>
      <c r="Y85" s="0" t="str">
        <f aca="false">IF(AND($B85="D04",$C85="G0"),Y84&amp;IF(Y84="","",CHAR(10))&amp;$A85,Y84)</f>
        <v/>
      </c>
      <c r="Z85" s="0" t="str">
        <f aca="false">IF(AND($B85="D04",$C85="G1"),Z84&amp;IF(Z84="","",CHAR(10))&amp;$A85,Z84)</f>
        <v/>
      </c>
      <c r="AA85" s="0" t="str">
        <f aca="false">IF(AND($B85="D04",$C85="G2"),AA84&amp;IF(AA84="","",CHAR(10))&amp;$A85,AA84)</f>
        <v/>
      </c>
      <c r="AB85" s="0" t="str">
        <f aca="false">IF(AND($B85="D04",$C85="G3"),AB84&amp;IF(AB84="","",CHAR(10))&amp;$A85,AB84)</f>
        <v>● 020 IDC與邊緣運算底座</v>
      </c>
      <c r="AC85" s="363" t="str">
        <f aca="false">IF(AND($B85="D04",$C85="G4"),AC84&amp;IF(AC84="","",CHAR(10))&amp;$A85,AC84)</f>
        <v>● 021 有線無線網路與分區
◐ 022 資安營運與零信任
● 023 BMS與能源管理
● 024 RTLS與資產／人員定位
● 025 智慧病房、護理呼叫與感測
● 026 災難復原與營運持續</v>
      </c>
      <c r="AD85" s="0" t="str">
        <f aca="false">IF(AND($B85="D04",$C85="G5"),AD84&amp;IF(AD84="","",CHAR(10))&amp;$A85,AD84)</f>
        <v/>
      </c>
      <c r="AE85" s="0" t="str">
        <f aca="false">IF(AND($B85="D04",$C85="G6"),AE84&amp;IF(AE84="","",CHAR(10))&amp;$A85,AE84)</f>
        <v/>
      </c>
      <c r="AF85" s="0" t="str">
        <f aca="false">IF(AND($B85="D05",$C85="G0"),AF84&amp;IF(AF84="","",CHAR(10))&amp;$A85,AF84)</f>
        <v/>
      </c>
      <c r="AG85" s="0" t="str">
        <f aca="false">IF(AND($B85="D05",$C85="G1"),AG84&amp;IF(AG84="","",CHAR(10))&amp;$A85,AG84)</f>
        <v/>
      </c>
      <c r="AH85" s="0" t="str">
        <f aca="false">IF(AND($B85="D05",$C85="G2"),AH84&amp;IF(AH84="","",CHAR(10))&amp;$A85,AH84)</f>
        <v>◐ 027 醫材需求與設備計畫</v>
      </c>
      <c r="AI85" s="0" t="str">
        <f aca="false">IF(AND($B85="D05",$C85="G3"),AI84&amp;IF(AI84="","",CHAR(10))&amp;$A85,AI84)</f>
        <v/>
      </c>
      <c r="AJ85" s="363" t="str">
        <f aca="false">IF(AND($B85="D05",$C85="G4"),AJ84&amp;IF(AJ84="","",CHAR(10))&amp;$A85,AJ84)</f>
        <v>○ 028 影像設備、PACS與報告流程
○ 029 實驗室自動化與LIS
○ 030 手術室與重症整合
◐ 031 醫材介接與裝置身分
◐ 032 醫療工程與設備生命週期</v>
      </c>
      <c r="AK85" s="0" t="str">
        <f aca="false">IF(AND($B85="D05",$C85="G5"),AK84&amp;IF(AK84="","",CHAR(10))&amp;$A85,AK84)</f>
        <v/>
      </c>
      <c r="AL85" s="0" t="str">
        <f aca="false">IF(AND($B85="D05",$C85="G6"),AL84&amp;IF(AL84="","",CHAR(10))&amp;$A85,AL84)</f>
        <v/>
      </c>
      <c r="AM85" s="0" t="str">
        <f aca="false">IF(AND($B85="D06",$C85="G0"),AM84&amp;IF(AM84="","",CHAR(10))&amp;$A85,AM84)</f>
        <v/>
      </c>
      <c r="AN85" s="0" t="str">
        <f aca="false">IF(AND($B85="D06",$C85="G1"),AN84&amp;IF(AN84="","",CHAR(10))&amp;$A85,AN84)</f>
        <v/>
      </c>
      <c r="AO85" s="0" t="str">
        <f aca="false">IF(AND($B85="D06",$C85="G2"),AO84&amp;IF(AO84="","",CHAR(10))&amp;$A85,AO84)</f>
        <v/>
      </c>
      <c r="AP85" s="363" t="str">
        <f aca="false">IF(AND($B85="D06",$C85="G3"),AP84&amp;IF(AP84="","",CHAR(10))&amp;$A85,AP84)</f>
        <v>◐ 033 HIS／EMR核心平台
◐ 036 臨床術語與主資料治理</v>
      </c>
      <c r="AQ85" s="363" t="str">
        <f aca="false">IF(AND($B85="D06",$C85="G4"),AQ84&amp;IF(AQ84="","",CHAR(10))&amp;$A85,AQ84)</f>
        <v>◐ 034 FHIR介接與API管理
○ 035 主病人索引與身分整合
◐ 037 電子醫囑、用藥與決策支援
◐ 038 資料平台、BI與營運指揮</v>
      </c>
      <c r="AR85" s="0" t="str">
        <f aca="false">IF(AND($B85="D06",$C85="G5"),AR84&amp;IF(AR84="","",CHAR(10))&amp;$A85,AR84)</f>
        <v>○ 039 病人入口、行動服務與VNeID準備</v>
      </c>
      <c r="AS85" s="0" t="str">
        <f aca="false">IF(AND($B85="D06",$C85="G6"),AS84&amp;IF(AS84="","",CHAR(10))&amp;$A85,AS84)</f>
        <v/>
      </c>
      <c r="AT85" s="0" t="str">
        <f aca="false">IF(AND($B85="D07",$C85="G0"),AT84&amp;IF(AT84="","",CHAR(10))&amp;$A85,AT84)</f>
        <v/>
      </c>
      <c r="AU85" s="0" t="str">
        <f aca="false">IF(AND($B85="D07",$C85="G1"),AU84&amp;IF(AU84="","",CHAR(10))&amp;$A85,AU84)</f>
        <v/>
      </c>
      <c r="AV85" s="0" t="str">
        <f aca="false">IF(AND($B85="D07",$C85="G2"),AV84&amp;IF(AV84="","",CHAR(10))&amp;$A85,AV84)</f>
        <v>◐ 040 品質管理與JCI路線圖</v>
      </c>
      <c r="AW85" s="363" t="str">
        <f aca="false">IF(AND($B85="D07",$C85="G3"),AW84&amp;IF(AW84="","",CHAR(10))&amp;$A85,AW84)</f>
        <v>◐ 041 感染預防與控制制度
◐ 043 事件通報與根因改善</v>
      </c>
      <c r="AX85" s="0" t="str">
        <f aca="false">IF(AND($B85="D07",$C85="G4"),AX84&amp;IF(AX84="","",CHAR(10))&amp;$A85,AX84)</f>
        <v>◐ 042 用藥安全閉環</v>
      </c>
      <c r="AY85" s="0" t="str">
        <f aca="false">IF(AND($B85="D07",$C85="G5"),AY84&amp;IF(AY84="","",CHAR(10))&amp;$A85,AY84)</f>
        <v>◐ 044 開院臨床安全驗證</v>
      </c>
      <c r="AZ85" s="0" t="str">
        <f aca="false">IF(AND($B85="D07",$C85="G6"),AZ84&amp;IF(AZ84="","",CHAR(10))&amp;$A85,AZ84)</f>
        <v/>
      </c>
      <c r="BA85" s="0" t="str">
        <f aca="false">IF(AND($B85="D08",$C85="G0"),BA84&amp;IF(BA84="","",CHAR(10))&amp;$A85,BA84)</f>
        <v/>
      </c>
      <c r="BB85" s="0" t="str">
        <f aca="false">IF(AND($B85="D08",$C85="G1"),BB84&amp;IF(BB84="","",CHAR(10))&amp;$A85,BB84)</f>
        <v/>
      </c>
      <c r="BC85" s="0" t="str">
        <f aca="false">IF(AND($B85="D08",$C85="G2"),BC84&amp;IF(BC84="","",CHAR(10))&amp;$A85,BC84)</f>
        <v>○ 045 人力與輪班模型</v>
      </c>
      <c r="BD85" s="0" t="str">
        <f aca="false">IF(AND($B85="D08",$C85="G3"),BD84&amp;IF(BD84="","",CHAR(10))&amp;$A85,BD84)</f>
        <v>◐ 046 職能矩陣與授權</v>
      </c>
      <c r="BE85" s="363" t="str">
        <f aca="false">IF(AND($B85="D08",$C85="G4"),BE84&amp;IF(BE84="","",CHAR(10))&amp;$A85,BE84)</f>
        <v>◐ 047 種子教師與技術移轉
◐ 049 變革管理與使用者採納</v>
      </c>
      <c r="BF85" s="0" t="str">
        <f aca="false">IF(AND($B85="D08",$C85="G5"),BF84&amp;IF(BF84="","",CHAR(10))&amp;$A85,BF84)</f>
        <v>◐ 048 模擬中心與開院演練</v>
      </c>
      <c r="BG85" s="0" t="str">
        <f aca="false">IF(AND($B85="D08",$C85="G6"),BG84&amp;IF(BG84="","",CHAR(10))&amp;$A85,BG84)</f>
        <v/>
      </c>
      <c r="BH85" s="0" t="str">
        <f aca="false">IF(AND($B85="D09",$C85="G0"),BH84&amp;IF(BH84="","",CHAR(10))&amp;$A85,BH84)</f>
        <v/>
      </c>
      <c r="BI85" s="0" t="str">
        <f aca="false">IF(AND($B85="D09",$C85="G1"),BI84&amp;IF(BI84="","",CHAR(10))&amp;$A85,BI84)</f>
        <v/>
      </c>
      <c r="BJ85" s="0" t="str">
        <f aca="false">IF(AND($B85="D09",$C85="G2"),BJ84&amp;IF(BJ84="","",CHAR(10))&amp;$A85,BJ84)</f>
        <v>◐ 050 整合採購與供應商治理</v>
      </c>
      <c r="BK85" s="0" t="str">
        <f aca="false">IF(AND($B85="D09",$C85="G3"),BK84&amp;IF(BK84="","",CHAR(10))&amp;$A85,BK84)</f>
        <v/>
      </c>
      <c r="BL85" s="363" t="str">
        <f aca="false">IF(AND($B85="D09",$C85="G4"),BL84&amp;IF(BL84="","",CHAR(10))&amp;$A85,BL84)</f>
        <v>◐ 051 藥品耗材與SPD物流
◐ 052 冷鏈與特殊物料
● 053 CMMS與設施維運</v>
      </c>
      <c r="BM85" s="0" t="str">
        <f aca="false">IF(AND($B85="D09",$C85="G5"),BM84&amp;IF(BM84="","",CHAR(10))&amp;$A85,BM84)</f>
        <v>◐ 054 在地備品、維修與汰換</v>
      </c>
      <c r="BN85" s="0" t="str">
        <f aca="false">IF(AND($B85="D09",$C85="G6"),BN84&amp;IF(BN84="","",CHAR(10))&amp;$A85,BN84)</f>
        <v/>
      </c>
      <c r="BO85" s="0" t="str">
        <f aca="false">IF(AND($B85="D10",$C85="G0"),BO84&amp;IF(BO84="","",CHAR(10))&amp;$A85,BO84)</f>
        <v/>
      </c>
      <c r="BP85" s="0" t="str">
        <f aca="false">IF(AND($B85="D10",$C85="G1"),BP84&amp;IF(BP84="","",CHAR(10))&amp;$A85,BP84)</f>
        <v>◐ 055 全生命週期成本模型</v>
      </c>
      <c r="BQ85" s="0" t="str">
        <f aca="false">IF(AND($B85="D10",$C85="G2"),BQ84&amp;IF(BQ84="","",CHAR(10))&amp;$A85,BQ84)</f>
        <v>◐ 059 PPP／JV財務與風險分配</v>
      </c>
      <c r="BR85" s="0" t="str">
        <f aca="false">IF(AND($B85="D10",$C85="G3"),BR84&amp;IF(BR84="","",CHAR(10))&amp;$A85,BR84)</f>
        <v/>
      </c>
      <c r="BS85" s="363" t="str">
        <f aca="false">IF(AND($B85="D10",$C85="G4"),BS84&amp;IF(BS84="","",CHAR(10))&amp;$A85,BS84)</f>
        <v>○ 056 健保申報與數位理賠
○ 057 現金流、支付與收入週期</v>
      </c>
      <c r="BT85" s="0" t="str">
        <f aca="false">IF(AND($B85="D10",$C85="G5"),BT84&amp;IF(BT84="","",CHAR(10))&amp;$A85,BT84)</f>
        <v>○ 058 國際醫療與高價值服務</v>
      </c>
      <c r="BU85" s="0" t="str">
        <f aca="false">IF(AND($B85="D10",$C85="G6"),BU84&amp;IF(BU84="","",CHAR(10))&amp;$A85,BU84)</f>
        <v>◐ 060 效益實現與複製藍圖</v>
      </c>
      <c r="BX85" s="0" t="str">
        <f aca="false">IF(AND(03_能力總表_Master!$A85&lt;&gt;"",LEFT(03_能力總表_Master!$H85,2)="缺口"),MAX($BX$4:BX84)+1,"")</f>
        <v/>
      </c>
      <c r="BY85" s="0" t="str">
        <f aca="false">IF(AND(03_能力總表_Master!$A85&lt;&gt;"",03_能力總表_Master!$J85=12_夥伴視角_PartnerView!$C$4),MAX($BY$4:BY84)+1,"")</f>
        <v/>
      </c>
      <c r="CC85" s="0" t="str">
        <f aca="false">IF(AND(03_能力總表_Master!$A85&lt;&gt;"",IFERROR(INDEX(16_能力商機矩陣_CapOppMap!$D85:$CO85,MATCH(LEFT(17_商機作戰卡_OppView!$C$4,6),16_能力商機矩陣_CapOppMap!$D$4:$CO$4,0)),"")="✓"),MAX($CC$4:CC84)+1,"")</f>
        <v/>
      </c>
    </row>
    <row r="86" customFormat="false" ht="95.5" hidden="false" customHeight="false" outlineLevel="0" collapsed="false">
      <c r="A86" s="0" t="str">
        <f aca="false">IF(03_能力總表_Master!$A86="","",IF(LEFT(03_能力總表_Master!$H86,2)="群晶","● ",IF(ISNUMBER(SEARCH("已確認",03_能力總表_Master!$H86)),"◆ ",IF(ISNUMBER(SEARCH("缺口",03_能力總表_Master!$H86)),"○ ","◐ ")))&amp;RIGHT(03_能力總表_Master!$A86,3)&amp;" "&amp;03_能力總表_Master!$E86)</f>
        <v/>
      </c>
      <c r="B86" s="0" t="str">
        <f aca="false">IF(03_能力總表_Master!$A86="","",LEFT(03_能力總表_Master!$B86,3))</f>
        <v/>
      </c>
      <c r="C86" s="0" t="str">
        <f aca="false">IF(03_能力總表_Master!$A86="","",03_能力總表_Master!$C86)</f>
        <v/>
      </c>
      <c r="D86" s="363" t="str">
        <f aca="false">IF(AND($B86="D01",$C86="G0"),D85&amp;IF(D85="","",CHAR(10))&amp;$A86,D85)</f>
        <v>◐ 001 政府授權與計畫章程
◐ 002 利害關係人與權力地圖
◐ 005 聯盟治理與利益衝突</v>
      </c>
      <c r="E86" s="363" t="str">
        <f aca="false">IF(AND($B86="D01",$C86="G1"),E85&amp;IF(E85="","",CHAR(10))&amp;$A86,E85)</f>
        <v>◐ 003 交易模式選擇
◐ 004 法規與執照路徑</v>
      </c>
      <c r="F86" s="0" t="str">
        <f aca="false">IF(AND($B86="D01",$C86="G2"),F85&amp;IF(F85="","",CHAR(10))&amp;$A86,F85)</f>
        <v>◐ 006 績效契約與變更控制</v>
      </c>
      <c r="G86" s="0" t="str">
        <f aca="false">IF(AND($B86="D01",$C86="G3"),G85&amp;IF(G85="","",CHAR(10))&amp;$A86,G85)</f>
        <v/>
      </c>
      <c r="H86" s="0" t="str">
        <f aca="false">IF(AND($B86="D01",$C86="G4"),H85&amp;IF(H85="","",CHAR(10))&amp;$A86,H85)</f>
        <v/>
      </c>
      <c r="I86" s="0" t="str">
        <f aca="false">IF(AND($B86="D01",$C86="G5"),I85&amp;IF(I85="","",CHAR(10))&amp;$A86,I85)</f>
        <v/>
      </c>
      <c r="J86" s="0" t="str">
        <f aca="false">IF(AND($B86="D01",$C86="G6"),J85&amp;IF(J85="","",CHAR(10))&amp;$A86,J85)</f>
        <v/>
      </c>
      <c r="K86" s="0" t="str">
        <f aca="false">IF(AND($B86="D02",$C86="G0"),K85&amp;IF(K85="","",CHAR(10))&amp;$A86,K85)</f>
        <v/>
      </c>
      <c r="L86" s="363" t="str">
        <f aca="false">IF(AND($B86="D02",$C86="G1"),L85&amp;IF(L85="","",CHAR(10))&amp;$A86,L85)</f>
        <v>◐ 007 人口需求與病例量預測
◐ 008 醫院定位與服務組合
◐ 009 重點專科優先化
◐ 010 病人流程與容量設計
◐ 011 轉診與區域照護網絡
◐ 012 臨床治理與責任架構</v>
      </c>
      <c r="M86" s="0" t="str">
        <f aca="false">IF(AND($B86="D02",$C86="G2"),M85&amp;IF(M85="","",CHAR(10))&amp;$A86,M85)</f>
        <v/>
      </c>
      <c r="N86" s="0" t="str">
        <f aca="false">IF(AND($B86="D02",$C86="G3"),N85&amp;IF(N85="","",CHAR(10))&amp;$A86,N85)</f>
        <v/>
      </c>
      <c r="O86" s="0" t="str">
        <f aca="false">IF(AND($B86="D02",$C86="G4"),O85&amp;IF(O85="","",CHAR(10))&amp;$A86,O85)</f>
        <v/>
      </c>
      <c r="P86" s="0" t="str">
        <f aca="false">IF(AND($B86="D02",$C86="G5"),P85&amp;IF(P85="","",CHAR(10))&amp;$A86,P85)</f>
        <v/>
      </c>
      <c r="Q86" s="0" t="str">
        <f aca="false">IF(AND($B86="D02",$C86="G6"),Q85&amp;IF(Q85="","",CHAR(10))&amp;$A86,Q85)</f>
        <v/>
      </c>
      <c r="R86" s="0" t="str">
        <f aca="false">IF(AND($B86="D03",$C86="G0"),R85&amp;IF(R85="","",CHAR(10))&amp;$A86,R85)</f>
        <v/>
      </c>
      <c r="S86" s="0" t="str">
        <f aca="false">IF(AND($B86="D03",$C86="G1"),S85&amp;IF(S85="","",CHAR(10))&amp;$A86,S85)</f>
        <v>◐ 013 場址與醫院總體規劃</v>
      </c>
      <c r="T86" s="363" t="str">
        <f aca="false">IF(AND($B86="D03",$C86="G2"),T85&amp;IF(T85="","",CHAR(10))&amp;$A86,T85)</f>
        <v>◐ 014 醫療建築功能計畫
◐ 015 感染控制與潔污動線
◐ 019 綠色與氣候韌性醫院</v>
      </c>
      <c r="U86" s="363" t="str">
        <f aca="false">IF(AND($B86="D03",$C86="G3"),U85&amp;IF(U85="","",CHAR(10))&amp;$A86,U85)</f>
        <v>● 016 電力、備援與微電網
◐ 017 醫療氣體與關鍵公用系統
◐ 018 醫療廢棄物與水資源</v>
      </c>
      <c r="V86" s="0" t="str">
        <f aca="false">IF(AND($B86="D03",$C86="G4"),V85&amp;IF(V85="","",CHAR(10))&amp;$A86,V85)</f>
        <v/>
      </c>
      <c r="W86" s="0" t="str">
        <f aca="false">IF(AND($B86="D03",$C86="G5"),W85&amp;IF(W85="","",CHAR(10))&amp;$A86,W85)</f>
        <v/>
      </c>
      <c r="X86" s="0" t="str">
        <f aca="false">IF(AND($B86="D03",$C86="G6"),X85&amp;IF(X85="","",CHAR(10))&amp;$A86,X85)</f>
        <v/>
      </c>
      <c r="Y86" s="0" t="str">
        <f aca="false">IF(AND($B86="D04",$C86="G0"),Y85&amp;IF(Y85="","",CHAR(10))&amp;$A86,Y85)</f>
        <v/>
      </c>
      <c r="Z86" s="0" t="str">
        <f aca="false">IF(AND($B86="D04",$C86="G1"),Z85&amp;IF(Z85="","",CHAR(10))&amp;$A86,Z85)</f>
        <v/>
      </c>
      <c r="AA86" s="0" t="str">
        <f aca="false">IF(AND($B86="D04",$C86="G2"),AA85&amp;IF(AA85="","",CHAR(10))&amp;$A86,AA85)</f>
        <v/>
      </c>
      <c r="AB86" s="0" t="str">
        <f aca="false">IF(AND($B86="D04",$C86="G3"),AB85&amp;IF(AB85="","",CHAR(10))&amp;$A86,AB85)</f>
        <v>● 020 IDC與邊緣運算底座</v>
      </c>
      <c r="AC86" s="363" t="str">
        <f aca="false">IF(AND($B86="D04",$C86="G4"),AC85&amp;IF(AC85="","",CHAR(10))&amp;$A86,AC85)</f>
        <v>● 021 有線無線網路與分區
◐ 022 資安營運與零信任
● 023 BMS與能源管理
● 024 RTLS與資產／人員定位
● 025 智慧病房、護理呼叫與感測
● 026 災難復原與營運持續</v>
      </c>
      <c r="AD86" s="0" t="str">
        <f aca="false">IF(AND($B86="D04",$C86="G5"),AD85&amp;IF(AD85="","",CHAR(10))&amp;$A86,AD85)</f>
        <v/>
      </c>
      <c r="AE86" s="0" t="str">
        <f aca="false">IF(AND($B86="D04",$C86="G6"),AE85&amp;IF(AE85="","",CHAR(10))&amp;$A86,AE85)</f>
        <v/>
      </c>
      <c r="AF86" s="0" t="str">
        <f aca="false">IF(AND($B86="D05",$C86="G0"),AF85&amp;IF(AF85="","",CHAR(10))&amp;$A86,AF85)</f>
        <v/>
      </c>
      <c r="AG86" s="0" t="str">
        <f aca="false">IF(AND($B86="D05",$C86="G1"),AG85&amp;IF(AG85="","",CHAR(10))&amp;$A86,AG85)</f>
        <v/>
      </c>
      <c r="AH86" s="0" t="str">
        <f aca="false">IF(AND($B86="D05",$C86="G2"),AH85&amp;IF(AH85="","",CHAR(10))&amp;$A86,AH85)</f>
        <v>◐ 027 醫材需求與設備計畫</v>
      </c>
      <c r="AI86" s="0" t="str">
        <f aca="false">IF(AND($B86="D05",$C86="G3"),AI85&amp;IF(AI85="","",CHAR(10))&amp;$A86,AI85)</f>
        <v/>
      </c>
      <c r="AJ86" s="363" t="str">
        <f aca="false">IF(AND($B86="D05",$C86="G4"),AJ85&amp;IF(AJ85="","",CHAR(10))&amp;$A86,AJ85)</f>
        <v>○ 028 影像設備、PACS與報告流程
○ 029 實驗室自動化與LIS
○ 030 手術室與重症整合
◐ 031 醫材介接與裝置身分
◐ 032 醫療工程與設備生命週期</v>
      </c>
      <c r="AK86" s="0" t="str">
        <f aca="false">IF(AND($B86="D05",$C86="G5"),AK85&amp;IF(AK85="","",CHAR(10))&amp;$A86,AK85)</f>
        <v/>
      </c>
      <c r="AL86" s="0" t="str">
        <f aca="false">IF(AND($B86="D05",$C86="G6"),AL85&amp;IF(AL85="","",CHAR(10))&amp;$A86,AL85)</f>
        <v/>
      </c>
      <c r="AM86" s="0" t="str">
        <f aca="false">IF(AND($B86="D06",$C86="G0"),AM85&amp;IF(AM85="","",CHAR(10))&amp;$A86,AM85)</f>
        <v/>
      </c>
      <c r="AN86" s="0" t="str">
        <f aca="false">IF(AND($B86="D06",$C86="G1"),AN85&amp;IF(AN85="","",CHAR(10))&amp;$A86,AN85)</f>
        <v/>
      </c>
      <c r="AO86" s="0" t="str">
        <f aca="false">IF(AND($B86="D06",$C86="G2"),AO85&amp;IF(AO85="","",CHAR(10))&amp;$A86,AO85)</f>
        <v/>
      </c>
      <c r="AP86" s="363" t="str">
        <f aca="false">IF(AND($B86="D06",$C86="G3"),AP85&amp;IF(AP85="","",CHAR(10))&amp;$A86,AP85)</f>
        <v>◐ 033 HIS／EMR核心平台
◐ 036 臨床術語與主資料治理</v>
      </c>
      <c r="AQ86" s="363" t="str">
        <f aca="false">IF(AND($B86="D06",$C86="G4"),AQ85&amp;IF(AQ85="","",CHAR(10))&amp;$A86,AQ85)</f>
        <v>◐ 034 FHIR介接與API管理
○ 035 主病人索引與身分整合
◐ 037 電子醫囑、用藥與決策支援
◐ 038 資料平台、BI與營運指揮</v>
      </c>
      <c r="AR86" s="0" t="str">
        <f aca="false">IF(AND($B86="D06",$C86="G5"),AR85&amp;IF(AR85="","",CHAR(10))&amp;$A86,AR85)</f>
        <v>○ 039 病人入口、行動服務與VNeID準備</v>
      </c>
      <c r="AS86" s="0" t="str">
        <f aca="false">IF(AND($B86="D06",$C86="G6"),AS85&amp;IF(AS85="","",CHAR(10))&amp;$A86,AS85)</f>
        <v/>
      </c>
      <c r="AT86" s="0" t="str">
        <f aca="false">IF(AND($B86="D07",$C86="G0"),AT85&amp;IF(AT85="","",CHAR(10))&amp;$A86,AT85)</f>
        <v/>
      </c>
      <c r="AU86" s="0" t="str">
        <f aca="false">IF(AND($B86="D07",$C86="G1"),AU85&amp;IF(AU85="","",CHAR(10))&amp;$A86,AU85)</f>
        <v/>
      </c>
      <c r="AV86" s="0" t="str">
        <f aca="false">IF(AND($B86="D07",$C86="G2"),AV85&amp;IF(AV85="","",CHAR(10))&amp;$A86,AV85)</f>
        <v>◐ 040 品質管理與JCI路線圖</v>
      </c>
      <c r="AW86" s="363" t="str">
        <f aca="false">IF(AND($B86="D07",$C86="G3"),AW85&amp;IF(AW85="","",CHAR(10))&amp;$A86,AW85)</f>
        <v>◐ 041 感染預防與控制制度
◐ 043 事件通報與根因改善</v>
      </c>
      <c r="AX86" s="0" t="str">
        <f aca="false">IF(AND($B86="D07",$C86="G4"),AX85&amp;IF(AX85="","",CHAR(10))&amp;$A86,AX85)</f>
        <v>◐ 042 用藥安全閉環</v>
      </c>
      <c r="AY86" s="0" t="str">
        <f aca="false">IF(AND($B86="D07",$C86="G5"),AY85&amp;IF(AY85="","",CHAR(10))&amp;$A86,AY85)</f>
        <v>◐ 044 開院臨床安全驗證</v>
      </c>
      <c r="AZ86" s="0" t="str">
        <f aca="false">IF(AND($B86="D07",$C86="G6"),AZ85&amp;IF(AZ85="","",CHAR(10))&amp;$A86,AZ85)</f>
        <v/>
      </c>
      <c r="BA86" s="0" t="str">
        <f aca="false">IF(AND($B86="D08",$C86="G0"),BA85&amp;IF(BA85="","",CHAR(10))&amp;$A86,BA85)</f>
        <v/>
      </c>
      <c r="BB86" s="0" t="str">
        <f aca="false">IF(AND($B86="D08",$C86="G1"),BB85&amp;IF(BB85="","",CHAR(10))&amp;$A86,BB85)</f>
        <v/>
      </c>
      <c r="BC86" s="0" t="str">
        <f aca="false">IF(AND($B86="D08",$C86="G2"),BC85&amp;IF(BC85="","",CHAR(10))&amp;$A86,BC85)</f>
        <v>○ 045 人力與輪班模型</v>
      </c>
      <c r="BD86" s="0" t="str">
        <f aca="false">IF(AND($B86="D08",$C86="G3"),BD85&amp;IF(BD85="","",CHAR(10))&amp;$A86,BD85)</f>
        <v>◐ 046 職能矩陣與授權</v>
      </c>
      <c r="BE86" s="363" t="str">
        <f aca="false">IF(AND($B86="D08",$C86="G4"),BE85&amp;IF(BE85="","",CHAR(10))&amp;$A86,BE85)</f>
        <v>◐ 047 種子教師與技術移轉
◐ 049 變革管理與使用者採納</v>
      </c>
      <c r="BF86" s="0" t="str">
        <f aca="false">IF(AND($B86="D08",$C86="G5"),BF85&amp;IF(BF85="","",CHAR(10))&amp;$A86,BF85)</f>
        <v>◐ 048 模擬中心與開院演練</v>
      </c>
      <c r="BG86" s="0" t="str">
        <f aca="false">IF(AND($B86="D08",$C86="G6"),BG85&amp;IF(BG85="","",CHAR(10))&amp;$A86,BG85)</f>
        <v/>
      </c>
      <c r="BH86" s="0" t="str">
        <f aca="false">IF(AND($B86="D09",$C86="G0"),BH85&amp;IF(BH85="","",CHAR(10))&amp;$A86,BH85)</f>
        <v/>
      </c>
      <c r="BI86" s="0" t="str">
        <f aca="false">IF(AND($B86="D09",$C86="G1"),BI85&amp;IF(BI85="","",CHAR(10))&amp;$A86,BI85)</f>
        <v/>
      </c>
      <c r="BJ86" s="0" t="str">
        <f aca="false">IF(AND($B86="D09",$C86="G2"),BJ85&amp;IF(BJ85="","",CHAR(10))&amp;$A86,BJ85)</f>
        <v>◐ 050 整合採購與供應商治理</v>
      </c>
      <c r="BK86" s="0" t="str">
        <f aca="false">IF(AND($B86="D09",$C86="G3"),BK85&amp;IF(BK85="","",CHAR(10))&amp;$A86,BK85)</f>
        <v/>
      </c>
      <c r="BL86" s="363" t="str">
        <f aca="false">IF(AND($B86="D09",$C86="G4"),BL85&amp;IF(BL85="","",CHAR(10))&amp;$A86,BL85)</f>
        <v>◐ 051 藥品耗材與SPD物流
◐ 052 冷鏈與特殊物料
● 053 CMMS與設施維運</v>
      </c>
      <c r="BM86" s="0" t="str">
        <f aca="false">IF(AND($B86="D09",$C86="G5"),BM85&amp;IF(BM85="","",CHAR(10))&amp;$A86,BM85)</f>
        <v>◐ 054 在地備品、維修與汰換</v>
      </c>
      <c r="BN86" s="0" t="str">
        <f aca="false">IF(AND($B86="D09",$C86="G6"),BN85&amp;IF(BN85="","",CHAR(10))&amp;$A86,BN85)</f>
        <v/>
      </c>
      <c r="BO86" s="0" t="str">
        <f aca="false">IF(AND($B86="D10",$C86="G0"),BO85&amp;IF(BO85="","",CHAR(10))&amp;$A86,BO85)</f>
        <v/>
      </c>
      <c r="BP86" s="0" t="str">
        <f aca="false">IF(AND($B86="D10",$C86="G1"),BP85&amp;IF(BP85="","",CHAR(10))&amp;$A86,BP85)</f>
        <v>◐ 055 全生命週期成本模型</v>
      </c>
      <c r="BQ86" s="0" t="str">
        <f aca="false">IF(AND($B86="D10",$C86="G2"),BQ85&amp;IF(BQ85="","",CHAR(10))&amp;$A86,BQ85)</f>
        <v>◐ 059 PPP／JV財務與風險分配</v>
      </c>
      <c r="BR86" s="0" t="str">
        <f aca="false">IF(AND($B86="D10",$C86="G3"),BR85&amp;IF(BR85="","",CHAR(10))&amp;$A86,BR85)</f>
        <v/>
      </c>
      <c r="BS86" s="363" t="str">
        <f aca="false">IF(AND($B86="D10",$C86="G4"),BS85&amp;IF(BS85="","",CHAR(10))&amp;$A86,BS85)</f>
        <v>○ 056 健保申報與數位理賠
○ 057 現金流、支付與收入週期</v>
      </c>
      <c r="BT86" s="0" t="str">
        <f aca="false">IF(AND($B86="D10",$C86="G5"),BT85&amp;IF(BT85="","",CHAR(10))&amp;$A86,BT85)</f>
        <v>○ 058 國際醫療與高價值服務</v>
      </c>
      <c r="BU86" s="0" t="str">
        <f aca="false">IF(AND($B86="D10",$C86="G6"),BU85&amp;IF(BU85="","",CHAR(10))&amp;$A86,BU85)</f>
        <v>◐ 060 效益實現與複製藍圖</v>
      </c>
      <c r="BX86" s="0" t="str">
        <f aca="false">IF(AND(03_能力總表_Master!$A86&lt;&gt;"",LEFT(03_能力總表_Master!$H86,2)="缺口"),MAX($BX$4:BX85)+1,"")</f>
        <v/>
      </c>
      <c r="BY86" s="0" t="str">
        <f aca="false">IF(AND(03_能力總表_Master!$A86&lt;&gt;"",03_能力總表_Master!$J86=12_夥伴視角_PartnerView!$C$4),MAX($BY$4:BY85)+1,"")</f>
        <v/>
      </c>
      <c r="CC86" s="0" t="str">
        <f aca="false">IF(AND(03_能力總表_Master!$A86&lt;&gt;"",IFERROR(INDEX(16_能力商機矩陣_CapOppMap!$D86:$CO86,MATCH(LEFT(17_商機作戰卡_OppView!$C$4,6),16_能力商機矩陣_CapOppMap!$D$4:$CO$4,0)),"")="✓"),MAX($CC$4:CC85)+1,"")</f>
        <v/>
      </c>
    </row>
    <row r="87" customFormat="false" ht="95.5" hidden="false" customHeight="false" outlineLevel="0" collapsed="false">
      <c r="A87" s="0" t="str">
        <f aca="false">IF(03_能力總表_Master!$A87="","",IF(LEFT(03_能力總表_Master!$H87,2)="群晶","● ",IF(ISNUMBER(SEARCH("已確認",03_能力總表_Master!$H87)),"◆ ",IF(ISNUMBER(SEARCH("缺口",03_能力總表_Master!$H87)),"○ ","◐ ")))&amp;RIGHT(03_能力總表_Master!$A87,3)&amp;" "&amp;03_能力總表_Master!$E87)</f>
        <v/>
      </c>
      <c r="B87" s="0" t="str">
        <f aca="false">IF(03_能力總表_Master!$A87="","",LEFT(03_能力總表_Master!$B87,3))</f>
        <v/>
      </c>
      <c r="C87" s="0" t="str">
        <f aca="false">IF(03_能力總表_Master!$A87="","",03_能力總表_Master!$C87)</f>
        <v/>
      </c>
      <c r="D87" s="363" t="str">
        <f aca="false">IF(AND($B87="D01",$C87="G0"),D86&amp;IF(D86="","",CHAR(10))&amp;$A87,D86)</f>
        <v>◐ 001 政府授權與計畫章程
◐ 002 利害關係人與權力地圖
◐ 005 聯盟治理與利益衝突</v>
      </c>
      <c r="E87" s="363" t="str">
        <f aca="false">IF(AND($B87="D01",$C87="G1"),E86&amp;IF(E86="","",CHAR(10))&amp;$A87,E86)</f>
        <v>◐ 003 交易模式選擇
◐ 004 法規與執照路徑</v>
      </c>
      <c r="F87" s="0" t="str">
        <f aca="false">IF(AND($B87="D01",$C87="G2"),F86&amp;IF(F86="","",CHAR(10))&amp;$A87,F86)</f>
        <v>◐ 006 績效契約與變更控制</v>
      </c>
      <c r="G87" s="0" t="str">
        <f aca="false">IF(AND($B87="D01",$C87="G3"),G86&amp;IF(G86="","",CHAR(10))&amp;$A87,G86)</f>
        <v/>
      </c>
      <c r="H87" s="0" t="str">
        <f aca="false">IF(AND($B87="D01",$C87="G4"),H86&amp;IF(H86="","",CHAR(10))&amp;$A87,H86)</f>
        <v/>
      </c>
      <c r="I87" s="0" t="str">
        <f aca="false">IF(AND($B87="D01",$C87="G5"),I86&amp;IF(I86="","",CHAR(10))&amp;$A87,I86)</f>
        <v/>
      </c>
      <c r="J87" s="0" t="str">
        <f aca="false">IF(AND($B87="D01",$C87="G6"),J86&amp;IF(J86="","",CHAR(10))&amp;$A87,J86)</f>
        <v/>
      </c>
      <c r="K87" s="0" t="str">
        <f aca="false">IF(AND($B87="D02",$C87="G0"),K86&amp;IF(K86="","",CHAR(10))&amp;$A87,K86)</f>
        <v/>
      </c>
      <c r="L87" s="363" t="str">
        <f aca="false">IF(AND($B87="D02",$C87="G1"),L86&amp;IF(L86="","",CHAR(10))&amp;$A87,L86)</f>
        <v>◐ 007 人口需求與病例量預測
◐ 008 醫院定位與服務組合
◐ 009 重點專科優先化
◐ 010 病人流程與容量設計
◐ 011 轉診與區域照護網絡
◐ 012 臨床治理與責任架構</v>
      </c>
      <c r="M87" s="0" t="str">
        <f aca="false">IF(AND($B87="D02",$C87="G2"),M86&amp;IF(M86="","",CHAR(10))&amp;$A87,M86)</f>
        <v/>
      </c>
      <c r="N87" s="0" t="str">
        <f aca="false">IF(AND($B87="D02",$C87="G3"),N86&amp;IF(N86="","",CHAR(10))&amp;$A87,N86)</f>
        <v/>
      </c>
      <c r="O87" s="0" t="str">
        <f aca="false">IF(AND($B87="D02",$C87="G4"),O86&amp;IF(O86="","",CHAR(10))&amp;$A87,O86)</f>
        <v/>
      </c>
      <c r="P87" s="0" t="str">
        <f aca="false">IF(AND($B87="D02",$C87="G5"),P86&amp;IF(P86="","",CHAR(10))&amp;$A87,P86)</f>
        <v/>
      </c>
      <c r="Q87" s="0" t="str">
        <f aca="false">IF(AND($B87="D02",$C87="G6"),Q86&amp;IF(Q86="","",CHAR(10))&amp;$A87,Q86)</f>
        <v/>
      </c>
      <c r="R87" s="0" t="str">
        <f aca="false">IF(AND($B87="D03",$C87="G0"),R86&amp;IF(R86="","",CHAR(10))&amp;$A87,R86)</f>
        <v/>
      </c>
      <c r="S87" s="0" t="str">
        <f aca="false">IF(AND($B87="D03",$C87="G1"),S86&amp;IF(S86="","",CHAR(10))&amp;$A87,S86)</f>
        <v>◐ 013 場址與醫院總體規劃</v>
      </c>
      <c r="T87" s="363" t="str">
        <f aca="false">IF(AND($B87="D03",$C87="G2"),T86&amp;IF(T86="","",CHAR(10))&amp;$A87,T86)</f>
        <v>◐ 014 醫療建築功能計畫
◐ 015 感染控制與潔污動線
◐ 019 綠色與氣候韌性醫院</v>
      </c>
      <c r="U87" s="363" t="str">
        <f aca="false">IF(AND($B87="D03",$C87="G3"),U86&amp;IF(U86="","",CHAR(10))&amp;$A87,U86)</f>
        <v>● 016 電力、備援與微電網
◐ 017 醫療氣體與關鍵公用系統
◐ 018 醫療廢棄物與水資源</v>
      </c>
      <c r="V87" s="0" t="str">
        <f aca="false">IF(AND($B87="D03",$C87="G4"),V86&amp;IF(V86="","",CHAR(10))&amp;$A87,V86)</f>
        <v/>
      </c>
      <c r="W87" s="0" t="str">
        <f aca="false">IF(AND($B87="D03",$C87="G5"),W86&amp;IF(W86="","",CHAR(10))&amp;$A87,W86)</f>
        <v/>
      </c>
      <c r="X87" s="0" t="str">
        <f aca="false">IF(AND($B87="D03",$C87="G6"),X86&amp;IF(X86="","",CHAR(10))&amp;$A87,X86)</f>
        <v/>
      </c>
      <c r="Y87" s="0" t="str">
        <f aca="false">IF(AND($B87="D04",$C87="G0"),Y86&amp;IF(Y86="","",CHAR(10))&amp;$A87,Y86)</f>
        <v/>
      </c>
      <c r="Z87" s="0" t="str">
        <f aca="false">IF(AND($B87="D04",$C87="G1"),Z86&amp;IF(Z86="","",CHAR(10))&amp;$A87,Z86)</f>
        <v/>
      </c>
      <c r="AA87" s="0" t="str">
        <f aca="false">IF(AND($B87="D04",$C87="G2"),AA86&amp;IF(AA86="","",CHAR(10))&amp;$A87,AA86)</f>
        <v/>
      </c>
      <c r="AB87" s="0" t="str">
        <f aca="false">IF(AND($B87="D04",$C87="G3"),AB86&amp;IF(AB86="","",CHAR(10))&amp;$A87,AB86)</f>
        <v>● 020 IDC與邊緣運算底座</v>
      </c>
      <c r="AC87" s="363" t="str">
        <f aca="false">IF(AND($B87="D04",$C87="G4"),AC86&amp;IF(AC86="","",CHAR(10))&amp;$A87,AC86)</f>
        <v>● 021 有線無線網路與分區
◐ 022 資安營運與零信任
● 023 BMS與能源管理
● 024 RTLS與資產／人員定位
● 025 智慧病房、護理呼叫與感測
● 026 災難復原與營運持續</v>
      </c>
      <c r="AD87" s="0" t="str">
        <f aca="false">IF(AND($B87="D04",$C87="G5"),AD86&amp;IF(AD86="","",CHAR(10))&amp;$A87,AD86)</f>
        <v/>
      </c>
      <c r="AE87" s="0" t="str">
        <f aca="false">IF(AND($B87="D04",$C87="G6"),AE86&amp;IF(AE86="","",CHAR(10))&amp;$A87,AE86)</f>
        <v/>
      </c>
      <c r="AF87" s="0" t="str">
        <f aca="false">IF(AND($B87="D05",$C87="G0"),AF86&amp;IF(AF86="","",CHAR(10))&amp;$A87,AF86)</f>
        <v/>
      </c>
      <c r="AG87" s="0" t="str">
        <f aca="false">IF(AND($B87="D05",$C87="G1"),AG86&amp;IF(AG86="","",CHAR(10))&amp;$A87,AG86)</f>
        <v/>
      </c>
      <c r="AH87" s="0" t="str">
        <f aca="false">IF(AND($B87="D05",$C87="G2"),AH86&amp;IF(AH86="","",CHAR(10))&amp;$A87,AH86)</f>
        <v>◐ 027 醫材需求與設備計畫</v>
      </c>
      <c r="AI87" s="0" t="str">
        <f aca="false">IF(AND($B87="D05",$C87="G3"),AI86&amp;IF(AI86="","",CHAR(10))&amp;$A87,AI86)</f>
        <v/>
      </c>
      <c r="AJ87" s="363" t="str">
        <f aca="false">IF(AND($B87="D05",$C87="G4"),AJ86&amp;IF(AJ86="","",CHAR(10))&amp;$A87,AJ86)</f>
        <v>○ 028 影像設備、PACS與報告流程
○ 029 實驗室自動化與LIS
○ 030 手術室與重症整合
◐ 031 醫材介接與裝置身分
◐ 032 醫療工程與設備生命週期</v>
      </c>
      <c r="AK87" s="0" t="str">
        <f aca="false">IF(AND($B87="D05",$C87="G5"),AK86&amp;IF(AK86="","",CHAR(10))&amp;$A87,AK86)</f>
        <v/>
      </c>
      <c r="AL87" s="0" t="str">
        <f aca="false">IF(AND($B87="D05",$C87="G6"),AL86&amp;IF(AL86="","",CHAR(10))&amp;$A87,AL86)</f>
        <v/>
      </c>
      <c r="AM87" s="0" t="str">
        <f aca="false">IF(AND($B87="D06",$C87="G0"),AM86&amp;IF(AM86="","",CHAR(10))&amp;$A87,AM86)</f>
        <v/>
      </c>
      <c r="AN87" s="0" t="str">
        <f aca="false">IF(AND($B87="D06",$C87="G1"),AN86&amp;IF(AN86="","",CHAR(10))&amp;$A87,AN86)</f>
        <v/>
      </c>
      <c r="AO87" s="0" t="str">
        <f aca="false">IF(AND($B87="D06",$C87="G2"),AO86&amp;IF(AO86="","",CHAR(10))&amp;$A87,AO86)</f>
        <v/>
      </c>
      <c r="AP87" s="363" t="str">
        <f aca="false">IF(AND($B87="D06",$C87="G3"),AP86&amp;IF(AP86="","",CHAR(10))&amp;$A87,AP86)</f>
        <v>◐ 033 HIS／EMR核心平台
◐ 036 臨床術語與主資料治理</v>
      </c>
      <c r="AQ87" s="363" t="str">
        <f aca="false">IF(AND($B87="D06",$C87="G4"),AQ86&amp;IF(AQ86="","",CHAR(10))&amp;$A87,AQ86)</f>
        <v>◐ 034 FHIR介接與API管理
○ 035 主病人索引與身分整合
◐ 037 電子醫囑、用藥與決策支援
◐ 038 資料平台、BI與營運指揮</v>
      </c>
      <c r="AR87" s="0" t="str">
        <f aca="false">IF(AND($B87="D06",$C87="G5"),AR86&amp;IF(AR86="","",CHAR(10))&amp;$A87,AR86)</f>
        <v>○ 039 病人入口、行動服務與VNeID準備</v>
      </c>
      <c r="AS87" s="0" t="str">
        <f aca="false">IF(AND($B87="D06",$C87="G6"),AS86&amp;IF(AS86="","",CHAR(10))&amp;$A87,AS86)</f>
        <v/>
      </c>
      <c r="AT87" s="0" t="str">
        <f aca="false">IF(AND($B87="D07",$C87="G0"),AT86&amp;IF(AT86="","",CHAR(10))&amp;$A87,AT86)</f>
        <v/>
      </c>
      <c r="AU87" s="0" t="str">
        <f aca="false">IF(AND($B87="D07",$C87="G1"),AU86&amp;IF(AU86="","",CHAR(10))&amp;$A87,AU86)</f>
        <v/>
      </c>
      <c r="AV87" s="0" t="str">
        <f aca="false">IF(AND($B87="D07",$C87="G2"),AV86&amp;IF(AV86="","",CHAR(10))&amp;$A87,AV86)</f>
        <v>◐ 040 品質管理與JCI路線圖</v>
      </c>
      <c r="AW87" s="363" t="str">
        <f aca="false">IF(AND($B87="D07",$C87="G3"),AW86&amp;IF(AW86="","",CHAR(10))&amp;$A87,AW86)</f>
        <v>◐ 041 感染預防與控制制度
◐ 043 事件通報與根因改善</v>
      </c>
      <c r="AX87" s="0" t="str">
        <f aca="false">IF(AND($B87="D07",$C87="G4"),AX86&amp;IF(AX86="","",CHAR(10))&amp;$A87,AX86)</f>
        <v>◐ 042 用藥安全閉環</v>
      </c>
      <c r="AY87" s="0" t="str">
        <f aca="false">IF(AND($B87="D07",$C87="G5"),AY86&amp;IF(AY86="","",CHAR(10))&amp;$A87,AY86)</f>
        <v>◐ 044 開院臨床安全驗證</v>
      </c>
      <c r="AZ87" s="0" t="str">
        <f aca="false">IF(AND($B87="D07",$C87="G6"),AZ86&amp;IF(AZ86="","",CHAR(10))&amp;$A87,AZ86)</f>
        <v/>
      </c>
      <c r="BA87" s="0" t="str">
        <f aca="false">IF(AND($B87="D08",$C87="G0"),BA86&amp;IF(BA86="","",CHAR(10))&amp;$A87,BA86)</f>
        <v/>
      </c>
      <c r="BB87" s="0" t="str">
        <f aca="false">IF(AND($B87="D08",$C87="G1"),BB86&amp;IF(BB86="","",CHAR(10))&amp;$A87,BB86)</f>
        <v/>
      </c>
      <c r="BC87" s="0" t="str">
        <f aca="false">IF(AND($B87="D08",$C87="G2"),BC86&amp;IF(BC86="","",CHAR(10))&amp;$A87,BC86)</f>
        <v>○ 045 人力與輪班模型</v>
      </c>
      <c r="BD87" s="0" t="str">
        <f aca="false">IF(AND($B87="D08",$C87="G3"),BD86&amp;IF(BD86="","",CHAR(10))&amp;$A87,BD86)</f>
        <v>◐ 046 職能矩陣與授權</v>
      </c>
      <c r="BE87" s="363" t="str">
        <f aca="false">IF(AND($B87="D08",$C87="G4"),BE86&amp;IF(BE86="","",CHAR(10))&amp;$A87,BE86)</f>
        <v>◐ 047 種子教師與技術移轉
◐ 049 變革管理與使用者採納</v>
      </c>
      <c r="BF87" s="0" t="str">
        <f aca="false">IF(AND($B87="D08",$C87="G5"),BF86&amp;IF(BF86="","",CHAR(10))&amp;$A87,BF86)</f>
        <v>◐ 048 模擬中心與開院演練</v>
      </c>
      <c r="BG87" s="0" t="str">
        <f aca="false">IF(AND($B87="D08",$C87="G6"),BG86&amp;IF(BG86="","",CHAR(10))&amp;$A87,BG86)</f>
        <v/>
      </c>
      <c r="BH87" s="0" t="str">
        <f aca="false">IF(AND($B87="D09",$C87="G0"),BH86&amp;IF(BH86="","",CHAR(10))&amp;$A87,BH86)</f>
        <v/>
      </c>
      <c r="BI87" s="0" t="str">
        <f aca="false">IF(AND($B87="D09",$C87="G1"),BI86&amp;IF(BI86="","",CHAR(10))&amp;$A87,BI86)</f>
        <v/>
      </c>
      <c r="BJ87" s="0" t="str">
        <f aca="false">IF(AND($B87="D09",$C87="G2"),BJ86&amp;IF(BJ86="","",CHAR(10))&amp;$A87,BJ86)</f>
        <v>◐ 050 整合採購與供應商治理</v>
      </c>
      <c r="BK87" s="0" t="str">
        <f aca="false">IF(AND($B87="D09",$C87="G3"),BK86&amp;IF(BK86="","",CHAR(10))&amp;$A87,BK86)</f>
        <v/>
      </c>
      <c r="BL87" s="363" t="str">
        <f aca="false">IF(AND($B87="D09",$C87="G4"),BL86&amp;IF(BL86="","",CHAR(10))&amp;$A87,BL86)</f>
        <v>◐ 051 藥品耗材與SPD物流
◐ 052 冷鏈與特殊物料
● 053 CMMS與設施維運</v>
      </c>
      <c r="BM87" s="0" t="str">
        <f aca="false">IF(AND($B87="D09",$C87="G5"),BM86&amp;IF(BM86="","",CHAR(10))&amp;$A87,BM86)</f>
        <v>◐ 054 在地備品、維修與汰換</v>
      </c>
      <c r="BN87" s="0" t="str">
        <f aca="false">IF(AND($B87="D09",$C87="G6"),BN86&amp;IF(BN86="","",CHAR(10))&amp;$A87,BN86)</f>
        <v/>
      </c>
      <c r="BO87" s="0" t="str">
        <f aca="false">IF(AND($B87="D10",$C87="G0"),BO86&amp;IF(BO86="","",CHAR(10))&amp;$A87,BO86)</f>
        <v/>
      </c>
      <c r="BP87" s="0" t="str">
        <f aca="false">IF(AND($B87="D10",$C87="G1"),BP86&amp;IF(BP86="","",CHAR(10))&amp;$A87,BP86)</f>
        <v>◐ 055 全生命週期成本模型</v>
      </c>
      <c r="BQ87" s="0" t="str">
        <f aca="false">IF(AND($B87="D10",$C87="G2"),BQ86&amp;IF(BQ86="","",CHAR(10))&amp;$A87,BQ86)</f>
        <v>◐ 059 PPP／JV財務與風險分配</v>
      </c>
      <c r="BR87" s="0" t="str">
        <f aca="false">IF(AND($B87="D10",$C87="G3"),BR86&amp;IF(BR86="","",CHAR(10))&amp;$A87,BR86)</f>
        <v/>
      </c>
      <c r="BS87" s="363" t="str">
        <f aca="false">IF(AND($B87="D10",$C87="G4"),BS86&amp;IF(BS86="","",CHAR(10))&amp;$A87,BS86)</f>
        <v>○ 056 健保申報與數位理賠
○ 057 現金流、支付與收入週期</v>
      </c>
      <c r="BT87" s="0" t="str">
        <f aca="false">IF(AND($B87="D10",$C87="G5"),BT86&amp;IF(BT86="","",CHAR(10))&amp;$A87,BT86)</f>
        <v>○ 058 國際醫療與高價值服務</v>
      </c>
      <c r="BU87" s="0" t="str">
        <f aca="false">IF(AND($B87="D10",$C87="G6"),BU86&amp;IF(BU86="","",CHAR(10))&amp;$A87,BU86)</f>
        <v>◐ 060 效益實現與複製藍圖</v>
      </c>
      <c r="BX87" s="0" t="str">
        <f aca="false">IF(AND(03_能力總表_Master!$A87&lt;&gt;"",LEFT(03_能力總表_Master!$H87,2)="缺口"),MAX($BX$4:BX86)+1,"")</f>
        <v/>
      </c>
      <c r="BY87" s="0" t="str">
        <f aca="false">IF(AND(03_能力總表_Master!$A87&lt;&gt;"",03_能力總表_Master!$J87=12_夥伴視角_PartnerView!$C$4),MAX($BY$4:BY86)+1,"")</f>
        <v/>
      </c>
      <c r="CC87" s="0" t="str">
        <f aca="false">IF(AND(03_能力總表_Master!$A87&lt;&gt;"",IFERROR(INDEX(16_能力商機矩陣_CapOppMap!$D87:$CO87,MATCH(LEFT(17_商機作戰卡_OppView!$C$4,6),16_能力商機矩陣_CapOppMap!$D$4:$CO$4,0)),"")="✓"),MAX($CC$4:CC86)+1,"")</f>
        <v/>
      </c>
    </row>
    <row r="88" customFormat="false" ht="95.5" hidden="false" customHeight="false" outlineLevel="0" collapsed="false">
      <c r="A88" s="0" t="str">
        <f aca="false">IF(03_能力總表_Master!$A88="","",IF(LEFT(03_能力總表_Master!$H88,2)="群晶","● ",IF(ISNUMBER(SEARCH("已確認",03_能力總表_Master!$H88)),"◆ ",IF(ISNUMBER(SEARCH("缺口",03_能力總表_Master!$H88)),"○ ","◐ ")))&amp;RIGHT(03_能力總表_Master!$A88,3)&amp;" "&amp;03_能力總表_Master!$E88)</f>
        <v/>
      </c>
      <c r="B88" s="0" t="str">
        <f aca="false">IF(03_能力總表_Master!$A88="","",LEFT(03_能力總表_Master!$B88,3))</f>
        <v/>
      </c>
      <c r="C88" s="0" t="str">
        <f aca="false">IF(03_能力總表_Master!$A88="","",03_能力總表_Master!$C88)</f>
        <v/>
      </c>
      <c r="D88" s="363" t="str">
        <f aca="false">IF(AND($B88="D01",$C88="G0"),D87&amp;IF(D87="","",CHAR(10))&amp;$A88,D87)</f>
        <v>◐ 001 政府授權與計畫章程
◐ 002 利害關係人與權力地圖
◐ 005 聯盟治理與利益衝突</v>
      </c>
      <c r="E88" s="363" t="str">
        <f aca="false">IF(AND($B88="D01",$C88="G1"),E87&amp;IF(E87="","",CHAR(10))&amp;$A88,E87)</f>
        <v>◐ 003 交易模式選擇
◐ 004 法規與執照路徑</v>
      </c>
      <c r="F88" s="0" t="str">
        <f aca="false">IF(AND($B88="D01",$C88="G2"),F87&amp;IF(F87="","",CHAR(10))&amp;$A88,F87)</f>
        <v>◐ 006 績效契約與變更控制</v>
      </c>
      <c r="G88" s="0" t="str">
        <f aca="false">IF(AND($B88="D01",$C88="G3"),G87&amp;IF(G87="","",CHAR(10))&amp;$A88,G87)</f>
        <v/>
      </c>
      <c r="H88" s="0" t="str">
        <f aca="false">IF(AND($B88="D01",$C88="G4"),H87&amp;IF(H87="","",CHAR(10))&amp;$A88,H87)</f>
        <v/>
      </c>
      <c r="I88" s="0" t="str">
        <f aca="false">IF(AND($B88="D01",$C88="G5"),I87&amp;IF(I87="","",CHAR(10))&amp;$A88,I87)</f>
        <v/>
      </c>
      <c r="J88" s="0" t="str">
        <f aca="false">IF(AND($B88="D01",$C88="G6"),J87&amp;IF(J87="","",CHAR(10))&amp;$A88,J87)</f>
        <v/>
      </c>
      <c r="K88" s="0" t="str">
        <f aca="false">IF(AND($B88="D02",$C88="G0"),K87&amp;IF(K87="","",CHAR(10))&amp;$A88,K87)</f>
        <v/>
      </c>
      <c r="L88" s="363" t="str">
        <f aca="false">IF(AND($B88="D02",$C88="G1"),L87&amp;IF(L87="","",CHAR(10))&amp;$A88,L87)</f>
        <v>◐ 007 人口需求與病例量預測
◐ 008 醫院定位與服務組合
◐ 009 重點專科優先化
◐ 010 病人流程與容量設計
◐ 011 轉診與區域照護網絡
◐ 012 臨床治理與責任架構</v>
      </c>
      <c r="M88" s="0" t="str">
        <f aca="false">IF(AND($B88="D02",$C88="G2"),M87&amp;IF(M87="","",CHAR(10))&amp;$A88,M87)</f>
        <v/>
      </c>
      <c r="N88" s="0" t="str">
        <f aca="false">IF(AND($B88="D02",$C88="G3"),N87&amp;IF(N87="","",CHAR(10))&amp;$A88,N87)</f>
        <v/>
      </c>
      <c r="O88" s="0" t="str">
        <f aca="false">IF(AND($B88="D02",$C88="G4"),O87&amp;IF(O87="","",CHAR(10))&amp;$A88,O87)</f>
        <v/>
      </c>
      <c r="P88" s="0" t="str">
        <f aca="false">IF(AND($B88="D02",$C88="G5"),P87&amp;IF(P87="","",CHAR(10))&amp;$A88,P87)</f>
        <v/>
      </c>
      <c r="Q88" s="0" t="str">
        <f aca="false">IF(AND($B88="D02",$C88="G6"),Q87&amp;IF(Q87="","",CHAR(10))&amp;$A88,Q87)</f>
        <v/>
      </c>
      <c r="R88" s="0" t="str">
        <f aca="false">IF(AND($B88="D03",$C88="G0"),R87&amp;IF(R87="","",CHAR(10))&amp;$A88,R87)</f>
        <v/>
      </c>
      <c r="S88" s="0" t="str">
        <f aca="false">IF(AND($B88="D03",$C88="G1"),S87&amp;IF(S87="","",CHAR(10))&amp;$A88,S87)</f>
        <v>◐ 013 場址與醫院總體規劃</v>
      </c>
      <c r="T88" s="363" t="str">
        <f aca="false">IF(AND($B88="D03",$C88="G2"),T87&amp;IF(T87="","",CHAR(10))&amp;$A88,T87)</f>
        <v>◐ 014 醫療建築功能計畫
◐ 015 感染控制與潔污動線
◐ 019 綠色與氣候韌性醫院</v>
      </c>
      <c r="U88" s="363" t="str">
        <f aca="false">IF(AND($B88="D03",$C88="G3"),U87&amp;IF(U87="","",CHAR(10))&amp;$A88,U87)</f>
        <v>● 016 電力、備援與微電網
◐ 017 醫療氣體與關鍵公用系統
◐ 018 醫療廢棄物與水資源</v>
      </c>
      <c r="V88" s="0" t="str">
        <f aca="false">IF(AND($B88="D03",$C88="G4"),V87&amp;IF(V87="","",CHAR(10))&amp;$A88,V87)</f>
        <v/>
      </c>
      <c r="W88" s="0" t="str">
        <f aca="false">IF(AND($B88="D03",$C88="G5"),W87&amp;IF(W87="","",CHAR(10))&amp;$A88,W87)</f>
        <v/>
      </c>
      <c r="X88" s="0" t="str">
        <f aca="false">IF(AND($B88="D03",$C88="G6"),X87&amp;IF(X87="","",CHAR(10))&amp;$A88,X87)</f>
        <v/>
      </c>
      <c r="Y88" s="0" t="str">
        <f aca="false">IF(AND($B88="D04",$C88="G0"),Y87&amp;IF(Y87="","",CHAR(10))&amp;$A88,Y87)</f>
        <v/>
      </c>
      <c r="Z88" s="0" t="str">
        <f aca="false">IF(AND($B88="D04",$C88="G1"),Z87&amp;IF(Z87="","",CHAR(10))&amp;$A88,Z87)</f>
        <v/>
      </c>
      <c r="AA88" s="0" t="str">
        <f aca="false">IF(AND($B88="D04",$C88="G2"),AA87&amp;IF(AA87="","",CHAR(10))&amp;$A88,AA87)</f>
        <v/>
      </c>
      <c r="AB88" s="0" t="str">
        <f aca="false">IF(AND($B88="D04",$C88="G3"),AB87&amp;IF(AB87="","",CHAR(10))&amp;$A88,AB87)</f>
        <v>● 020 IDC與邊緣運算底座</v>
      </c>
      <c r="AC88" s="363" t="str">
        <f aca="false">IF(AND($B88="D04",$C88="G4"),AC87&amp;IF(AC87="","",CHAR(10))&amp;$A88,AC87)</f>
        <v>● 021 有線無線網路與分區
◐ 022 資安營運與零信任
● 023 BMS與能源管理
● 024 RTLS與資產／人員定位
● 025 智慧病房、護理呼叫與感測
● 026 災難復原與營運持續</v>
      </c>
      <c r="AD88" s="0" t="str">
        <f aca="false">IF(AND($B88="D04",$C88="G5"),AD87&amp;IF(AD87="","",CHAR(10))&amp;$A88,AD87)</f>
        <v/>
      </c>
      <c r="AE88" s="0" t="str">
        <f aca="false">IF(AND($B88="D04",$C88="G6"),AE87&amp;IF(AE87="","",CHAR(10))&amp;$A88,AE87)</f>
        <v/>
      </c>
      <c r="AF88" s="0" t="str">
        <f aca="false">IF(AND($B88="D05",$C88="G0"),AF87&amp;IF(AF87="","",CHAR(10))&amp;$A88,AF87)</f>
        <v/>
      </c>
      <c r="AG88" s="0" t="str">
        <f aca="false">IF(AND($B88="D05",$C88="G1"),AG87&amp;IF(AG87="","",CHAR(10))&amp;$A88,AG87)</f>
        <v/>
      </c>
      <c r="AH88" s="0" t="str">
        <f aca="false">IF(AND($B88="D05",$C88="G2"),AH87&amp;IF(AH87="","",CHAR(10))&amp;$A88,AH87)</f>
        <v>◐ 027 醫材需求與設備計畫</v>
      </c>
      <c r="AI88" s="0" t="str">
        <f aca="false">IF(AND($B88="D05",$C88="G3"),AI87&amp;IF(AI87="","",CHAR(10))&amp;$A88,AI87)</f>
        <v/>
      </c>
      <c r="AJ88" s="363" t="str">
        <f aca="false">IF(AND($B88="D05",$C88="G4"),AJ87&amp;IF(AJ87="","",CHAR(10))&amp;$A88,AJ87)</f>
        <v>○ 028 影像設備、PACS與報告流程
○ 029 實驗室自動化與LIS
○ 030 手術室與重症整合
◐ 031 醫材介接與裝置身分
◐ 032 醫療工程與設備生命週期</v>
      </c>
      <c r="AK88" s="0" t="str">
        <f aca="false">IF(AND($B88="D05",$C88="G5"),AK87&amp;IF(AK87="","",CHAR(10))&amp;$A88,AK87)</f>
        <v/>
      </c>
      <c r="AL88" s="0" t="str">
        <f aca="false">IF(AND($B88="D05",$C88="G6"),AL87&amp;IF(AL87="","",CHAR(10))&amp;$A88,AL87)</f>
        <v/>
      </c>
      <c r="AM88" s="0" t="str">
        <f aca="false">IF(AND($B88="D06",$C88="G0"),AM87&amp;IF(AM87="","",CHAR(10))&amp;$A88,AM87)</f>
        <v/>
      </c>
      <c r="AN88" s="0" t="str">
        <f aca="false">IF(AND($B88="D06",$C88="G1"),AN87&amp;IF(AN87="","",CHAR(10))&amp;$A88,AN87)</f>
        <v/>
      </c>
      <c r="AO88" s="0" t="str">
        <f aca="false">IF(AND($B88="D06",$C88="G2"),AO87&amp;IF(AO87="","",CHAR(10))&amp;$A88,AO87)</f>
        <v/>
      </c>
      <c r="AP88" s="363" t="str">
        <f aca="false">IF(AND($B88="D06",$C88="G3"),AP87&amp;IF(AP87="","",CHAR(10))&amp;$A88,AP87)</f>
        <v>◐ 033 HIS／EMR核心平台
◐ 036 臨床術語與主資料治理</v>
      </c>
      <c r="AQ88" s="363" t="str">
        <f aca="false">IF(AND($B88="D06",$C88="G4"),AQ87&amp;IF(AQ87="","",CHAR(10))&amp;$A88,AQ87)</f>
        <v>◐ 034 FHIR介接與API管理
○ 035 主病人索引與身分整合
◐ 037 電子醫囑、用藥與決策支援
◐ 038 資料平台、BI與營運指揮</v>
      </c>
      <c r="AR88" s="0" t="str">
        <f aca="false">IF(AND($B88="D06",$C88="G5"),AR87&amp;IF(AR87="","",CHAR(10))&amp;$A88,AR87)</f>
        <v>○ 039 病人入口、行動服務與VNeID準備</v>
      </c>
      <c r="AS88" s="0" t="str">
        <f aca="false">IF(AND($B88="D06",$C88="G6"),AS87&amp;IF(AS87="","",CHAR(10))&amp;$A88,AS87)</f>
        <v/>
      </c>
      <c r="AT88" s="0" t="str">
        <f aca="false">IF(AND($B88="D07",$C88="G0"),AT87&amp;IF(AT87="","",CHAR(10))&amp;$A88,AT87)</f>
        <v/>
      </c>
      <c r="AU88" s="0" t="str">
        <f aca="false">IF(AND($B88="D07",$C88="G1"),AU87&amp;IF(AU87="","",CHAR(10))&amp;$A88,AU87)</f>
        <v/>
      </c>
      <c r="AV88" s="0" t="str">
        <f aca="false">IF(AND($B88="D07",$C88="G2"),AV87&amp;IF(AV87="","",CHAR(10))&amp;$A88,AV87)</f>
        <v>◐ 040 品質管理與JCI路線圖</v>
      </c>
      <c r="AW88" s="363" t="str">
        <f aca="false">IF(AND($B88="D07",$C88="G3"),AW87&amp;IF(AW87="","",CHAR(10))&amp;$A88,AW87)</f>
        <v>◐ 041 感染預防與控制制度
◐ 043 事件通報與根因改善</v>
      </c>
      <c r="AX88" s="0" t="str">
        <f aca="false">IF(AND($B88="D07",$C88="G4"),AX87&amp;IF(AX87="","",CHAR(10))&amp;$A88,AX87)</f>
        <v>◐ 042 用藥安全閉環</v>
      </c>
      <c r="AY88" s="0" t="str">
        <f aca="false">IF(AND($B88="D07",$C88="G5"),AY87&amp;IF(AY87="","",CHAR(10))&amp;$A88,AY87)</f>
        <v>◐ 044 開院臨床安全驗證</v>
      </c>
      <c r="AZ88" s="0" t="str">
        <f aca="false">IF(AND($B88="D07",$C88="G6"),AZ87&amp;IF(AZ87="","",CHAR(10))&amp;$A88,AZ87)</f>
        <v/>
      </c>
      <c r="BA88" s="0" t="str">
        <f aca="false">IF(AND($B88="D08",$C88="G0"),BA87&amp;IF(BA87="","",CHAR(10))&amp;$A88,BA87)</f>
        <v/>
      </c>
      <c r="BB88" s="0" t="str">
        <f aca="false">IF(AND($B88="D08",$C88="G1"),BB87&amp;IF(BB87="","",CHAR(10))&amp;$A88,BB87)</f>
        <v/>
      </c>
      <c r="BC88" s="0" t="str">
        <f aca="false">IF(AND($B88="D08",$C88="G2"),BC87&amp;IF(BC87="","",CHAR(10))&amp;$A88,BC87)</f>
        <v>○ 045 人力與輪班模型</v>
      </c>
      <c r="BD88" s="0" t="str">
        <f aca="false">IF(AND($B88="D08",$C88="G3"),BD87&amp;IF(BD87="","",CHAR(10))&amp;$A88,BD87)</f>
        <v>◐ 046 職能矩陣與授權</v>
      </c>
      <c r="BE88" s="363" t="str">
        <f aca="false">IF(AND($B88="D08",$C88="G4"),BE87&amp;IF(BE87="","",CHAR(10))&amp;$A88,BE87)</f>
        <v>◐ 047 種子教師與技術移轉
◐ 049 變革管理與使用者採納</v>
      </c>
      <c r="BF88" s="0" t="str">
        <f aca="false">IF(AND($B88="D08",$C88="G5"),BF87&amp;IF(BF87="","",CHAR(10))&amp;$A88,BF87)</f>
        <v>◐ 048 模擬中心與開院演練</v>
      </c>
      <c r="BG88" s="0" t="str">
        <f aca="false">IF(AND($B88="D08",$C88="G6"),BG87&amp;IF(BG87="","",CHAR(10))&amp;$A88,BG87)</f>
        <v/>
      </c>
      <c r="BH88" s="0" t="str">
        <f aca="false">IF(AND($B88="D09",$C88="G0"),BH87&amp;IF(BH87="","",CHAR(10))&amp;$A88,BH87)</f>
        <v/>
      </c>
      <c r="BI88" s="0" t="str">
        <f aca="false">IF(AND($B88="D09",$C88="G1"),BI87&amp;IF(BI87="","",CHAR(10))&amp;$A88,BI87)</f>
        <v/>
      </c>
      <c r="BJ88" s="0" t="str">
        <f aca="false">IF(AND($B88="D09",$C88="G2"),BJ87&amp;IF(BJ87="","",CHAR(10))&amp;$A88,BJ87)</f>
        <v>◐ 050 整合採購與供應商治理</v>
      </c>
      <c r="BK88" s="0" t="str">
        <f aca="false">IF(AND($B88="D09",$C88="G3"),BK87&amp;IF(BK87="","",CHAR(10))&amp;$A88,BK87)</f>
        <v/>
      </c>
      <c r="BL88" s="363" t="str">
        <f aca="false">IF(AND($B88="D09",$C88="G4"),BL87&amp;IF(BL87="","",CHAR(10))&amp;$A88,BL87)</f>
        <v>◐ 051 藥品耗材與SPD物流
◐ 052 冷鏈與特殊物料
● 053 CMMS與設施維運</v>
      </c>
      <c r="BM88" s="0" t="str">
        <f aca="false">IF(AND($B88="D09",$C88="G5"),BM87&amp;IF(BM87="","",CHAR(10))&amp;$A88,BM87)</f>
        <v>◐ 054 在地備品、維修與汰換</v>
      </c>
      <c r="BN88" s="0" t="str">
        <f aca="false">IF(AND($B88="D09",$C88="G6"),BN87&amp;IF(BN87="","",CHAR(10))&amp;$A88,BN87)</f>
        <v/>
      </c>
      <c r="BO88" s="0" t="str">
        <f aca="false">IF(AND($B88="D10",$C88="G0"),BO87&amp;IF(BO87="","",CHAR(10))&amp;$A88,BO87)</f>
        <v/>
      </c>
      <c r="BP88" s="0" t="str">
        <f aca="false">IF(AND($B88="D10",$C88="G1"),BP87&amp;IF(BP87="","",CHAR(10))&amp;$A88,BP87)</f>
        <v>◐ 055 全生命週期成本模型</v>
      </c>
      <c r="BQ88" s="0" t="str">
        <f aca="false">IF(AND($B88="D10",$C88="G2"),BQ87&amp;IF(BQ87="","",CHAR(10))&amp;$A88,BQ87)</f>
        <v>◐ 059 PPP／JV財務與風險分配</v>
      </c>
      <c r="BR88" s="0" t="str">
        <f aca="false">IF(AND($B88="D10",$C88="G3"),BR87&amp;IF(BR87="","",CHAR(10))&amp;$A88,BR87)</f>
        <v/>
      </c>
      <c r="BS88" s="363" t="str">
        <f aca="false">IF(AND($B88="D10",$C88="G4"),BS87&amp;IF(BS87="","",CHAR(10))&amp;$A88,BS87)</f>
        <v>○ 056 健保申報與數位理賠
○ 057 現金流、支付與收入週期</v>
      </c>
      <c r="BT88" s="0" t="str">
        <f aca="false">IF(AND($B88="D10",$C88="G5"),BT87&amp;IF(BT87="","",CHAR(10))&amp;$A88,BT87)</f>
        <v>○ 058 國際醫療與高價值服務</v>
      </c>
      <c r="BU88" s="0" t="str">
        <f aca="false">IF(AND($B88="D10",$C88="G6"),BU87&amp;IF(BU87="","",CHAR(10))&amp;$A88,BU87)</f>
        <v>◐ 060 效益實現與複製藍圖</v>
      </c>
      <c r="BX88" s="0" t="str">
        <f aca="false">IF(AND(03_能力總表_Master!$A88&lt;&gt;"",LEFT(03_能力總表_Master!$H88,2)="缺口"),MAX($BX$4:BX87)+1,"")</f>
        <v/>
      </c>
      <c r="BY88" s="0" t="str">
        <f aca="false">IF(AND(03_能力總表_Master!$A88&lt;&gt;"",03_能力總表_Master!$J88=12_夥伴視角_PartnerView!$C$4),MAX($BY$4:BY87)+1,"")</f>
        <v/>
      </c>
      <c r="CC88" s="0" t="str">
        <f aca="false">IF(AND(03_能力總表_Master!$A88&lt;&gt;"",IFERROR(INDEX(16_能力商機矩陣_CapOppMap!$D88:$CO88,MATCH(LEFT(17_商機作戰卡_OppView!$C$4,6),16_能力商機矩陣_CapOppMap!$D$4:$CO$4,0)),"")="✓"),MAX($CC$4:CC87)+1,"")</f>
        <v/>
      </c>
    </row>
    <row r="89" customFormat="false" ht="95.5" hidden="false" customHeight="false" outlineLevel="0" collapsed="false">
      <c r="A89" s="0" t="str">
        <f aca="false">IF(03_能力總表_Master!$A89="","",IF(LEFT(03_能力總表_Master!$H89,2)="群晶","● ",IF(ISNUMBER(SEARCH("已確認",03_能力總表_Master!$H89)),"◆ ",IF(ISNUMBER(SEARCH("缺口",03_能力總表_Master!$H89)),"○ ","◐ ")))&amp;RIGHT(03_能力總表_Master!$A89,3)&amp;" "&amp;03_能力總表_Master!$E89)</f>
        <v/>
      </c>
      <c r="B89" s="0" t="str">
        <f aca="false">IF(03_能力總表_Master!$A89="","",LEFT(03_能力總表_Master!$B89,3))</f>
        <v/>
      </c>
      <c r="C89" s="0" t="str">
        <f aca="false">IF(03_能力總表_Master!$A89="","",03_能力總表_Master!$C89)</f>
        <v/>
      </c>
      <c r="D89" s="363" t="str">
        <f aca="false">IF(AND($B89="D01",$C89="G0"),D88&amp;IF(D88="","",CHAR(10))&amp;$A89,D88)</f>
        <v>◐ 001 政府授權與計畫章程
◐ 002 利害關係人與權力地圖
◐ 005 聯盟治理與利益衝突</v>
      </c>
      <c r="E89" s="363" t="str">
        <f aca="false">IF(AND($B89="D01",$C89="G1"),E88&amp;IF(E88="","",CHAR(10))&amp;$A89,E88)</f>
        <v>◐ 003 交易模式選擇
◐ 004 法規與執照路徑</v>
      </c>
      <c r="F89" s="0" t="str">
        <f aca="false">IF(AND($B89="D01",$C89="G2"),F88&amp;IF(F88="","",CHAR(10))&amp;$A89,F88)</f>
        <v>◐ 006 績效契約與變更控制</v>
      </c>
      <c r="G89" s="0" t="str">
        <f aca="false">IF(AND($B89="D01",$C89="G3"),G88&amp;IF(G88="","",CHAR(10))&amp;$A89,G88)</f>
        <v/>
      </c>
      <c r="H89" s="0" t="str">
        <f aca="false">IF(AND($B89="D01",$C89="G4"),H88&amp;IF(H88="","",CHAR(10))&amp;$A89,H88)</f>
        <v/>
      </c>
      <c r="I89" s="0" t="str">
        <f aca="false">IF(AND($B89="D01",$C89="G5"),I88&amp;IF(I88="","",CHAR(10))&amp;$A89,I88)</f>
        <v/>
      </c>
      <c r="J89" s="0" t="str">
        <f aca="false">IF(AND($B89="D01",$C89="G6"),J88&amp;IF(J88="","",CHAR(10))&amp;$A89,J88)</f>
        <v/>
      </c>
      <c r="K89" s="0" t="str">
        <f aca="false">IF(AND($B89="D02",$C89="G0"),K88&amp;IF(K88="","",CHAR(10))&amp;$A89,K88)</f>
        <v/>
      </c>
      <c r="L89" s="363" t="str">
        <f aca="false">IF(AND($B89="D02",$C89="G1"),L88&amp;IF(L88="","",CHAR(10))&amp;$A89,L88)</f>
        <v>◐ 007 人口需求與病例量預測
◐ 008 醫院定位與服務組合
◐ 009 重點專科優先化
◐ 010 病人流程與容量設計
◐ 011 轉診與區域照護網絡
◐ 012 臨床治理與責任架構</v>
      </c>
      <c r="M89" s="0" t="str">
        <f aca="false">IF(AND($B89="D02",$C89="G2"),M88&amp;IF(M88="","",CHAR(10))&amp;$A89,M88)</f>
        <v/>
      </c>
      <c r="N89" s="0" t="str">
        <f aca="false">IF(AND($B89="D02",$C89="G3"),N88&amp;IF(N88="","",CHAR(10))&amp;$A89,N88)</f>
        <v/>
      </c>
      <c r="O89" s="0" t="str">
        <f aca="false">IF(AND($B89="D02",$C89="G4"),O88&amp;IF(O88="","",CHAR(10))&amp;$A89,O88)</f>
        <v/>
      </c>
      <c r="P89" s="0" t="str">
        <f aca="false">IF(AND($B89="D02",$C89="G5"),P88&amp;IF(P88="","",CHAR(10))&amp;$A89,P88)</f>
        <v/>
      </c>
      <c r="Q89" s="0" t="str">
        <f aca="false">IF(AND($B89="D02",$C89="G6"),Q88&amp;IF(Q88="","",CHAR(10))&amp;$A89,Q88)</f>
        <v/>
      </c>
      <c r="R89" s="0" t="str">
        <f aca="false">IF(AND($B89="D03",$C89="G0"),R88&amp;IF(R88="","",CHAR(10))&amp;$A89,R88)</f>
        <v/>
      </c>
      <c r="S89" s="0" t="str">
        <f aca="false">IF(AND($B89="D03",$C89="G1"),S88&amp;IF(S88="","",CHAR(10))&amp;$A89,S88)</f>
        <v>◐ 013 場址與醫院總體規劃</v>
      </c>
      <c r="T89" s="363" t="str">
        <f aca="false">IF(AND($B89="D03",$C89="G2"),T88&amp;IF(T88="","",CHAR(10))&amp;$A89,T88)</f>
        <v>◐ 014 醫療建築功能計畫
◐ 015 感染控制與潔污動線
◐ 019 綠色與氣候韌性醫院</v>
      </c>
      <c r="U89" s="363" t="str">
        <f aca="false">IF(AND($B89="D03",$C89="G3"),U88&amp;IF(U88="","",CHAR(10))&amp;$A89,U88)</f>
        <v>● 016 電力、備援與微電網
◐ 017 醫療氣體與關鍵公用系統
◐ 018 醫療廢棄物與水資源</v>
      </c>
      <c r="V89" s="0" t="str">
        <f aca="false">IF(AND($B89="D03",$C89="G4"),V88&amp;IF(V88="","",CHAR(10))&amp;$A89,V88)</f>
        <v/>
      </c>
      <c r="W89" s="0" t="str">
        <f aca="false">IF(AND($B89="D03",$C89="G5"),W88&amp;IF(W88="","",CHAR(10))&amp;$A89,W88)</f>
        <v/>
      </c>
      <c r="X89" s="0" t="str">
        <f aca="false">IF(AND($B89="D03",$C89="G6"),X88&amp;IF(X88="","",CHAR(10))&amp;$A89,X88)</f>
        <v/>
      </c>
      <c r="Y89" s="0" t="str">
        <f aca="false">IF(AND($B89="D04",$C89="G0"),Y88&amp;IF(Y88="","",CHAR(10))&amp;$A89,Y88)</f>
        <v/>
      </c>
      <c r="Z89" s="0" t="str">
        <f aca="false">IF(AND($B89="D04",$C89="G1"),Z88&amp;IF(Z88="","",CHAR(10))&amp;$A89,Z88)</f>
        <v/>
      </c>
      <c r="AA89" s="0" t="str">
        <f aca="false">IF(AND($B89="D04",$C89="G2"),AA88&amp;IF(AA88="","",CHAR(10))&amp;$A89,AA88)</f>
        <v/>
      </c>
      <c r="AB89" s="0" t="str">
        <f aca="false">IF(AND($B89="D04",$C89="G3"),AB88&amp;IF(AB88="","",CHAR(10))&amp;$A89,AB88)</f>
        <v>● 020 IDC與邊緣運算底座</v>
      </c>
      <c r="AC89" s="363" t="str">
        <f aca="false">IF(AND($B89="D04",$C89="G4"),AC88&amp;IF(AC88="","",CHAR(10))&amp;$A89,AC88)</f>
        <v>● 021 有線無線網路與分區
◐ 022 資安營運與零信任
● 023 BMS與能源管理
● 024 RTLS與資產／人員定位
● 025 智慧病房、護理呼叫與感測
● 026 災難復原與營運持續</v>
      </c>
      <c r="AD89" s="0" t="str">
        <f aca="false">IF(AND($B89="D04",$C89="G5"),AD88&amp;IF(AD88="","",CHAR(10))&amp;$A89,AD88)</f>
        <v/>
      </c>
      <c r="AE89" s="0" t="str">
        <f aca="false">IF(AND($B89="D04",$C89="G6"),AE88&amp;IF(AE88="","",CHAR(10))&amp;$A89,AE88)</f>
        <v/>
      </c>
      <c r="AF89" s="0" t="str">
        <f aca="false">IF(AND($B89="D05",$C89="G0"),AF88&amp;IF(AF88="","",CHAR(10))&amp;$A89,AF88)</f>
        <v/>
      </c>
      <c r="AG89" s="0" t="str">
        <f aca="false">IF(AND($B89="D05",$C89="G1"),AG88&amp;IF(AG88="","",CHAR(10))&amp;$A89,AG88)</f>
        <v/>
      </c>
      <c r="AH89" s="0" t="str">
        <f aca="false">IF(AND($B89="D05",$C89="G2"),AH88&amp;IF(AH88="","",CHAR(10))&amp;$A89,AH88)</f>
        <v>◐ 027 醫材需求與設備計畫</v>
      </c>
      <c r="AI89" s="0" t="str">
        <f aca="false">IF(AND($B89="D05",$C89="G3"),AI88&amp;IF(AI88="","",CHAR(10))&amp;$A89,AI88)</f>
        <v/>
      </c>
      <c r="AJ89" s="363" t="str">
        <f aca="false">IF(AND($B89="D05",$C89="G4"),AJ88&amp;IF(AJ88="","",CHAR(10))&amp;$A89,AJ88)</f>
        <v>○ 028 影像設備、PACS與報告流程
○ 029 實驗室自動化與LIS
○ 030 手術室與重症整合
◐ 031 醫材介接與裝置身分
◐ 032 醫療工程與設備生命週期</v>
      </c>
      <c r="AK89" s="0" t="str">
        <f aca="false">IF(AND($B89="D05",$C89="G5"),AK88&amp;IF(AK88="","",CHAR(10))&amp;$A89,AK88)</f>
        <v/>
      </c>
      <c r="AL89" s="0" t="str">
        <f aca="false">IF(AND($B89="D05",$C89="G6"),AL88&amp;IF(AL88="","",CHAR(10))&amp;$A89,AL88)</f>
        <v/>
      </c>
      <c r="AM89" s="0" t="str">
        <f aca="false">IF(AND($B89="D06",$C89="G0"),AM88&amp;IF(AM88="","",CHAR(10))&amp;$A89,AM88)</f>
        <v/>
      </c>
      <c r="AN89" s="0" t="str">
        <f aca="false">IF(AND($B89="D06",$C89="G1"),AN88&amp;IF(AN88="","",CHAR(10))&amp;$A89,AN88)</f>
        <v/>
      </c>
      <c r="AO89" s="0" t="str">
        <f aca="false">IF(AND($B89="D06",$C89="G2"),AO88&amp;IF(AO88="","",CHAR(10))&amp;$A89,AO88)</f>
        <v/>
      </c>
      <c r="AP89" s="363" t="str">
        <f aca="false">IF(AND($B89="D06",$C89="G3"),AP88&amp;IF(AP88="","",CHAR(10))&amp;$A89,AP88)</f>
        <v>◐ 033 HIS／EMR核心平台
◐ 036 臨床術語與主資料治理</v>
      </c>
      <c r="AQ89" s="363" t="str">
        <f aca="false">IF(AND($B89="D06",$C89="G4"),AQ88&amp;IF(AQ88="","",CHAR(10))&amp;$A89,AQ88)</f>
        <v>◐ 034 FHIR介接與API管理
○ 035 主病人索引與身分整合
◐ 037 電子醫囑、用藥與決策支援
◐ 038 資料平台、BI與營運指揮</v>
      </c>
      <c r="AR89" s="0" t="str">
        <f aca="false">IF(AND($B89="D06",$C89="G5"),AR88&amp;IF(AR88="","",CHAR(10))&amp;$A89,AR88)</f>
        <v>○ 039 病人入口、行動服務與VNeID準備</v>
      </c>
      <c r="AS89" s="0" t="str">
        <f aca="false">IF(AND($B89="D06",$C89="G6"),AS88&amp;IF(AS88="","",CHAR(10))&amp;$A89,AS88)</f>
        <v/>
      </c>
      <c r="AT89" s="0" t="str">
        <f aca="false">IF(AND($B89="D07",$C89="G0"),AT88&amp;IF(AT88="","",CHAR(10))&amp;$A89,AT88)</f>
        <v/>
      </c>
      <c r="AU89" s="0" t="str">
        <f aca="false">IF(AND($B89="D07",$C89="G1"),AU88&amp;IF(AU88="","",CHAR(10))&amp;$A89,AU88)</f>
        <v/>
      </c>
      <c r="AV89" s="0" t="str">
        <f aca="false">IF(AND($B89="D07",$C89="G2"),AV88&amp;IF(AV88="","",CHAR(10))&amp;$A89,AV88)</f>
        <v>◐ 040 品質管理與JCI路線圖</v>
      </c>
      <c r="AW89" s="363" t="str">
        <f aca="false">IF(AND($B89="D07",$C89="G3"),AW88&amp;IF(AW88="","",CHAR(10))&amp;$A89,AW88)</f>
        <v>◐ 041 感染預防與控制制度
◐ 043 事件通報與根因改善</v>
      </c>
      <c r="AX89" s="0" t="str">
        <f aca="false">IF(AND($B89="D07",$C89="G4"),AX88&amp;IF(AX88="","",CHAR(10))&amp;$A89,AX88)</f>
        <v>◐ 042 用藥安全閉環</v>
      </c>
      <c r="AY89" s="0" t="str">
        <f aca="false">IF(AND($B89="D07",$C89="G5"),AY88&amp;IF(AY88="","",CHAR(10))&amp;$A89,AY88)</f>
        <v>◐ 044 開院臨床安全驗證</v>
      </c>
      <c r="AZ89" s="0" t="str">
        <f aca="false">IF(AND($B89="D07",$C89="G6"),AZ88&amp;IF(AZ88="","",CHAR(10))&amp;$A89,AZ88)</f>
        <v/>
      </c>
      <c r="BA89" s="0" t="str">
        <f aca="false">IF(AND($B89="D08",$C89="G0"),BA88&amp;IF(BA88="","",CHAR(10))&amp;$A89,BA88)</f>
        <v/>
      </c>
      <c r="BB89" s="0" t="str">
        <f aca="false">IF(AND($B89="D08",$C89="G1"),BB88&amp;IF(BB88="","",CHAR(10))&amp;$A89,BB88)</f>
        <v/>
      </c>
      <c r="BC89" s="0" t="str">
        <f aca="false">IF(AND($B89="D08",$C89="G2"),BC88&amp;IF(BC88="","",CHAR(10))&amp;$A89,BC88)</f>
        <v>○ 045 人力與輪班模型</v>
      </c>
      <c r="BD89" s="0" t="str">
        <f aca="false">IF(AND($B89="D08",$C89="G3"),BD88&amp;IF(BD88="","",CHAR(10))&amp;$A89,BD88)</f>
        <v>◐ 046 職能矩陣與授權</v>
      </c>
      <c r="BE89" s="363" t="str">
        <f aca="false">IF(AND($B89="D08",$C89="G4"),BE88&amp;IF(BE88="","",CHAR(10))&amp;$A89,BE88)</f>
        <v>◐ 047 種子教師與技術移轉
◐ 049 變革管理與使用者採納</v>
      </c>
      <c r="BF89" s="0" t="str">
        <f aca="false">IF(AND($B89="D08",$C89="G5"),BF88&amp;IF(BF88="","",CHAR(10))&amp;$A89,BF88)</f>
        <v>◐ 048 模擬中心與開院演練</v>
      </c>
      <c r="BG89" s="0" t="str">
        <f aca="false">IF(AND($B89="D08",$C89="G6"),BG88&amp;IF(BG88="","",CHAR(10))&amp;$A89,BG88)</f>
        <v/>
      </c>
      <c r="BH89" s="0" t="str">
        <f aca="false">IF(AND($B89="D09",$C89="G0"),BH88&amp;IF(BH88="","",CHAR(10))&amp;$A89,BH88)</f>
        <v/>
      </c>
      <c r="BI89" s="0" t="str">
        <f aca="false">IF(AND($B89="D09",$C89="G1"),BI88&amp;IF(BI88="","",CHAR(10))&amp;$A89,BI88)</f>
        <v/>
      </c>
      <c r="BJ89" s="0" t="str">
        <f aca="false">IF(AND($B89="D09",$C89="G2"),BJ88&amp;IF(BJ88="","",CHAR(10))&amp;$A89,BJ88)</f>
        <v>◐ 050 整合採購與供應商治理</v>
      </c>
      <c r="BK89" s="0" t="str">
        <f aca="false">IF(AND($B89="D09",$C89="G3"),BK88&amp;IF(BK88="","",CHAR(10))&amp;$A89,BK88)</f>
        <v/>
      </c>
      <c r="BL89" s="363" t="str">
        <f aca="false">IF(AND($B89="D09",$C89="G4"),BL88&amp;IF(BL88="","",CHAR(10))&amp;$A89,BL88)</f>
        <v>◐ 051 藥品耗材與SPD物流
◐ 052 冷鏈與特殊物料
● 053 CMMS與設施維運</v>
      </c>
      <c r="BM89" s="0" t="str">
        <f aca="false">IF(AND($B89="D09",$C89="G5"),BM88&amp;IF(BM88="","",CHAR(10))&amp;$A89,BM88)</f>
        <v>◐ 054 在地備品、維修與汰換</v>
      </c>
      <c r="BN89" s="0" t="str">
        <f aca="false">IF(AND($B89="D09",$C89="G6"),BN88&amp;IF(BN88="","",CHAR(10))&amp;$A89,BN88)</f>
        <v/>
      </c>
      <c r="BO89" s="0" t="str">
        <f aca="false">IF(AND($B89="D10",$C89="G0"),BO88&amp;IF(BO88="","",CHAR(10))&amp;$A89,BO88)</f>
        <v/>
      </c>
      <c r="BP89" s="0" t="str">
        <f aca="false">IF(AND($B89="D10",$C89="G1"),BP88&amp;IF(BP88="","",CHAR(10))&amp;$A89,BP88)</f>
        <v>◐ 055 全生命週期成本模型</v>
      </c>
      <c r="BQ89" s="0" t="str">
        <f aca="false">IF(AND($B89="D10",$C89="G2"),BQ88&amp;IF(BQ88="","",CHAR(10))&amp;$A89,BQ88)</f>
        <v>◐ 059 PPP／JV財務與風險分配</v>
      </c>
      <c r="BR89" s="0" t="str">
        <f aca="false">IF(AND($B89="D10",$C89="G3"),BR88&amp;IF(BR88="","",CHAR(10))&amp;$A89,BR88)</f>
        <v/>
      </c>
      <c r="BS89" s="363" t="str">
        <f aca="false">IF(AND($B89="D10",$C89="G4"),BS88&amp;IF(BS88="","",CHAR(10))&amp;$A89,BS88)</f>
        <v>○ 056 健保申報與數位理賠
○ 057 現金流、支付與收入週期</v>
      </c>
      <c r="BT89" s="0" t="str">
        <f aca="false">IF(AND($B89="D10",$C89="G5"),BT88&amp;IF(BT88="","",CHAR(10))&amp;$A89,BT88)</f>
        <v>○ 058 國際醫療與高價值服務</v>
      </c>
      <c r="BU89" s="0" t="str">
        <f aca="false">IF(AND($B89="D10",$C89="G6"),BU88&amp;IF(BU88="","",CHAR(10))&amp;$A89,BU88)</f>
        <v>◐ 060 效益實現與複製藍圖</v>
      </c>
      <c r="BX89" s="0" t="str">
        <f aca="false">IF(AND(03_能力總表_Master!$A89&lt;&gt;"",LEFT(03_能力總表_Master!$H89,2)="缺口"),MAX($BX$4:BX88)+1,"")</f>
        <v/>
      </c>
      <c r="BY89" s="0" t="str">
        <f aca="false">IF(AND(03_能力總表_Master!$A89&lt;&gt;"",03_能力總表_Master!$J89=12_夥伴視角_PartnerView!$C$4),MAX($BY$4:BY88)+1,"")</f>
        <v/>
      </c>
      <c r="CC89" s="0" t="str">
        <f aca="false">IF(AND(03_能力總表_Master!$A89&lt;&gt;"",IFERROR(INDEX(16_能力商機矩陣_CapOppMap!$D89:$CO89,MATCH(LEFT(17_商機作戰卡_OppView!$C$4,6),16_能力商機矩陣_CapOppMap!$D$4:$CO$4,0)),"")="✓"),MAX($CC$4:CC88)+1,"")</f>
        <v/>
      </c>
    </row>
    <row r="90" customFormat="false" ht="95.5" hidden="false" customHeight="false" outlineLevel="0" collapsed="false">
      <c r="A90" s="0" t="str">
        <f aca="false">IF(03_能力總表_Master!$A90="","",IF(LEFT(03_能力總表_Master!$H90,2)="群晶","● ",IF(ISNUMBER(SEARCH("已確認",03_能力總表_Master!$H90)),"◆ ",IF(ISNUMBER(SEARCH("缺口",03_能力總表_Master!$H90)),"○ ","◐ ")))&amp;RIGHT(03_能力總表_Master!$A90,3)&amp;" "&amp;03_能力總表_Master!$E90)</f>
        <v/>
      </c>
      <c r="B90" s="0" t="str">
        <f aca="false">IF(03_能力總表_Master!$A90="","",LEFT(03_能力總表_Master!$B90,3))</f>
        <v/>
      </c>
      <c r="C90" s="0" t="str">
        <f aca="false">IF(03_能力總表_Master!$A90="","",03_能力總表_Master!$C90)</f>
        <v/>
      </c>
      <c r="D90" s="363" t="str">
        <f aca="false">IF(AND($B90="D01",$C90="G0"),D89&amp;IF(D89="","",CHAR(10))&amp;$A90,D89)</f>
        <v>◐ 001 政府授權與計畫章程
◐ 002 利害關係人與權力地圖
◐ 005 聯盟治理與利益衝突</v>
      </c>
      <c r="E90" s="363" t="str">
        <f aca="false">IF(AND($B90="D01",$C90="G1"),E89&amp;IF(E89="","",CHAR(10))&amp;$A90,E89)</f>
        <v>◐ 003 交易模式選擇
◐ 004 法規與執照路徑</v>
      </c>
      <c r="F90" s="0" t="str">
        <f aca="false">IF(AND($B90="D01",$C90="G2"),F89&amp;IF(F89="","",CHAR(10))&amp;$A90,F89)</f>
        <v>◐ 006 績效契約與變更控制</v>
      </c>
      <c r="G90" s="0" t="str">
        <f aca="false">IF(AND($B90="D01",$C90="G3"),G89&amp;IF(G89="","",CHAR(10))&amp;$A90,G89)</f>
        <v/>
      </c>
      <c r="H90" s="0" t="str">
        <f aca="false">IF(AND($B90="D01",$C90="G4"),H89&amp;IF(H89="","",CHAR(10))&amp;$A90,H89)</f>
        <v/>
      </c>
      <c r="I90" s="0" t="str">
        <f aca="false">IF(AND($B90="D01",$C90="G5"),I89&amp;IF(I89="","",CHAR(10))&amp;$A90,I89)</f>
        <v/>
      </c>
      <c r="J90" s="0" t="str">
        <f aca="false">IF(AND($B90="D01",$C90="G6"),J89&amp;IF(J89="","",CHAR(10))&amp;$A90,J89)</f>
        <v/>
      </c>
      <c r="K90" s="0" t="str">
        <f aca="false">IF(AND($B90="D02",$C90="G0"),K89&amp;IF(K89="","",CHAR(10))&amp;$A90,K89)</f>
        <v/>
      </c>
      <c r="L90" s="363" t="str">
        <f aca="false">IF(AND($B90="D02",$C90="G1"),L89&amp;IF(L89="","",CHAR(10))&amp;$A90,L89)</f>
        <v>◐ 007 人口需求與病例量預測
◐ 008 醫院定位與服務組合
◐ 009 重點專科優先化
◐ 010 病人流程與容量設計
◐ 011 轉診與區域照護網絡
◐ 012 臨床治理與責任架構</v>
      </c>
      <c r="M90" s="0" t="str">
        <f aca="false">IF(AND($B90="D02",$C90="G2"),M89&amp;IF(M89="","",CHAR(10))&amp;$A90,M89)</f>
        <v/>
      </c>
      <c r="N90" s="0" t="str">
        <f aca="false">IF(AND($B90="D02",$C90="G3"),N89&amp;IF(N89="","",CHAR(10))&amp;$A90,N89)</f>
        <v/>
      </c>
      <c r="O90" s="0" t="str">
        <f aca="false">IF(AND($B90="D02",$C90="G4"),O89&amp;IF(O89="","",CHAR(10))&amp;$A90,O89)</f>
        <v/>
      </c>
      <c r="P90" s="0" t="str">
        <f aca="false">IF(AND($B90="D02",$C90="G5"),P89&amp;IF(P89="","",CHAR(10))&amp;$A90,P89)</f>
        <v/>
      </c>
      <c r="Q90" s="0" t="str">
        <f aca="false">IF(AND($B90="D02",$C90="G6"),Q89&amp;IF(Q89="","",CHAR(10))&amp;$A90,Q89)</f>
        <v/>
      </c>
      <c r="R90" s="0" t="str">
        <f aca="false">IF(AND($B90="D03",$C90="G0"),R89&amp;IF(R89="","",CHAR(10))&amp;$A90,R89)</f>
        <v/>
      </c>
      <c r="S90" s="0" t="str">
        <f aca="false">IF(AND($B90="D03",$C90="G1"),S89&amp;IF(S89="","",CHAR(10))&amp;$A90,S89)</f>
        <v>◐ 013 場址與醫院總體規劃</v>
      </c>
      <c r="T90" s="363" t="str">
        <f aca="false">IF(AND($B90="D03",$C90="G2"),T89&amp;IF(T89="","",CHAR(10))&amp;$A90,T89)</f>
        <v>◐ 014 醫療建築功能計畫
◐ 015 感染控制與潔污動線
◐ 019 綠色與氣候韌性醫院</v>
      </c>
      <c r="U90" s="363" t="str">
        <f aca="false">IF(AND($B90="D03",$C90="G3"),U89&amp;IF(U89="","",CHAR(10))&amp;$A90,U89)</f>
        <v>● 016 電力、備援與微電網
◐ 017 醫療氣體與關鍵公用系統
◐ 018 醫療廢棄物與水資源</v>
      </c>
      <c r="V90" s="0" t="str">
        <f aca="false">IF(AND($B90="D03",$C90="G4"),V89&amp;IF(V89="","",CHAR(10))&amp;$A90,V89)</f>
        <v/>
      </c>
      <c r="W90" s="0" t="str">
        <f aca="false">IF(AND($B90="D03",$C90="G5"),W89&amp;IF(W89="","",CHAR(10))&amp;$A90,W89)</f>
        <v/>
      </c>
      <c r="X90" s="0" t="str">
        <f aca="false">IF(AND($B90="D03",$C90="G6"),X89&amp;IF(X89="","",CHAR(10))&amp;$A90,X89)</f>
        <v/>
      </c>
      <c r="Y90" s="0" t="str">
        <f aca="false">IF(AND($B90="D04",$C90="G0"),Y89&amp;IF(Y89="","",CHAR(10))&amp;$A90,Y89)</f>
        <v/>
      </c>
      <c r="Z90" s="0" t="str">
        <f aca="false">IF(AND($B90="D04",$C90="G1"),Z89&amp;IF(Z89="","",CHAR(10))&amp;$A90,Z89)</f>
        <v/>
      </c>
      <c r="AA90" s="0" t="str">
        <f aca="false">IF(AND($B90="D04",$C90="G2"),AA89&amp;IF(AA89="","",CHAR(10))&amp;$A90,AA89)</f>
        <v/>
      </c>
      <c r="AB90" s="0" t="str">
        <f aca="false">IF(AND($B90="D04",$C90="G3"),AB89&amp;IF(AB89="","",CHAR(10))&amp;$A90,AB89)</f>
        <v>● 020 IDC與邊緣運算底座</v>
      </c>
      <c r="AC90" s="363" t="str">
        <f aca="false">IF(AND($B90="D04",$C90="G4"),AC89&amp;IF(AC89="","",CHAR(10))&amp;$A90,AC89)</f>
        <v>● 021 有線無線網路與分區
◐ 022 資安營運與零信任
● 023 BMS與能源管理
● 024 RTLS與資產／人員定位
● 025 智慧病房、護理呼叫與感測
● 026 災難復原與營運持續</v>
      </c>
      <c r="AD90" s="0" t="str">
        <f aca="false">IF(AND($B90="D04",$C90="G5"),AD89&amp;IF(AD89="","",CHAR(10))&amp;$A90,AD89)</f>
        <v/>
      </c>
      <c r="AE90" s="0" t="str">
        <f aca="false">IF(AND($B90="D04",$C90="G6"),AE89&amp;IF(AE89="","",CHAR(10))&amp;$A90,AE89)</f>
        <v/>
      </c>
      <c r="AF90" s="0" t="str">
        <f aca="false">IF(AND($B90="D05",$C90="G0"),AF89&amp;IF(AF89="","",CHAR(10))&amp;$A90,AF89)</f>
        <v/>
      </c>
      <c r="AG90" s="0" t="str">
        <f aca="false">IF(AND($B90="D05",$C90="G1"),AG89&amp;IF(AG89="","",CHAR(10))&amp;$A90,AG89)</f>
        <v/>
      </c>
      <c r="AH90" s="0" t="str">
        <f aca="false">IF(AND($B90="D05",$C90="G2"),AH89&amp;IF(AH89="","",CHAR(10))&amp;$A90,AH89)</f>
        <v>◐ 027 醫材需求與設備計畫</v>
      </c>
      <c r="AI90" s="0" t="str">
        <f aca="false">IF(AND($B90="D05",$C90="G3"),AI89&amp;IF(AI89="","",CHAR(10))&amp;$A90,AI89)</f>
        <v/>
      </c>
      <c r="AJ90" s="363" t="str">
        <f aca="false">IF(AND($B90="D05",$C90="G4"),AJ89&amp;IF(AJ89="","",CHAR(10))&amp;$A90,AJ89)</f>
        <v>○ 028 影像設備、PACS與報告流程
○ 029 實驗室自動化與LIS
○ 030 手術室與重症整合
◐ 031 醫材介接與裝置身分
◐ 032 醫療工程與設備生命週期</v>
      </c>
      <c r="AK90" s="0" t="str">
        <f aca="false">IF(AND($B90="D05",$C90="G5"),AK89&amp;IF(AK89="","",CHAR(10))&amp;$A90,AK89)</f>
        <v/>
      </c>
      <c r="AL90" s="0" t="str">
        <f aca="false">IF(AND($B90="D05",$C90="G6"),AL89&amp;IF(AL89="","",CHAR(10))&amp;$A90,AL89)</f>
        <v/>
      </c>
      <c r="AM90" s="0" t="str">
        <f aca="false">IF(AND($B90="D06",$C90="G0"),AM89&amp;IF(AM89="","",CHAR(10))&amp;$A90,AM89)</f>
        <v/>
      </c>
      <c r="AN90" s="0" t="str">
        <f aca="false">IF(AND($B90="D06",$C90="G1"),AN89&amp;IF(AN89="","",CHAR(10))&amp;$A90,AN89)</f>
        <v/>
      </c>
      <c r="AO90" s="0" t="str">
        <f aca="false">IF(AND($B90="D06",$C90="G2"),AO89&amp;IF(AO89="","",CHAR(10))&amp;$A90,AO89)</f>
        <v/>
      </c>
      <c r="AP90" s="363" t="str">
        <f aca="false">IF(AND($B90="D06",$C90="G3"),AP89&amp;IF(AP89="","",CHAR(10))&amp;$A90,AP89)</f>
        <v>◐ 033 HIS／EMR核心平台
◐ 036 臨床術語與主資料治理</v>
      </c>
      <c r="AQ90" s="363" t="str">
        <f aca="false">IF(AND($B90="D06",$C90="G4"),AQ89&amp;IF(AQ89="","",CHAR(10))&amp;$A90,AQ89)</f>
        <v>◐ 034 FHIR介接與API管理
○ 035 主病人索引與身分整合
◐ 037 電子醫囑、用藥與決策支援
◐ 038 資料平台、BI與營運指揮</v>
      </c>
      <c r="AR90" s="0" t="str">
        <f aca="false">IF(AND($B90="D06",$C90="G5"),AR89&amp;IF(AR89="","",CHAR(10))&amp;$A90,AR89)</f>
        <v>○ 039 病人入口、行動服務與VNeID準備</v>
      </c>
      <c r="AS90" s="0" t="str">
        <f aca="false">IF(AND($B90="D06",$C90="G6"),AS89&amp;IF(AS89="","",CHAR(10))&amp;$A90,AS89)</f>
        <v/>
      </c>
      <c r="AT90" s="0" t="str">
        <f aca="false">IF(AND($B90="D07",$C90="G0"),AT89&amp;IF(AT89="","",CHAR(10))&amp;$A90,AT89)</f>
        <v/>
      </c>
      <c r="AU90" s="0" t="str">
        <f aca="false">IF(AND($B90="D07",$C90="G1"),AU89&amp;IF(AU89="","",CHAR(10))&amp;$A90,AU89)</f>
        <v/>
      </c>
      <c r="AV90" s="0" t="str">
        <f aca="false">IF(AND($B90="D07",$C90="G2"),AV89&amp;IF(AV89="","",CHAR(10))&amp;$A90,AV89)</f>
        <v>◐ 040 品質管理與JCI路線圖</v>
      </c>
      <c r="AW90" s="363" t="str">
        <f aca="false">IF(AND($B90="D07",$C90="G3"),AW89&amp;IF(AW89="","",CHAR(10))&amp;$A90,AW89)</f>
        <v>◐ 041 感染預防與控制制度
◐ 043 事件通報與根因改善</v>
      </c>
      <c r="AX90" s="0" t="str">
        <f aca="false">IF(AND($B90="D07",$C90="G4"),AX89&amp;IF(AX89="","",CHAR(10))&amp;$A90,AX89)</f>
        <v>◐ 042 用藥安全閉環</v>
      </c>
      <c r="AY90" s="0" t="str">
        <f aca="false">IF(AND($B90="D07",$C90="G5"),AY89&amp;IF(AY89="","",CHAR(10))&amp;$A90,AY89)</f>
        <v>◐ 044 開院臨床安全驗證</v>
      </c>
      <c r="AZ90" s="0" t="str">
        <f aca="false">IF(AND($B90="D07",$C90="G6"),AZ89&amp;IF(AZ89="","",CHAR(10))&amp;$A90,AZ89)</f>
        <v/>
      </c>
      <c r="BA90" s="0" t="str">
        <f aca="false">IF(AND($B90="D08",$C90="G0"),BA89&amp;IF(BA89="","",CHAR(10))&amp;$A90,BA89)</f>
        <v/>
      </c>
      <c r="BB90" s="0" t="str">
        <f aca="false">IF(AND($B90="D08",$C90="G1"),BB89&amp;IF(BB89="","",CHAR(10))&amp;$A90,BB89)</f>
        <v/>
      </c>
      <c r="BC90" s="0" t="str">
        <f aca="false">IF(AND($B90="D08",$C90="G2"),BC89&amp;IF(BC89="","",CHAR(10))&amp;$A90,BC89)</f>
        <v>○ 045 人力與輪班模型</v>
      </c>
      <c r="BD90" s="0" t="str">
        <f aca="false">IF(AND($B90="D08",$C90="G3"),BD89&amp;IF(BD89="","",CHAR(10))&amp;$A90,BD89)</f>
        <v>◐ 046 職能矩陣與授權</v>
      </c>
      <c r="BE90" s="363" t="str">
        <f aca="false">IF(AND($B90="D08",$C90="G4"),BE89&amp;IF(BE89="","",CHAR(10))&amp;$A90,BE89)</f>
        <v>◐ 047 種子教師與技術移轉
◐ 049 變革管理與使用者採納</v>
      </c>
      <c r="BF90" s="0" t="str">
        <f aca="false">IF(AND($B90="D08",$C90="G5"),BF89&amp;IF(BF89="","",CHAR(10))&amp;$A90,BF89)</f>
        <v>◐ 048 模擬中心與開院演練</v>
      </c>
      <c r="BG90" s="0" t="str">
        <f aca="false">IF(AND($B90="D08",$C90="G6"),BG89&amp;IF(BG89="","",CHAR(10))&amp;$A90,BG89)</f>
        <v/>
      </c>
      <c r="BH90" s="0" t="str">
        <f aca="false">IF(AND($B90="D09",$C90="G0"),BH89&amp;IF(BH89="","",CHAR(10))&amp;$A90,BH89)</f>
        <v/>
      </c>
      <c r="BI90" s="0" t="str">
        <f aca="false">IF(AND($B90="D09",$C90="G1"),BI89&amp;IF(BI89="","",CHAR(10))&amp;$A90,BI89)</f>
        <v/>
      </c>
      <c r="BJ90" s="0" t="str">
        <f aca="false">IF(AND($B90="D09",$C90="G2"),BJ89&amp;IF(BJ89="","",CHAR(10))&amp;$A90,BJ89)</f>
        <v>◐ 050 整合採購與供應商治理</v>
      </c>
      <c r="BK90" s="0" t="str">
        <f aca="false">IF(AND($B90="D09",$C90="G3"),BK89&amp;IF(BK89="","",CHAR(10))&amp;$A90,BK89)</f>
        <v/>
      </c>
      <c r="BL90" s="363" t="str">
        <f aca="false">IF(AND($B90="D09",$C90="G4"),BL89&amp;IF(BL89="","",CHAR(10))&amp;$A90,BL89)</f>
        <v>◐ 051 藥品耗材與SPD物流
◐ 052 冷鏈與特殊物料
● 053 CMMS與設施維運</v>
      </c>
      <c r="BM90" s="0" t="str">
        <f aca="false">IF(AND($B90="D09",$C90="G5"),BM89&amp;IF(BM89="","",CHAR(10))&amp;$A90,BM89)</f>
        <v>◐ 054 在地備品、維修與汰換</v>
      </c>
      <c r="BN90" s="0" t="str">
        <f aca="false">IF(AND($B90="D09",$C90="G6"),BN89&amp;IF(BN89="","",CHAR(10))&amp;$A90,BN89)</f>
        <v/>
      </c>
      <c r="BO90" s="0" t="str">
        <f aca="false">IF(AND($B90="D10",$C90="G0"),BO89&amp;IF(BO89="","",CHAR(10))&amp;$A90,BO89)</f>
        <v/>
      </c>
      <c r="BP90" s="0" t="str">
        <f aca="false">IF(AND($B90="D10",$C90="G1"),BP89&amp;IF(BP89="","",CHAR(10))&amp;$A90,BP89)</f>
        <v>◐ 055 全生命週期成本模型</v>
      </c>
      <c r="BQ90" s="0" t="str">
        <f aca="false">IF(AND($B90="D10",$C90="G2"),BQ89&amp;IF(BQ89="","",CHAR(10))&amp;$A90,BQ89)</f>
        <v>◐ 059 PPP／JV財務與風險分配</v>
      </c>
      <c r="BR90" s="0" t="str">
        <f aca="false">IF(AND($B90="D10",$C90="G3"),BR89&amp;IF(BR89="","",CHAR(10))&amp;$A90,BR89)</f>
        <v/>
      </c>
      <c r="BS90" s="363" t="str">
        <f aca="false">IF(AND($B90="D10",$C90="G4"),BS89&amp;IF(BS89="","",CHAR(10))&amp;$A90,BS89)</f>
        <v>○ 056 健保申報與數位理賠
○ 057 現金流、支付與收入週期</v>
      </c>
      <c r="BT90" s="0" t="str">
        <f aca="false">IF(AND($B90="D10",$C90="G5"),BT89&amp;IF(BT89="","",CHAR(10))&amp;$A90,BT89)</f>
        <v>○ 058 國際醫療與高價值服務</v>
      </c>
      <c r="BU90" s="0" t="str">
        <f aca="false">IF(AND($B90="D10",$C90="G6"),BU89&amp;IF(BU89="","",CHAR(10))&amp;$A90,BU89)</f>
        <v>◐ 060 效益實現與複製藍圖</v>
      </c>
      <c r="BX90" s="0" t="str">
        <f aca="false">IF(AND(03_能力總表_Master!$A90&lt;&gt;"",LEFT(03_能力總表_Master!$H90,2)="缺口"),MAX($BX$4:BX89)+1,"")</f>
        <v/>
      </c>
      <c r="BY90" s="0" t="str">
        <f aca="false">IF(AND(03_能力總表_Master!$A90&lt;&gt;"",03_能力總表_Master!$J90=12_夥伴視角_PartnerView!$C$4),MAX($BY$4:BY89)+1,"")</f>
        <v/>
      </c>
      <c r="CC90" s="0" t="str">
        <f aca="false">IF(AND(03_能力總表_Master!$A90&lt;&gt;"",IFERROR(INDEX(16_能力商機矩陣_CapOppMap!$D90:$CO90,MATCH(LEFT(17_商機作戰卡_OppView!$C$4,6),16_能力商機矩陣_CapOppMap!$D$4:$CO$4,0)),"")="✓"),MAX($CC$4:CC89)+1,"")</f>
        <v/>
      </c>
    </row>
    <row r="91" customFormat="false" ht="95.5" hidden="false" customHeight="false" outlineLevel="0" collapsed="false">
      <c r="A91" s="0" t="str">
        <f aca="false">IF(03_能力總表_Master!$A91="","",IF(LEFT(03_能力總表_Master!$H91,2)="群晶","● ",IF(ISNUMBER(SEARCH("已確認",03_能力總表_Master!$H91)),"◆ ",IF(ISNUMBER(SEARCH("缺口",03_能力總表_Master!$H91)),"○ ","◐ ")))&amp;RIGHT(03_能力總表_Master!$A91,3)&amp;" "&amp;03_能力總表_Master!$E91)</f>
        <v/>
      </c>
      <c r="B91" s="0" t="str">
        <f aca="false">IF(03_能力總表_Master!$A91="","",LEFT(03_能力總表_Master!$B91,3))</f>
        <v/>
      </c>
      <c r="C91" s="0" t="str">
        <f aca="false">IF(03_能力總表_Master!$A91="","",03_能力總表_Master!$C91)</f>
        <v/>
      </c>
      <c r="D91" s="363" t="str">
        <f aca="false">IF(AND($B91="D01",$C91="G0"),D90&amp;IF(D90="","",CHAR(10))&amp;$A91,D90)</f>
        <v>◐ 001 政府授權與計畫章程
◐ 002 利害關係人與權力地圖
◐ 005 聯盟治理與利益衝突</v>
      </c>
      <c r="E91" s="363" t="str">
        <f aca="false">IF(AND($B91="D01",$C91="G1"),E90&amp;IF(E90="","",CHAR(10))&amp;$A91,E90)</f>
        <v>◐ 003 交易模式選擇
◐ 004 法規與執照路徑</v>
      </c>
      <c r="F91" s="0" t="str">
        <f aca="false">IF(AND($B91="D01",$C91="G2"),F90&amp;IF(F90="","",CHAR(10))&amp;$A91,F90)</f>
        <v>◐ 006 績效契約與變更控制</v>
      </c>
      <c r="G91" s="0" t="str">
        <f aca="false">IF(AND($B91="D01",$C91="G3"),G90&amp;IF(G90="","",CHAR(10))&amp;$A91,G90)</f>
        <v/>
      </c>
      <c r="H91" s="0" t="str">
        <f aca="false">IF(AND($B91="D01",$C91="G4"),H90&amp;IF(H90="","",CHAR(10))&amp;$A91,H90)</f>
        <v/>
      </c>
      <c r="I91" s="0" t="str">
        <f aca="false">IF(AND($B91="D01",$C91="G5"),I90&amp;IF(I90="","",CHAR(10))&amp;$A91,I90)</f>
        <v/>
      </c>
      <c r="J91" s="0" t="str">
        <f aca="false">IF(AND($B91="D01",$C91="G6"),J90&amp;IF(J90="","",CHAR(10))&amp;$A91,J90)</f>
        <v/>
      </c>
      <c r="K91" s="0" t="str">
        <f aca="false">IF(AND($B91="D02",$C91="G0"),K90&amp;IF(K90="","",CHAR(10))&amp;$A91,K90)</f>
        <v/>
      </c>
      <c r="L91" s="363" t="str">
        <f aca="false">IF(AND($B91="D02",$C91="G1"),L90&amp;IF(L90="","",CHAR(10))&amp;$A91,L90)</f>
        <v>◐ 007 人口需求與病例量預測
◐ 008 醫院定位與服務組合
◐ 009 重點專科優先化
◐ 010 病人流程與容量設計
◐ 011 轉診與區域照護網絡
◐ 012 臨床治理與責任架構</v>
      </c>
      <c r="M91" s="0" t="str">
        <f aca="false">IF(AND($B91="D02",$C91="G2"),M90&amp;IF(M90="","",CHAR(10))&amp;$A91,M90)</f>
        <v/>
      </c>
      <c r="N91" s="0" t="str">
        <f aca="false">IF(AND($B91="D02",$C91="G3"),N90&amp;IF(N90="","",CHAR(10))&amp;$A91,N90)</f>
        <v/>
      </c>
      <c r="O91" s="0" t="str">
        <f aca="false">IF(AND($B91="D02",$C91="G4"),O90&amp;IF(O90="","",CHAR(10))&amp;$A91,O90)</f>
        <v/>
      </c>
      <c r="P91" s="0" t="str">
        <f aca="false">IF(AND($B91="D02",$C91="G5"),P90&amp;IF(P90="","",CHAR(10))&amp;$A91,P90)</f>
        <v/>
      </c>
      <c r="Q91" s="0" t="str">
        <f aca="false">IF(AND($B91="D02",$C91="G6"),Q90&amp;IF(Q90="","",CHAR(10))&amp;$A91,Q90)</f>
        <v/>
      </c>
      <c r="R91" s="0" t="str">
        <f aca="false">IF(AND($B91="D03",$C91="G0"),R90&amp;IF(R90="","",CHAR(10))&amp;$A91,R90)</f>
        <v/>
      </c>
      <c r="S91" s="0" t="str">
        <f aca="false">IF(AND($B91="D03",$C91="G1"),S90&amp;IF(S90="","",CHAR(10))&amp;$A91,S90)</f>
        <v>◐ 013 場址與醫院總體規劃</v>
      </c>
      <c r="T91" s="363" t="str">
        <f aca="false">IF(AND($B91="D03",$C91="G2"),T90&amp;IF(T90="","",CHAR(10))&amp;$A91,T90)</f>
        <v>◐ 014 醫療建築功能計畫
◐ 015 感染控制與潔污動線
◐ 019 綠色與氣候韌性醫院</v>
      </c>
      <c r="U91" s="363" t="str">
        <f aca="false">IF(AND($B91="D03",$C91="G3"),U90&amp;IF(U90="","",CHAR(10))&amp;$A91,U90)</f>
        <v>● 016 電力、備援與微電網
◐ 017 醫療氣體與關鍵公用系統
◐ 018 醫療廢棄物與水資源</v>
      </c>
      <c r="V91" s="0" t="str">
        <f aca="false">IF(AND($B91="D03",$C91="G4"),V90&amp;IF(V90="","",CHAR(10))&amp;$A91,V90)</f>
        <v/>
      </c>
      <c r="W91" s="0" t="str">
        <f aca="false">IF(AND($B91="D03",$C91="G5"),W90&amp;IF(W90="","",CHAR(10))&amp;$A91,W90)</f>
        <v/>
      </c>
      <c r="X91" s="0" t="str">
        <f aca="false">IF(AND($B91="D03",$C91="G6"),X90&amp;IF(X90="","",CHAR(10))&amp;$A91,X90)</f>
        <v/>
      </c>
      <c r="Y91" s="0" t="str">
        <f aca="false">IF(AND($B91="D04",$C91="G0"),Y90&amp;IF(Y90="","",CHAR(10))&amp;$A91,Y90)</f>
        <v/>
      </c>
      <c r="Z91" s="0" t="str">
        <f aca="false">IF(AND($B91="D04",$C91="G1"),Z90&amp;IF(Z90="","",CHAR(10))&amp;$A91,Z90)</f>
        <v/>
      </c>
      <c r="AA91" s="0" t="str">
        <f aca="false">IF(AND($B91="D04",$C91="G2"),AA90&amp;IF(AA90="","",CHAR(10))&amp;$A91,AA90)</f>
        <v/>
      </c>
      <c r="AB91" s="0" t="str">
        <f aca="false">IF(AND($B91="D04",$C91="G3"),AB90&amp;IF(AB90="","",CHAR(10))&amp;$A91,AB90)</f>
        <v>● 020 IDC與邊緣運算底座</v>
      </c>
      <c r="AC91" s="363" t="str">
        <f aca="false">IF(AND($B91="D04",$C91="G4"),AC90&amp;IF(AC90="","",CHAR(10))&amp;$A91,AC90)</f>
        <v>● 021 有線無線網路與分區
◐ 022 資安營運與零信任
● 023 BMS與能源管理
● 024 RTLS與資產／人員定位
● 025 智慧病房、護理呼叫與感測
● 026 災難復原與營運持續</v>
      </c>
      <c r="AD91" s="0" t="str">
        <f aca="false">IF(AND($B91="D04",$C91="G5"),AD90&amp;IF(AD90="","",CHAR(10))&amp;$A91,AD90)</f>
        <v/>
      </c>
      <c r="AE91" s="0" t="str">
        <f aca="false">IF(AND($B91="D04",$C91="G6"),AE90&amp;IF(AE90="","",CHAR(10))&amp;$A91,AE90)</f>
        <v/>
      </c>
      <c r="AF91" s="0" t="str">
        <f aca="false">IF(AND($B91="D05",$C91="G0"),AF90&amp;IF(AF90="","",CHAR(10))&amp;$A91,AF90)</f>
        <v/>
      </c>
      <c r="AG91" s="0" t="str">
        <f aca="false">IF(AND($B91="D05",$C91="G1"),AG90&amp;IF(AG90="","",CHAR(10))&amp;$A91,AG90)</f>
        <v/>
      </c>
      <c r="AH91" s="0" t="str">
        <f aca="false">IF(AND($B91="D05",$C91="G2"),AH90&amp;IF(AH90="","",CHAR(10))&amp;$A91,AH90)</f>
        <v>◐ 027 醫材需求與設備計畫</v>
      </c>
      <c r="AI91" s="0" t="str">
        <f aca="false">IF(AND($B91="D05",$C91="G3"),AI90&amp;IF(AI90="","",CHAR(10))&amp;$A91,AI90)</f>
        <v/>
      </c>
      <c r="AJ91" s="363" t="str">
        <f aca="false">IF(AND($B91="D05",$C91="G4"),AJ90&amp;IF(AJ90="","",CHAR(10))&amp;$A91,AJ90)</f>
        <v>○ 028 影像設備、PACS與報告流程
○ 029 實驗室自動化與LIS
○ 030 手術室與重症整合
◐ 031 醫材介接與裝置身分
◐ 032 醫療工程與設備生命週期</v>
      </c>
      <c r="AK91" s="0" t="str">
        <f aca="false">IF(AND($B91="D05",$C91="G5"),AK90&amp;IF(AK90="","",CHAR(10))&amp;$A91,AK90)</f>
        <v/>
      </c>
      <c r="AL91" s="0" t="str">
        <f aca="false">IF(AND($B91="D05",$C91="G6"),AL90&amp;IF(AL90="","",CHAR(10))&amp;$A91,AL90)</f>
        <v/>
      </c>
      <c r="AM91" s="0" t="str">
        <f aca="false">IF(AND($B91="D06",$C91="G0"),AM90&amp;IF(AM90="","",CHAR(10))&amp;$A91,AM90)</f>
        <v/>
      </c>
      <c r="AN91" s="0" t="str">
        <f aca="false">IF(AND($B91="D06",$C91="G1"),AN90&amp;IF(AN90="","",CHAR(10))&amp;$A91,AN90)</f>
        <v/>
      </c>
      <c r="AO91" s="0" t="str">
        <f aca="false">IF(AND($B91="D06",$C91="G2"),AO90&amp;IF(AO90="","",CHAR(10))&amp;$A91,AO90)</f>
        <v/>
      </c>
      <c r="AP91" s="363" t="str">
        <f aca="false">IF(AND($B91="D06",$C91="G3"),AP90&amp;IF(AP90="","",CHAR(10))&amp;$A91,AP90)</f>
        <v>◐ 033 HIS／EMR核心平台
◐ 036 臨床術語與主資料治理</v>
      </c>
      <c r="AQ91" s="363" t="str">
        <f aca="false">IF(AND($B91="D06",$C91="G4"),AQ90&amp;IF(AQ90="","",CHAR(10))&amp;$A91,AQ90)</f>
        <v>◐ 034 FHIR介接與API管理
○ 035 主病人索引與身分整合
◐ 037 電子醫囑、用藥與決策支援
◐ 038 資料平台、BI與營運指揮</v>
      </c>
      <c r="AR91" s="0" t="str">
        <f aca="false">IF(AND($B91="D06",$C91="G5"),AR90&amp;IF(AR90="","",CHAR(10))&amp;$A91,AR90)</f>
        <v>○ 039 病人入口、行動服務與VNeID準備</v>
      </c>
      <c r="AS91" s="0" t="str">
        <f aca="false">IF(AND($B91="D06",$C91="G6"),AS90&amp;IF(AS90="","",CHAR(10))&amp;$A91,AS90)</f>
        <v/>
      </c>
      <c r="AT91" s="0" t="str">
        <f aca="false">IF(AND($B91="D07",$C91="G0"),AT90&amp;IF(AT90="","",CHAR(10))&amp;$A91,AT90)</f>
        <v/>
      </c>
      <c r="AU91" s="0" t="str">
        <f aca="false">IF(AND($B91="D07",$C91="G1"),AU90&amp;IF(AU90="","",CHAR(10))&amp;$A91,AU90)</f>
        <v/>
      </c>
      <c r="AV91" s="0" t="str">
        <f aca="false">IF(AND($B91="D07",$C91="G2"),AV90&amp;IF(AV90="","",CHAR(10))&amp;$A91,AV90)</f>
        <v>◐ 040 品質管理與JCI路線圖</v>
      </c>
      <c r="AW91" s="363" t="str">
        <f aca="false">IF(AND($B91="D07",$C91="G3"),AW90&amp;IF(AW90="","",CHAR(10))&amp;$A91,AW90)</f>
        <v>◐ 041 感染預防與控制制度
◐ 043 事件通報與根因改善</v>
      </c>
      <c r="AX91" s="0" t="str">
        <f aca="false">IF(AND($B91="D07",$C91="G4"),AX90&amp;IF(AX90="","",CHAR(10))&amp;$A91,AX90)</f>
        <v>◐ 042 用藥安全閉環</v>
      </c>
      <c r="AY91" s="0" t="str">
        <f aca="false">IF(AND($B91="D07",$C91="G5"),AY90&amp;IF(AY90="","",CHAR(10))&amp;$A91,AY90)</f>
        <v>◐ 044 開院臨床安全驗證</v>
      </c>
      <c r="AZ91" s="0" t="str">
        <f aca="false">IF(AND($B91="D07",$C91="G6"),AZ90&amp;IF(AZ90="","",CHAR(10))&amp;$A91,AZ90)</f>
        <v/>
      </c>
      <c r="BA91" s="0" t="str">
        <f aca="false">IF(AND($B91="D08",$C91="G0"),BA90&amp;IF(BA90="","",CHAR(10))&amp;$A91,BA90)</f>
        <v/>
      </c>
      <c r="BB91" s="0" t="str">
        <f aca="false">IF(AND($B91="D08",$C91="G1"),BB90&amp;IF(BB90="","",CHAR(10))&amp;$A91,BB90)</f>
        <v/>
      </c>
      <c r="BC91" s="0" t="str">
        <f aca="false">IF(AND($B91="D08",$C91="G2"),BC90&amp;IF(BC90="","",CHAR(10))&amp;$A91,BC90)</f>
        <v>○ 045 人力與輪班模型</v>
      </c>
      <c r="BD91" s="0" t="str">
        <f aca="false">IF(AND($B91="D08",$C91="G3"),BD90&amp;IF(BD90="","",CHAR(10))&amp;$A91,BD90)</f>
        <v>◐ 046 職能矩陣與授權</v>
      </c>
      <c r="BE91" s="363" t="str">
        <f aca="false">IF(AND($B91="D08",$C91="G4"),BE90&amp;IF(BE90="","",CHAR(10))&amp;$A91,BE90)</f>
        <v>◐ 047 種子教師與技術移轉
◐ 049 變革管理與使用者採納</v>
      </c>
      <c r="BF91" s="0" t="str">
        <f aca="false">IF(AND($B91="D08",$C91="G5"),BF90&amp;IF(BF90="","",CHAR(10))&amp;$A91,BF90)</f>
        <v>◐ 048 模擬中心與開院演練</v>
      </c>
      <c r="BG91" s="0" t="str">
        <f aca="false">IF(AND($B91="D08",$C91="G6"),BG90&amp;IF(BG90="","",CHAR(10))&amp;$A91,BG90)</f>
        <v/>
      </c>
      <c r="BH91" s="0" t="str">
        <f aca="false">IF(AND($B91="D09",$C91="G0"),BH90&amp;IF(BH90="","",CHAR(10))&amp;$A91,BH90)</f>
        <v/>
      </c>
      <c r="BI91" s="0" t="str">
        <f aca="false">IF(AND($B91="D09",$C91="G1"),BI90&amp;IF(BI90="","",CHAR(10))&amp;$A91,BI90)</f>
        <v/>
      </c>
      <c r="BJ91" s="0" t="str">
        <f aca="false">IF(AND($B91="D09",$C91="G2"),BJ90&amp;IF(BJ90="","",CHAR(10))&amp;$A91,BJ90)</f>
        <v>◐ 050 整合採購與供應商治理</v>
      </c>
      <c r="BK91" s="0" t="str">
        <f aca="false">IF(AND($B91="D09",$C91="G3"),BK90&amp;IF(BK90="","",CHAR(10))&amp;$A91,BK90)</f>
        <v/>
      </c>
      <c r="BL91" s="363" t="str">
        <f aca="false">IF(AND($B91="D09",$C91="G4"),BL90&amp;IF(BL90="","",CHAR(10))&amp;$A91,BL90)</f>
        <v>◐ 051 藥品耗材與SPD物流
◐ 052 冷鏈與特殊物料
● 053 CMMS與設施維運</v>
      </c>
      <c r="BM91" s="0" t="str">
        <f aca="false">IF(AND($B91="D09",$C91="G5"),BM90&amp;IF(BM90="","",CHAR(10))&amp;$A91,BM90)</f>
        <v>◐ 054 在地備品、維修與汰換</v>
      </c>
      <c r="BN91" s="0" t="str">
        <f aca="false">IF(AND($B91="D09",$C91="G6"),BN90&amp;IF(BN90="","",CHAR(10))&amp;$A91,BN90)</f>
        <v/>
      </c>
      <c r="BO91" s="0" t="str">
        <f aca="false">IF(AND($B91="D10",$C91="G0"),BO90&amp;IF(BO90="","",CHAR(10))&amp;$A91,BO90)</f>
        <v/>
      </c>
      <c r="BP91" s="0" t="str">
        <f aca="false">IF(AND($B91="D10",$C91="G1"),BP90&amp;IF(BP90="","",CHAR(10))&amp;$A91,BP90)</f>
        <v>◐ 055 全生命週期成本模型</v>
      </c>
      <c r="BQ91" s="0" t="str">
        <f aca="false">IF(AND($B91="D10",$C91="G2"),BQ90&amp;IF(BQ90="","",CHAR(10))&amp;$A91,BQ90)</f>
        <v>◐ 059 PPP／JV財務與風險分配</v>
      </c>
      <c r="BR91" s="0" t="str">
        <f aca="false">IF(AND($B91="D10",$C91="G3"),BR90&amp;IF(BR90="","",CHAR(10))&amp;$A91,BR90)</f>
        <v/>
      </c>
      <c r="BS91" s="363" t="str">
        <f aca="false">IF(AND($B91="D10",$C91="G4"),BS90&amp;IF(BS90="","",CHAR(10))&amp;$A91,BS90)</f>
        <v>○ 056 健保申報與數位理賠
○ 057 現金流、支付與收入週期</v>
      </c>
      <c r="BT91" s="0" t="str">
        <f aca="false">IF(AND($B91="D10",$C91="G5"),BT90&amp;IF(BT90="","",CHAR(10))&amp;$A91,BT90)</f>
        <v>○ 058 國際醫療與高價值服務</v>
      </c>
      <c r="BU91" s="0" t="str">
        <f aca="false">IF(AND($B91="D10",$C91="G6"),BU90&amp;IF(BU90="","",CHAR(10))&amp;$A91,BU90)</f>
        <v>◐ 060 效益實現與複製藍圖</v>
      </c>
      <c r="BX91" s="0" t="str">
        <f aca="false">IF(AND(03_能力總表_Master!$A91&lt;&gt;"",LEFT(03_能力總表_Master!$H91,2)="缺口"),MAX($BX$4:BX90)+1,"")</f>
        <v/>
      </c>
      <c r="BY91" s="0" t="str">
        <f aca="false">IF(AND(03_能力總表_Master!$A91&lt;&gt;"",03_能力總表_Master!$J91=12_夥伴視角_PartnerView!$C$4),MAX($BY$4:BY90)+1,"")</f>
        <v/>
      </c>
      <c r="CC91" s="0" t="str">
        <f aca="false">IF(AND(03_能力總表_Master!$A91&lt;&gt;"",IFERROR(INDEX(16_能力商機矩陣_CapOppMap!$D91:$CO91,MATCH(LEFT(17_商機作戰卡_OppView!$C$4,6),16_能力商機矩陣_CapOppMap!$D$4:$CO$4,0)),"")="✓"),MAX($CC$4:CC90)+1,"")</f>
        <v/>
      </c>
    </row>
    <row r="92" customFormat="false" ht="95.5" hidden="false" customHeight="false" outlineLevel="0" collapsed="false">
      <c r="A92" s="0" t="str">
        <f aca="false">IF(03_能力總表_Master!$A92="","",IF(LEFT(03_能力總表_Master!$H92,2)="群晶","● ",IF(ISNUMBER(SEARCH("已確認",03_能力總表_Master!$H92)),"◆ ",IF(ISNUMBER(SEARCH("缺口",03_能力總表_Master!$H92)),"○ ","◐ ")))&amp;RIGHT(03_能力總表_Master!$A92,3)&amp;" "&amp;03_能力總表_Master!$E92)</f>
        <v/>
      </c>
      <c r="B92" s="0" t="str">
        <f aca="false">IF(03_能力總表_Master!$A92="","",LEFT(03_能力總表_Master!$B92,3))</f>
        <v/>
      </c>
      <c r="C92" s="0" t="str">
        <f aca="false">IF(03_能力總表_Master!$A92="","",03_能力總表_Master!$C92)</f>
        <v/>
      </c>
      <c r="D92" s="363" t="str">
        <f aca="false">IF(AND($B92="D01",$C92="G0"),D91&amp;IF(D91="","",CHAR(10))&amp;$A92,D91)</f>
        <v>◐ 001 政府授權與計畫章程
◐ 002 利害關係人與權力地圖
◐ 005 聯盟治理與利益衝突</v>
      </c>
      <c r="E92" s="363" t="str">
        <f aca="false">IF(AND($B92="D01",$C92="G1"),E91&amp;IF(E91="","",CHAR(10))&amp;$A92,E91)</f>
        <v>◐ 003 交易模式選擇
◐ 004 法規與執照路徑</v>
      </c>
      <c r="F92" s="0" t="str">
        <f aca="false">IF(AND($B92="D01",$C92="G2"),F91&amp;IF(F91="","",CHAR(10))&amp;$A92,F91)</f>
        <v>◐ 006 績效契約與變更控制</v>
      </c>
      <c r="G92" s="0" t="str">
        <f aca="false">IF(AND($B92="D01",$C92="G3"),G91&amp;IF(G91="","",CHAR(10))&amp;$A92,G91)</f>
        <v/>
      </c>
      <c r="H92" s="0" t="str">
        <f aca="false">IF(AND($B92="D01",$C92="G4"),H91&amp;IF(H91="","",CHAR(10))&amp;$A92,H91)</f>
        <v/>
      </c>
      <c r="I92" s="0" t="str">
        <f aca="false">IF(AND($B92="D01",$C92="G5"),I91&amp;IF(I91="","",CHAR(10))&amp;$A92,I91)</f>
        <v/>
      </c>
      <c r="J92" s="0" t="str">
        <f aca="false">IF(AND($B92="D01",$C92="G6"),J91&amp;IF(J91="","",CHAR(10))&amp;$A92,J91)</f>
        <v/>
      </c>
      <c r="K92" s="0" t="str">
        <f aca="false">IF(AND($B92="D02",$C92="G0"),K91&amp;IF(K91="","",CHAR(10))&amp;$A92,K91)</f>
        <v/>
      </c>
      <c r="L92" s="363" t="str">
        <f aca="false">IF(AND($B92="D02",$C92="G1"),L91&amp;IF(L91="","",CHAR(10))&amp;$A92,L91)</f>
        <v>◐ 007 人口需求與病例量預測
◐ 008 醫院定位與服務組合
◐ 009 重點專科優先化
◐ 010 病人流程與容量設計
◐ 011 轉診與區域照護網絡
◐ 012 臨床治理與責任架構</v>
      </c>
      <c r="M92" s="0" t="str">
        <f aca="false">IF(AND($B92="D02",$C92="G2"),M91&amp;IF(M91="","",CHAR(10))&amp;$A92,M91)</f>
        <v/>
      </c>
      <c r="N92" s="0" t="str">
        <f aca="false">IF(AND($B92="D02",$C92="G3"),N91&amp;IF(N91="","",CHAR(10))&amp;$A92,N91)</f>
        <v/>
      </c>
      <c r="O92" s="0" t="str">
        <f aca="false">IF(AND($B92="D02",$C92="G4"),O91&amp;IF(O91="","",CHAR(10))&amp;$A92,O91)</f>
        <v/>
      </c>
      <c r="P92" s="0" t="str">
        <f aca="false">IF(AND($B92="D02",$C92="G5"),P91&amp;IF(P91="","",CHAR(10))&amp;$A92,P91)</f>
        <v/>
      </c>
      <c r="Q92" s="0" t="str">
        <f aca="false">IF(AND($B92="D02",$C92="G6"),Q91&amp;IF(Q91="","",CHAR(10))&amp;$A92,Q91)</f>
        <v/>
      </c>
      <c r="R92" s="0" t="str">
        <f aca="false">IF(AND($B92="D03",$C92="G0"),R91&amp;IF(R91="","",CHAR(10))&amp;$A92,R91)</f>
        <v/>
      </c>
      <c r="S92" s="0" t="str">
        <f aca="false">IF(AND($B92="D03",$C92="G1"),S91&amp;IF(S91="","",CHAR(10))&amp;$A92,S91)</f>
        <v>◐ 013 場址與醫院總體規劃</v>
      </c>
      <c r="T92" s="363" t="str">
        <f aca="false">IF(AND($B92="D03",$C92="G2"),T91&amp;IF(T91="","",CHAR(10))&amp;$A92,T91)</f>
        <v>◐ 014 醫療建築功能計畫
◐ 015 感染控制與潔污動線
◐ 019 綠色與氣候韌性醫院</v>
      </c>
      <c r="U92" s="363" t="str">
        <f aca="false">IF(AND($B92="D03",$C92="G3"),U91&amp;IF(U91="","",CHAR(10))&amp;$A92,U91)</f>
        <v>● 016 電力、備援與微電網
◐ 017 醫療氣體與關鍵公用系統
◐ 018 醫療廢棄物與水資源</v>
      </c>
      <c r="V92" s="0" t="str">
        <f aca="false">IF(AND($B92="D03",$C92="G4"),V91&amp;IF(V91="","",CHAR(10))&amp;$A92,V91)</f>
        <v/>
      </c>
      <c r="W92" s="0" t="str">
        <f aca="false">IF(AND($B92="D03",$C92="G5"),W91&amp;IF(W91="","",CHAR(10))&amp;$A92,W91)</f>
        <v/>
      </c>
      <c r="X92" s="0" t="str">
        <f aca="false">IF(AND($B92="D03",$C92="G6"),X91&amp;IF(X91="","",CHAR(10))&amp;$A92,X91)</f>
        <v/>
      </c>
      <c r="Y92" s="0" t="str">
        <f aca="false">IF(AND($B92="D04",$C92="G0"),Y91&amp;IF(Y91="","",CHAR(10))&amp;$A92,Y91)</f>
        <v/>
      </c>
      <c r="Z92" s="0" t="str">
        <f aca="false">IF(AND($B92="D04",$C92="G1"),Z91&amp;IF(Z91="","",CHAR(10))&amp;$A92,Z91)</f>
        <v/>
      </c>
      <c r="AA92" s="0" t="str">
        <f aca="false">IF(AND($B92="D04",$C92="G2"),AA91&amp;IF(AA91="","",CHAR(10))&amp;$A92,AA91)</f>
        <v/>
      </c>
      <c r="AB92" s="0" t="str">
        <f aca="false">IF(AND($B92="D04",$C92="G3"),AB91&amp;IF(AB91="","",CHAR(10))&amp;$A92,AB91)</f>
        <v>● 020 IDC與邊緣運算底座</v>
      </c>
      <c r="AC92" s="363" t="str">
        <f aca="false">IF(AND($B92="D04",$C92="G4"),AC91&amp;IF(AC91="","",CHAR(10))&amp;$A92,AC91)</f>
        <v>● 021 有線無線網路與分區
◐ 022 資安營運與零信任
● 023 BMS與能源管理
● 024 RTLS與資產／人員定位
● 025 智慧病房、護理呼叫與感測
● 026 災難復原與營運持續</v>
      </c>
      <c r="AD92" s="0" t="str">
        <f aca="false">IF(AND($B92="D04",$C92="G5"),AD91&amp;IF(AD91="","",CHAR(10))&amp;$A92,AD91)</f>
        <v/>
      </c>
      <c r="AE92" s="0" t="str">
        <f aca="false">IF(AND($B92="D04",$C92="G6"),AE91&amp;IF(AE91="","",CHAR(10))&amp;$A92,AE91)</f>
        <v/>
      </c>
      <c r="AF92" s="0" t="str">
        <f aca="false">IF(AND($B92="D05",$C92="G0"),AF91&amp;IF(AF91="","",CHAR(10))&amp;$A92,AF91)</f>
        <v/>
      </c>
      <c r="AG92" s="0" t="str">
        <f aca="false">IF(AND($B92="D05",$C92="G1"),AG91&amp;IF(AG91="","",CHAR(10))&amp;$A92,AG91)</f>
        <v/>
      </c>
      <c r="AH92" s="0" t="str">
        <f aca="false">IF(AND($B92="D05",$C92="G2"),AH91&amp;IF(AH91="","",CHAR(10))&amp;$A92,AH91)</f>
        <v>◐ 027 醫材需求與設備計畫</v>
      </c>
      <c r="AI92" s="0" t="str">
        <f aca="false">IF(AND($B92="D05",$C92="G3"),AI91&amp;IF(AI91="","",CHAR(10))&amp;$A92,AI91)</f>
        <v/>
      </c>
      <c r="AJ92" s="363" t="str">
        <f aca="false">IF(AND($B92="D05",$C92="G4"),AJ91&amp;IF(AJ91="","",CHAR(10))&amp;$A92,AJ91)</f>
        <v>○ 028 影像設備、PACS與報告流程
○ 029 實驗室自動化與LIS
○ 030 手術室與重症整合
◐ 031 醫材介接與裝置身分
◐ 032 醫療工程與設備生命週期</v>
      </c>
      <c r="AK92" s="0" t="str">
        <f aca="false">IF(AND($B92="D05",$C92="G5"),AK91&amp;IF(AK91="","",CHAR(10))&amp;$A92,AK91)</f>
        <v/>
      </c>
      <c r="AL92" s="0" t="str">
        <f aca="false">IF(AND($B92="D05",$C92="G6"),AL91&amp;IF(AL91="","",CHAR(10))&amp;$A92,AL91)</f>
        <v/>
      </c>
      <c r="AM92" s="0" t="str">
        <f aca="false">IF(AND($B92="D06",$C92="G0"),AM91&amp;IF(AM91="","",CHAR(10))&amp;$A92,AM91)</f>
        <v/>
      </c>
      <c r="AN92" s="0" t="str">
        <f aca="false">IF(AND($B92="D06",$C92="G1"),AN91&amp;IF(AN91="","",CHAR(10))&amp;$A92,AN91)</f>
        <v/>
      </c>
      <c r="AO92" s="0" t="str">
        <f aca="false">IF(AND($B92="D06",$C92="G2"),AO91&amp;IF(AO91="","",CHAR(10))&amp;$A92,AO91)</f>
        <v/>
      </c>
      <c r="AP92" s="363" t="str">
        <f aca="false">IF(AND($B92="D06",$C92="G3"),AP91&amp;IF(AP91="","",CHAR(10))&amp;$A92,AP91)</f>
        <v>◐ 033 HIS／EMR核心平台
◐ 036 臨床術語與主資料治理</v>
      </c>
      <c r="AQ92" s="363" t="str">
        <f aca="false">IF(AND($B92="D06",$C92="G4"),AQ91&amp;IF(AQ91="","",CHAR(10))&amp;$A92,AQ91)</f>
        <v>◐ 034 FHIR介接與API管理
○ 035 主病人索引與身分整合
◐ 037 電子醫囑、用藥與決策支援
◐ 038 資料平台、BI與營運指揮</v>
      </c>
      <c r="AR92" s="0" t="str">
        <f aca="false">IF(AND($B92="D06",$C92="G5"),AR91&amp;IF(AR91="","",CHAR(10))&amp;$A92,AR91)</f>
        <v>○ 039 病人入口、行動服務與VNeID準備</v>
      </c>
      <c r="AS92" s="0" t="str">
        <f aca="false">IF(AND($B92="D06",$C92="G6"),AS91&amp;IF(AS91="","",CHAR(10))&amp;$A92,AS91)</f>
        <v/>
      </c>
      <c r="AT92" s="0" t="str">
        <f aca="false">IF(AND($B92="D07",$C92="G0"),AT91&amp;IF(AT91="","",CHAR(10))&amp;$A92,AT91)</f>
        <v/>
      </c>
      <c r="AU92" s="0" t="str">
        <f aca="false">IF(AND($B92="D07",$C92="G1"),AU91&amp;IF(AU91="","",CHAR(10))&amp;$A92,AU91)</f>
        <v/>
      </c>
      <c r="AV92" s="0" t="str">
        <f aca="false">IF(AND($B92="D07",$C92="G2"),AV91&amp;IF(AV91="","",CHAR(10))&amp;$A92,AV91)</f>
        <v>◐ 040 品質管理與JCI路線圖</v>
      </c>
      <c r="AW92" s="363" t="str">
        <f aca="false">IF(AND($B92="D07",$C92="G3"),AW91&amp;IF(AW91="","",CHAR(10))&amp;$A92,AW91)</f>
        <v>◐ 041 感染預防與控制制度
◐ 043 事件通報與根因改善</v>
      </c>
      <c r="AX92" s="0" t="str">
        <f aca="false">IF(AND($B92="D07",$C92="G4"),AX91&amp;IF(AX91="","",CHAR(10))&amp;$A92,AX91)</f>
        <v>◐ 042 用藥安全閉環</v>
      </c>
      <c r="AY92" s="0" t="str">
        <f aca="false">IF(AND($B92="D07",$C92="G5"),AY91&amp;IF(AY91="","",CHAR(10))&amp;$A92,AY91)</f>
        <v>◐ 044 開院臨床安全驗證</v>
      </c>
      <c r="AZ92" s="0" t="str">
        <f aca="false">IF(AND($B92="D07",$C92="G6"),AZ91&amp;IF(AZ91="","",CHAR(10))&amp;$A92,AZ91)</f>
        <v/>
      </c>
      <c r="BA92" s="0" t="str">
        <f aca="false">IF(AND($B92="D08",$C92="G0"),BA91&amp;IF(BA91="","",CHAR(10))&amp;$A92,BA91)</f>
        <v/>
      </c>
      <c r="BB92" s="0" t="str">
        <f aca="false">IF(AND($B92="D08",$C92="G1"),BB91&amp;IF(BB91="","",CHAR(10))&amp;$A92,BB91)</f>
        <v/>
      </c>
      <c r="BC92" s="0" t="str">
        <f aca="false">IF(AND($B92="D08",$C92="G2"),BC91&amp;IF(BC91="","",CHAR(10))&amp;$A92,BC91)</f>
        <v>○ 045 人力與輪班模型</v>
      </c>
      <c r="BD92" s="0" t="str">
        <f aca="false">IF(AND($B92="D08",$C92="G3"),BD91&amp;IF(BD91="","",CHAR(10))&amp;$A92,BD91)</f>
        <v>◐ 046 職能矩陣與授權</v>
      </c>
      <c r="BE92" s="363" t="str">
        <f aca="false">IF(AND($B92="D08",$C92="G4"),BE91&amp;IF(BE91="","",CHAR(10))&amp;$A92,BE91)</f>
        <v>◐ 047 種子教師與技術移轉
◐ 049 變革管理與使用者採納</v>
      </c>
      <c r="BF92" s="0" t="str">
        <f aca="false">IF(AND($B92="D08",$C92="G5"),BF91&amp;IF(BF91="","",CHAR(10))&amp;$A92,BF91)</f>
        <v>◐ 048 模擬中心與開院演練</v>
      </c>
      <c r="BG92" s="0" t="str">
        <f aca="false">IF(AND($B92="D08",$C92="G6"),BG91&amp;IF(BG91="","",CHAR(10))&amp;$A92,BG91)</f>
        <v/>
      </c>
      <c r="BH92" s="0" t="str">
        <f aca="false">IF(AND($B92="D09",$C92="G0"),BH91&amp;IF(BH91="","",CHAR(10))&amp;$A92,BH91)</f>
        <v/>
      </c>
      <c r="BI92" s="0" t="str">
        <f aca="false">IF(AND($B92="D09",$C92="G1"),BI91&amp;IF(BI91="","",CHAR(10))&amp;$A92,BI91)</f>
        <v/>
      </c>
      <c r="BJ92" s="0" t="str">
        <f aca="false">IF(AND($B92="D09",$C92="G2"),BJ91&amp;IF(BJ91="","",CHAR(10))&amp;$A92,BJ91)</f>
        <v>◐ 050 整合採購與供應商治理</v>
      </c>
      <c r="BK92" s="0" t="str">
        <f aca="false">IF(AND($B92="D09",$C92="G3"),BK91&amp;IF(BK91="","",CHAR(10))&amp;$A92,BK91)</f>
        <v/>
      </c>
      <c r="BL92" s="363" t="str">
        <f aca="false">IF(AND($B92="D09",$C92="G4"),BL91&amp;IF(BL91="","",CHAR(10))&amp;$A92,BL91)</f>
        <v>◐ 051 藥品耗材與SPD物流
◐ 052 冷鏈與特殊物料
● 053 CMMS與設施維運</v>
      </c>
      <c r="BM92" s="0" t="str">
        <f aca="false">IF(AND($B92="D09",$C92="G5"),BM91&amp;IF(BM91="","",CHAR(10))&amp;$A92,BM91)</f>
        <v>◐ 054 在地備品、維修與汰換</v>
      </c>
      <c r="BN92" s="0" t="str">
        <f aca="false">IF(AND($B92="D09",$C92="G6"),BN91&amp;IF(BN91="","",CHAR(10))&amp;$A92,BN91)</f>
        <v/>
      </c>
      <c r="BO92" s="0" t="str">
        <f aca="false">IF(AND($B92="D10",$C92="G0"),BO91&amp;IF(BO91="","",CHAR(10))&amp;$A92,BO91)</f>
        <v/>
      </c>
      <c r="BP92" s="0" t="str">
        <f aca="false">IF(AND($B92="D10",$C92="G1"),BP91&amp;IF(BP91="","",CHAR(10))&amp;$A92,BP91)</f>
        <v>◐ 055 全生命週期成本模型</v>
      </c>
      <c r="BQ92" s="0" t="str">
        <f aca="false">IF(AND($B92="D10",$C92="G2"),BQ91&amp;IF(BQ91="","",CHAR(10))&amp;$A92,BQ91)</f>
        <v>◐ 059 PPP／JV財務與風險分配</v>
      </c>
      <c r="BR92" s="0" t="str">
        <f aca="false">IF(AND($B92="D10",$C92="G3"),BR91&amp;IF(BR91="","",CHAR(10))&amp;$A92,BR91)</f>
        <v/>
      </c>
      <c r="BS92" s="363" t="str">
        <f aca="false">IF(AND($B92="D10",$C92="G4"),BS91&amp;IF(BS91="","",CHAR(10))&amp;$A92,BS91)</f>
        <v>○ 056 健保申報與數位理賠
○ 057 現金流、支付與收入週期</v>
      </c>
      <c r="BT92" s="0" t="str">
        <f aca="false">IF(AND($B92="D10",$C92="G5"),BT91&amp;IF(BT91="","",CHAR(10))&amp;$A92,BT91)</f>
        <v>○ 058 國際醫療與高價值服務</v>
      </c>
      <c r="BU92" s="0" t="str">
        <f aca="false">IF(AND($B92="D10",$C92="G6"),BU91&amp;IF(BU91="","",CHAR(10))&amp;$A92,BU91)</f>
        <v>◐ 060 效益實現與複製藍圖</v>
      </c>
      <c r="BX92" s="0" t="str">
        <f aca="false">IF(AND(03_能力總表_Master!$A92&lt;&gt;"",LEFT(03_能力總表_Master!$H92,2)="缺口"),MAX($BX$4:BX91)+1,"")</f>
        <v/>
      </c>
      <c r="BY92" s="0" t="str">
        <f aca="false">IF(AND(03_能力總表_Master!$A92&lt;&gt;"",03_能力總表_Master!$J92=12_夥伴視角_PartnerView!$C$4),MAX($BY$4:BY91)+1,"")</f>
        <v/>
      </c>
      <c r="CC92" s="0" t="str">
        <f aca="false">IF(AND(03_能力總表_Master!$A92&lt;&gt;"",IFERROR(INDEX(16_能力商機矩陣_CapOppMap!$D92:$CO92,MATCH(LEFT(17_商機作戰卡_OppView!$C$4,6),16_能力商機矩陣_CapOppMap!$D$4:$CO$4,0)),"")="✓"),MAX($CC$4:CC91)+1,"")</f>
        <v/>
      </c>
    </row>
    <row r="93" customFormat="false" ht="95.5" hidden="false" customHeight="false" outlineLevel="0" collapsed="false">
      <c r="A93" s="0" t="str">
        <f aca="false">IF(03_能力總表_Master!$A93="","",IF(LEFT(03_能力總表_Master!$H93,2)="群晶","● ",IF(ISNUMBER(SEARCH("已確認",03_能力總表_Master!$H93)),"◆ ",IF(ISNUMBER(SEARCH("缺口",03_能力總表_Master!$H93)),"○ ","◐ ")))&amp;RIGHT(03_能力總表_Master!$A93,3)&amp;" "&amp;03_能力總表_Master!$E93)</f>
        <v/>
      </c>
      <c r="B93" s="0" t="str">
        <f aca="false">IF(03_能力總表_Master!$A93="","",LEFT(03_能力總表_Master!$B93,3))</f>
        <v/>
      </c>
      <c r="C93" s="0" t="str">
        <f aca="false">IF(03_能力總表_Master!$A93="","",03_能力總表_Master!$C93)</f>
        <v/>
      </c>
      <c r="D93" s="363" t="str">
        <f aca="false">IF(AND($B93="D01",$C93="G0"),D92&amp;IF(D92="","",CHAR(10))&amp;$A93,D92)</f>
        <v>◐ 001 政府授權與計畫章程
◐ 002 利害關係人與權力地圖
◐ 005 聯盟治理與利益衝突</v>
      </c>
      <c r="E93" s="363" t="str">
        <f aca="false">IF(AND($B93="D01",$C93="G1"),E92&amp;IF(E92="","",CHAR(10))&amp;$A93,E92)</f>
        <v>◐ 003 交易模式選擇
◐ 004 法規與執照路徑</v>
      </c>
      <c r="F93" s="0" t="str">
        <f aca="false">IF(AND($B93="D01",$C93="G2"),F92&amp;IF(F92="","",CHAR(10))&amp;$A93,F92)</f>
        <v>◐ 006 績效契約與變更控制</v>
      </c>
      <c r="G93" s="0" t="str">
        <f aca="false">IF(AND($B93="D01",$C93="G3"),G92&amp;IF(G92="","",CHAR(10))&amp;$A93,G92)</f>
        <v/>
      </c>
      <c r="H93" s="0" t="str">
        <f aca="false">IF(AND($B93="D01",$C93="G4"),H92&amp;IF(H92="","",CHAR(10))&amp;$A93,H92)</f>
        <v/>
      </c>
      <c r="I93" s="0" t="str">
        <f aca="false">IF(AND($B93="D01",$C93="G5"),I92&amp;IF(I92="","",CHAR(10))&amp;$A93,I92)</f>
        <v/>
      </c>
      <c r="J93" s="0" t="str">
        <f aca="false">IF(AND($B93="D01",$C93="G6"),J92&amp;IF(J92="","",CHAR(10))&amp;$A93,J92)</f>
        <v/>
      </c>
      <c r="K93" s="0" t="str">
        <f aca="false">IF(AND($B93="D02",$C93="G0"),K92&amp;IF(K92="","",CHAR(10))&amp;$A93,K92)</f>
        <v/>
      </c>
      <c r="L93" s="363" t="str">
        <f aca="false">IF(AND($B93="D02",$C93="G1"),L92&amp;IF(L92="","",CHAR(10))&amp;$A93,L92)</f>
        <v>◐ 007 人口需求與病例量預測
◐ 008 醫院定位與服務組合
◐ 009 重點專科優先化
◐ 010 病人流程與容量設計
◐ 011 轉診與區域照護網絡
◐ 012 臨床治理與責任架構</v>
      </c>
      <c r="M93" s="0" t="str">
        <f aca="false">IF(AND($B93="D02",$C93="G2"),M92&amp;IF(M92="","",CHAR(10))&amp;$A93,M92)</f>
        <v/>
      </c>
      <c r="N93" s="0" t="str">
        <f aca="false">IF(AND($B93="D02",$C93="G3"),N92&amp;IF(N92="","",CHAR(10))&amp;$A93,N92)</f>
        <v/>
      </c>
      <c r="O93" s="0" t="str">
        <f aca="false">IF(AND($B93="D02",$C93="G4"),O92&amp;IF(O92="","",CHAR(10))&amp;$A93,O92)</f>
        <v/>
      </c>
      <c r="P93" s="0" t="str">
        <f aca="false">IF(AND($B93="D02",$C93="G5"),P92&amp;IF(P92="","",CHAR(10))&amp;$A93,P92)</f>
        <v/>
      </c>
      <c r="Q93" s="0" t="str">
        <f aca="false">IF(AND($B93="D02",$C93="G6"),Q92&amp;IF(Q92="","",CHAR(10))&amp;$A93,Q92)</f>
        <v/>
      </c>
      <c r="R93" s="0" t="str">
        <f aca="false">IF(AND($B93="D03",$C93="G0"),R92&amp;IF(R92="","",CHAR(10))&amp;$A93,R92)</f>
        <v/>
      </c>
      <c r="S93" s="0" t="str">
        <f aca="false">IF(AND($B93="D03",$C93="G1"),S92&amp;IF(S92="","",CHAR(10))&amp;$A93,S92)</f>
        <v>◐ 013 場址與醫院總體規劃</v>
      </c>
      <c r="T93" s="363" t="str">
        <f aca="false">IF(AND($B93="D03",$C93="G2"),T92&amp;IF(T92="","",CHAR(10))&amp;$A93,T92)</f>
        <v>◐ 014 醫療建築功能計畫
◐ 015 感染控制與潔污動線
◐ 019 綠色與氣候韌性醫院</v>
      </c>
      <c r="U93" s="363" t="str">
        <f aca="false">IF(AND($B93="D03",$C93="G3"),U92&amp;IF(U92="","",CHAR(10))&amp;$A93,U92)</f>
        <v>● 016 電力、備援與微電網
◐ 017 醫療氣體與關鍵公用系統
◐ 018 醫療廢棄物與水資源</v>
      </c>
      <c r="V93" s="0" t="str">
        <f aca="false">IF(AND($B93="D03",$C93="G4"),V92&amp;IF(V92="","",CHAR(10))&amp;$A93,V92)</f>
        <v/>
      </c>
      <c r="W93" s="0" t="str">
        <f aca="false">IF(AND($B93="D03",$C93="G5"),W92&amp;IF(W92="","",CHAR(10))&amp;$A93,W92)</f>
        <v/>
      </c>
      <c r="X93" s="0" t="str">
        <f aca="false">IF(AND($B93="D03",$C93="G6"),X92&amp;IF(X92="","",CHAR(10))&amp;$A93,X92)</f>
        <v/>
      </c>
      <c r="Y93" s="0" t="str">
        <f aca="false">IF(AND($B93="D04",$C93="G0"),Y92&amp;IF(Y92="","",CHAR(10))&amp;$A93,Y92)</f>
        <v/>
      </c>
      <c r="Z93" s="0" t="str">
        <f aca="false">IF(AND($B93="D04",$C93="G1"),Z92&amp;IF(Z92="","",CHAR(10))&amp;$A93,Z92)</f>
        <v/>
      </c>
      <c r="AA93" s="0" t="str">
        <f aca="false">IF(AND($B93="D04",$C93="G2"),AA92&amp;IF(AA92="","",CHAR(10))&amp;$A93,AA92)</f>
        <v/>
      </c>
      <c r="AB93" s="0" t="str">
        <f aca="false">IF(AND($B93="D04",$C93="G3"),AB92&amp;IF(AB92="","",CHAR(10))&amp;$A93,AB92)</f>
        <v>● 020 IDC與邊緣運算底座</v>
      </c>
      <c r="AC93" s="363" t="str">
        <f aca="false">IF(AND($B93="D04",$C93="G4"),AC92&amp;IF(AC92="","",CHAR(10))&amp;$A93,AC92)</f>
        <v>● 021 有線無線網路與分區
◐ 022 資安營運與零信任
● 023 BMS與能源管理
● 024 RTLS與資產／人員定位
● 025 智慧病房、護理呼叫與感測
● 026 災難復原與營運持續</v>
      </c>
      <c r="AD93" s="0" t="str">
        <f aca="false">IF(AND($B93="D04",$C93="G5"),AD92&amp;IF(AD92="","",CHAR(10))&amp;$A93,AD92)</f>
        <v/>
      </c>
      <c r="AE93" s="0" t="str">
        <f aca="false">IF(AND($B93="D04",$C93="G6"),AE92&amp;IF(AE92="","",CHAR(10))&amp;$A93,AE92)</f>
        <v/>
      </c>
      <c r="AF93" s="0" t="str">
        <f aca="false">IF(AND($B93="D05",$C93="G0"),AF92&amp;IF(AF92="","",CHAR(10))&amp;$A93,AF92)</f>
        <v/>
      </c>
      <c r="AG93" s="0" t="str">
        <f aca="false">IF(AND($B93="D05",$C93="G1"),AG92&amp;IF(AG92="","",CHAR(10))&amp;$A93,AG92)</f>
        <v/>
      </c>
      <c r="AH93" s="0" t="str">
        <f aca="false">IF(AND($B93="D05",$C93="G2"),AH92&amp;IF(AH92="","",CHAR(10))&amp;$A93,AH92)</f>
        <v>◐ 027 醫材需求與設備計畫</v>
      </c>
      <c r="AI93" s="0" t="str">
        <f aca="false">IF(AND($B93="D05",$C93="G3"),AI92&amp;IF(AI92="","",CHAR(10))&amp;$A93,AI92)</f>
        <v/>
      </c>
      <c r="AJ93" s="363" t="str">
        <f aca="false">IF(AND($B93="D05",$C93="G4"),AJ92&amp;IF(AJ92="","",CHAR(10))&amp;$A93,AJ92)</f>
        <v>○ 028 影像設備、PACS與報告流程
○ 029 實驗室自動化與LIS
○ 030 手術室與重症整合
◐ 031 醫材介接與裝置身分
◐ 032 醫療工程與設備生命週期</v>
      </c>
      <c r="AK93" s="0" t="str">
        <f aca="false">IF(AND($B93="D05",$C93="G5"),AK92&amp;IF(AK92="","",CHAR(10))&amp;$A93,AK92)</f>
        <v/>
      </c>
      <c r="AL93" s="0" t="str">
        <f aca="false">IF(AND($B93="D05",$C93="G6"),AL92&amp;IF(AL92="","",CHAR(10))&amp;$A93,AL92)</f>
        <v/>
      </c>
      <c r="AM93" s="0" t="str">
        <f aca="false">IF(AND($B93="D06",$C93="G0"),AM92&amp;IF(AM92="","",CHAR(10))&amp;$A93,AM92)</f>
        <v/>
      </c>
      <c r="AN93" s="0" t="str">
        <f aca="false">IF(AND($B93="D06",$C93="G1"),AN92&amp;IF(AN92="","",CHAR(10))&amp;$A93,AN92)</f>
        <v/>
      </c>
      <c r="AO93" s="0" t="str">
        <f aca="false">IF(AND($B93="D06",$C93="G2"),AO92&amp;IF(AO92="","",CHAR(10))&amp;$A93,AO92)</f>
        <v/>
      </c>
      <c r="AP93" s="363" t="str">
        <f aca="false">IF(AND($B93="D06",$C93="G3"),AP92&amp;IF(AP92="","",CHAR(10))&amp;$A93,AP92)</f>
        <v>◐ 033 HIS／EMR核心平台
◐ 036 臨床術語與主資料治理</v>
      </c>
      <c r="AQ93" s="363" t="str">
        <f aca="false">IF(AND($B93="D06",$C93="G4"),AQ92&amp;IF(AQ92="","",CHAR(10))&amp;$A93,AQ92)</f>
        <v>◐ 034 FHIR介接與API管理
○ 035 主病人索引與身分整合
◐ 037 電子醫囑、用藥與決策支援
◐ 038 資料平台、BI與營運指揮</v>
      </c>
      <c r="AR93" s="0" t="str">
        <f aca="false">IF(AND($B93="D06",$C93="G5"),AR92&amp;IF(AR92="","",CHAR(10))&amp;$A93,AR92)</f>
        <v>○ 039 病人入口、行動服務與VNeID準備</v>
      </c>
      <c r="AS93" s="0" t="str">
        <f aca="false">IF(AND($B93="D06",$C93="G6"),AS92&amp;IF(AS92="","",CHAR(10))&amp;$A93,AS92)</f>
        <v/>
      </c>
      <c r="AT93" s="0" t="str">
        <f aca="false">IF(AND($B93="D07",$C93="G0"),AT92&amp;IF(AT92="","",CHAR(10))&amp;$A93,AT92)</f>
        <v/>
      </c>
      <c r="AU93" s="0" t="str">
        <f aca="false">IF(AND($B93="D07",$C93="G1"),AU92&amp;IF(AU92="","",CHAR(10))&amp;$A93,AU92)</f>
        <v/>
      </c>
      <c r="AV93" s="0" t="str">
        <f aca="false">IF(AND($B93="D07",$C93="G2"),AV92&amp;IF(AV92="","",CHAR(10))&amp;$A93,AV92)</f>
        <v>◐ 040 品質管理與JCI路線圖</v>
      </c>
      <c r="AW93" s="363" t="str">
        <f aca="false">IF(AND($B93="D07",$C93="G3"),AW92&amp;IF(AW92="","",CHAR(10))&amp;$A93,AW92)</f>
        <v>◐ 041 感染預防與控制制度
◐ 043 事件通報與根因改善</v>
      </c>
      <c r="AX93" s="0" t="str">
        <f aca="false">IF(AND($B93="D07",$C93="G4"),AX92&amp;IF(AX92="","",CHAR(10))&amp;$A93,AX92)</f>
        <v>◐ 042 用藥安全閉環</v>
      </c>
      <c r="AY93" s="0" t="str">
        <f aca="false">IF(AND($B93="D07",$C93="G5"),AY92&amp;IF(AY92="","",CHAR(10))&amp;$A93,AY92)</f>
        <v>◐ 044 開院臨床安全驗證</v>
      </c>
      <c r="AZ93" s="0" t="str">
        <f aca="false">IF(AND($B93="D07",$C93="G6"),AZ92&amp;IF(AZ92="","",CHAR(10))&amp;$A93,AZ92)</f>
        <v/>
      </c>
      <c r="BA93" s="0" t="str">
        <f aca="false">IF(AND($B93="D08",$C93="G0"),BA92&amp;IF(BA92="","",CHAR(10))&amp;$A93,BA92)</f>
        <v/>
      </c>
      <c r="BB93" s="0" t="str">
        <f aca="false">IF(AND($B93="D08",$C93="G1"),BB92&amp;IF(BB92="","",CHAR(10))&amp;$A93,BB92)</f>
        <v/>
      </c>
      <c r="BC93" s="0" t="str">
        <f aca="false">IF(AND($B93="D08",$C93="G2"),BC92&amp;IF(BC92="","",CHAR(10))&amp;$A93,BC92)</f>
        <v>○ 045 人力與輪班模型</v>
      </c>
      <c r="BD93" s="0" t="str">
        <f aca="false">IF(AND($B93="D08",$C93="G3"),BD92&amp;IF(BD92="","",CHAR(10))&amp;$A93,BD92)</f>
        <v>◐ 046 職能矩陣與授權</v>
      </c>
      <c r="BE93" s="363" t="str">
        <f aca="false">IF(AND($B93="D08",$C93="G4"),BE92&amp;IF(BE92="","",CHAR(10))&amp;$A93,BE92)</f>
        <v>◐ 047 種子教師與技術移轉
◐ 049 變革管理與使用者採納</v>
      </c>
      <c r="BF93" s="0" t="str">
        <f aca="false">IF(AND($B93="D08",$C93="G5"),BF92&amp;IF(BF92="","",CHAR(10))&amp;$A93,BF92)</f>
        <v>◐ 048 模擬中心與開院演練</v>
      </c>
      <c r="BG93" s="0" t="str">
        <f aca="false">IF(AND($B93="D08",$C93="G6"),BG92&amp;IF(BG92="","",CHAR(10))&amp;$A93,BG92)</f>
        <v/>
      </c>
      <c r="BH93" s="0" t="str">
        <f aca="false">IF(AND($B93="D09",$C93="G0"),BH92&amp;IF(BH92="","",CHAR(10))&amp;$A93,BH92)</f>
        <v/>
      </c>
      <c r="BI93" s="0" t="str">
        <f aca="false">IF(AND($B93="D09",$C93="G1"),BI92&amp;IF(BI92="","",CHAR(10))&amp;$A93,BI92)</f>
        <v/>
      </c>
      <c r="BJ93" s="0" t="str">
        <f aca="false">IF(AND($B93="D09",$C93="G2"),BJ92&amp;IF(BJ92="","",CHAR(10))&amp;$A93,BJ92)</f>
        <v>◐ 050 整合採購與供應商治理</v>
      </c>
      <c r="BK93" s="0" t="str">
        <f aca="false">IF(AND($B93="D09",$C93="G3"),BK92&amp;IF(BK92="","",CHAR(10))&amp;$A93,BK92)</f>
        <v/>
      </c>
      <c r="BL93" s="363" t="str">
        <f aca="false">IF(AND($B93="D09",$C93="G4"),BL92&amp;IF(BL92="","",CHAR(10))&amp;$A93,BL92)</f>
        <v>◐ 051 藥品耗材與SPD物流
◐ 052 冷鏈與特殊物料
● 053 CMMS與設施維運</v>
      </c>
      <c r="BM93" s="0" t="str">
        <f aca="false">IF(AND($B93="D09",$C93="G5"),BM92&amp;IF(BM92="","",CHAR(10))&amp;$A93,BM92)</f>
        <v>◐ 054 在地備品、維修與汰換</v>
      </c>
      <c r="BN93" s="0" t="str">
        <f aca="false">IF(AND($B93="D09",$C93="G6"),BN92&amp;IF(BN92="","",CHAR(10))&amp;$A93,BN92)</f>
        <v/>
      </c>
      <c r="BO93" s="0" t="str">
        <f aca="false">IF(AND($B93="D10",$C93="G0"),BO92&amp;IF(BO92="","",CHAR(10))&amp;$A93,BO92)</f>
        <v/>
      </c>
      <c r="BP93" s="0" t="str">
        <f aca="false">IF(AND($B93="D10",$C93="G1"),BP92&amp;IF(BP92="","",CHAR(10))&amp;$A93,BP92)</f>
        <v>◐ 055 全生命週期成本模型</v>
      </c>
      <c r="BQ93" s="0" t="str">
        <f aca="false">IF(AND($B93="D10",$C93="G2"),BQ92&amp;IF(BQ92="","",CHAR(10))&amp;$A93,BQ92)</f>
        <v>◐ 059 PPP／JV財務與風險分配</v>
      </c>
      <c r="BR93" s="0" t="str">
        <f aca="false">IF(AND($B93="D10",$C93="G3"),BR92&amp;IF(BR92="","",CHAR(10))&amp;$A93,BR92)</f>
        <v/>
      </c>
      <c r="BS93" s="363" t="str">
        <f aca="false">IF(AND($B93="D10",$C93="G4"),BS92&amp;IF(BS92="","",CHAR(10))&amp;$A93,BS92)</f>
        <v>○ 056 健保申報與數位理賠
○ 057 現金流、支付與收入週期</v>
      </c>
      <c r="BT93" s="0" t="str">
        <f aca="false">IF(AND($B93="D10",$C93="G5"),BT92&amp;IF(BT92="","",CHAR(10))&amp;$A93,BT92)</f>
        <v>○ 058 國際醫療與高價值服務</v>
      </c>
      <c r="BU93" s="0" t="str">
        <f aca="false">IF(AND($B93="D10",$C93="G6"),BU92&amp;IF(BU92="","",CHAR(10))&amp;$A93,BU92)</f>
        <v>◐ 060 效益實現與複製藍圖</v>
      </c>
      <c r="BX93" s="0" t="str">
        <f aca="false">IF(AND(03_能力總表_Master!$A93&lt;&gt;"",LEFT(03_能力總表_Master!$H93,2)="缺口"),MAX($BX$4:BX92)+1,"")</f>
        <v/>
      </c>
      <c r="BY93" s="0" t="str">
        <f aca="false">IF(AND(03_能力總表_Master!$A93&lt;&gt;"",03_能力總表_Master!$J93=12_夥伴視角_PartnerView!$C$4),MAX($BY$4:BY92)+1,"")</f>
        <v/>
      </c>
      <c r="CC93" s="0" t="str">
        <f aca="false">IF(AND(03_能力總表_Master!$A93&lt;&gt;"",IFERROR(INDEX(16_能力商機矩陣_CapOppMap!$D93:$CO93,MATCH(LEFT(17_商機作戰卡_OppView!$C$4,6),16_能力商機矩陣_CapOppMap!$D$4:$CO$4,0)),"")="✓"),MAX($CC$4:CC92)+1,"")</f>
        <v/>
      </c>
    </row>
    <row r="94" customFormat="false" ht="95.5" hidden="false" customHeight="false" outlineLevel="0" collapsed="false">
      <c r="A94" s="0" t="str">
        <f aca="false">IF(03_能力總表_Master!$A94="","",IF(LEFT(03_能力總表_Master!$H94,2)="群晶","● ",IF(ISNUMBER(SEARCH("已確認",03_能力總表_Master!$H94)),"◆ ",IF(ISNUMBER(SEARCH("缺口",03_能力總表_Master!$H94)),"○ ","◐ ")))&amp;RIGHT(03_能力總表_Master!$A94,3)&amp;" "&amp;03_能力總表_Master!$E94)</f>
        <v/>
      </c>
      <c r="B94" s="0" t="str">
        <f aca="false">IF(03_能力總表_Master!$A94="","",LEFT(03_能力總表_Master!$B94,3))</f>
        <v/>
      </c>
      <c r="C94" s="0" t="str">
        <f aca="false">IF(03_能力總表_Master!$A94="","",03_能力總表_Master!$C94)</f>
        <v/>
      </c>
      <c r="D94" s="363" t="str">
        <f aca="false">IF(AND($B94="D01",$C94="G0"),D93&amp;IF(D93="","",CHAR(10))&amp;$A94,D93)</f>
        <v>◐ 001 政府授權與計畫章程
◐ 002 利害關係人與權力地圖
◐ 005 聯盟治理與利益衝突</v>
      </c>
      <c r="E94" s="363" t="str">
        <f aca="false">IF(AND($B94="D01",$C94="G1"),E93&amp;IF(E93="","",CHAR(10))&amp;$A94,E93)</f>
        <v>◐ 003 交易模式選擇
◐ 004 法規與執照路徑</v>
      </c>
      <c r="F94" s="0" t="str">
        <f aca="false">IF(AND($B94="D01",$C94="G2"),F93&amp;IF(F93="","",CHAR(10))&amp;$A94,F93)</f>
        <v>◐ 006 績效契約與變更控制</v>
      </c>
      <c r="G94" s="0" t="str">
        <f aca="false">IF(AND($B94="D01",$C94="G3"),G93&amp;IF(G93="","",CHAR(10))&amp;$A94,G93)</f>
        <v/>
      </c>
      <c r="H94" s="0" t="str">
        <f aca="false">IF(AND($B94="D01",$C94="G4"),H93&amp;IF(H93="","",CHAR(10))&amp;$A94,H93)</f>
        <v/>
      </c>
      <c r="I94" s="0" t="str">
        <f aca="false">IF(AND($B94="D01",$C94="G5"),I93&amp;IF(I93="","",CHAR(10))&amp;$A94,I93)</f>
        <v/>
      </c>
      <c r="J94" s="0" t="str">
        <f aca="false">IF(AND($B94="D01",$C94="G6"),J93&amp;IF(J93="","",CHAR(10))&amp;$A94,J93)</f>
        <v/>
      </c>
      <c r="K94" s="0" t="str">
        <f aca="false">IF(AND($B94="D02",$C94="G0"),K93&amp;IF(K93="","",CHAR(10))&amp;$A94,K93)</f>
        <v/>
      </c>
      <c r="L94" s="363" t="str">
        <f aca="false">IF(AND($B94="D02",$C94="G1"),L93&amp;IF(L93="","",CHAR(10))&amp;$A94,L93)</f>
        <v>◐ 007 人口需求與病例量預測
◐ 008 醫院定位與服務組合
◐ 009 重點專科優先化
◐ 010 病人流程與容量設計
◐ 011 轉診與區域照護網絡
◐ 012 臨床治理與責任架構</v>
      </c>
      <c r="M94" s="0" t="str">
        <f aca="false">IF(AND($B94="D02",$C94="G2"),M93&amp;IF(M93="","",CHAR(10))&amp;$A94,M93)</f>
        <v/>
      </c>
      <c r="N94" s="0" t="str">
        <f aca="false">IF(AND($B94="D02",$C94="G3"),N93&amp;IF(N93="","",CHAR(10))&amp;$A94,N93)</f>
        <v/>
      </c>
      <c r="O94" s="0" t="str">
        <f aca="false">IF(AND($B94="D02",$C94="G4"),O93&amp;IF(O93="","",CHAR(10))&amp;$A94,O93)</f>
        <v/>
      </c>
      <c r="P94" s="0" t="str">
        <f aca="false">IF(AND($B94="D02",$C94="G5"),P93&amp;IF(P93="","",CHAR(10))&amp;$A94,P93)</f>
        <v/>
      </c>
      <c r="Q94" s="0" t="str">
        <f aca="false">IF(AND($B94="D02",$C94="G6"),Q93&amp;IF(Q93="","",CHAR(10))&amp;$A94,Q93)</f>
        <v/>
      </c>
      <c r="R94" s="0" t="str">
        <f aca="false">IF(AND($B94="D03",$C94="G0"),R93&amp;IF(R93="","",CHAR(10))&amp;$A94,R93)</f>
        <v/>
      </c>
      <c r="S94" s="0" t="str">
        <f aca="false">IF(AND($B94="D03",$C94="G1"),S93&amp;IF(S93="","",CHAR(10))&amp;$A94,S93)</f>
        <v>◐ 013 場址與醫院總體規劃</v>
      </c>
      <c r="T94" s="363" t="str">
        <f aca="false">IF(AND($B94="D03",$C94="G2"),T93&amp;IF(T93="","",CHAR(10))&amp;$A94,T93)</f>
        <v>◐ 014 醫療建築功能計畫
◐ 015 感染控制與潔污動線
◐ 019 綠色與氣候韌性醫院</v>
      </c>
      <c r="U94" s="363" t="str">
        <f aca="false">IF(AND($B94="D03",$C94="G3"),U93&amp;IF(U93="","",CHAR(10))&amp;$A94,U93)</f>
        <v>● 016 電力、備援與微電網
◐ 017 醫療氣體與關鍵公用系統
◐ 018 醫療廢棄物與水資源</v>
      </c>
      <c r="V94" s="0" t="str">
        <f aca="false">IF(AND($B94="D03",$C94="G4"),V93&amp;IF(V93="","",CHAR(10))&amp;$A94,V93)</f>
        <v/>
      </c>
      <c r="W94" s="0" t="str">
        <f aca="false">IF(AND($B94="D03",$C94="G5"),W93&amp;IF(W93="","",CHAR(10))&amp;$A94,W93)</f>
        <v/>
      </c>
      <c r="X94" s="0" t="str">
        <f aca="false">IF(AND($B94="D03",$C94="G6"),X93&amp;IF(X93="","",CHAR(10))&amp;$A94,X93)</f>
        <v/>
      </c>
      <c r="Y94" s="0" t="str">
        <f aca="false">IF(AND($B94="D04",$C94="G0"),Y93&amp;IF(Y93="","",CHAR(10))&amp;$A94,Y93)</f>
        <v/>
      </c>
      <c r="Z94" s="0" t="str">
        <f aca="false">IF(AND($B94="D04",$C94="G1"),Z93&amp;IF(Z93="","",CHAR(10))&amp;$A94,Z93)</f>
        <v/>
      </c>
      <c r="AA94" s="0" t="str">
        <f aca="false">IF(AND($B94="D04",$C94="G2"),AA93&amp;IF(AA93="","",CHAR(10))&amp;$A94,AA93)</f>
        <v/>
      </c>
      <c r="AB94" s="0" t="str">
        <f aca="false">IF(AND($B94="D04",$C94="G3"),AB93&amp;IF(AB93="","",CHAR(10))&amp;$A94,AB93)</f>
        <v>● 020 IDC與邊緣運算底座</v>
      </c>
      <c r="AC94" s="363" t="str">
        <f aca="false">IF(AND($B94="D04",$C94="G4"),AC93&amp;IF(AC93="","",CHAR(10))&amp;$A94,AC93)</f>
        <v>● 021 有線無線網路與分區
◐ 022 資安營運與零信任
● 023 BMS與能源管理
● 024 RTLS與資產／人員定位
● 025 智慧病房、護理呼叫與感測
● 026 災難復原與營運持續</v>
      </c>
      <c r="AD94" s="0" t="str">
        <f aca="false">IF(AND($B94="D04",$C94="G5"),AD93&amp;IF(AD93="","",CHAR(10))&amp;$A94,AD93)</f>
        <v/>
      </c>
      <c r="AE94" s="0" t="str">
        <f aca="false">IF(AND($B94="D04",$C94="G6"),AE93&amp;IF(AE93="","",CHAR(10))&amp;$A94,AE93)</f>
        <v/>
      </c>
      <c r="AF94" s="0" t="str">
        <f aca="false">IF(AND($B94="D05",$C94="G0"),AF93&amp;IF(AF93="","",CHAR(10))&amp;$A94,AF93)</f>
        <v/>
      </c>
      <c r="AG94" s="0" t="str">
        <f aca="false">IF(AND($B94="D05",$C94="G1"),AG93&amp;IF(AG93="","",CHAR(10))&amp;$A94,AG93)</f>
        <v/>
      </c>
      <c r="AH94" s="0" t="str">
        <f aca="false">IF(AND($B94="D05",$C94="G2"),AH93&amp;IF(AH93="","",CHAR(10))&amp;$A94,AH93)</f>
        <v>◐ 027 醫材需求與設備計畫</v>
      </c>
      <c r="AI94" s="0" t="str">
        <f aca="false">IF(AND($B94="D05",$C94="G3"),AI93&amp;IF(AI93="","",CHAR(10))&amp;$A94,AI93)</f>
        <v/>
      </c>
      <c r="AJ94" s="363" t="str">
        <f aca="false">IF(AND($B94="D05",$C94="G4"),AJ93&amp;IF(AJ93="","",CHAR(10))&amp;$A94,AJ93)</f>
        <v>○ 028 影像設備、PACS與報告流程
○ 029 實驗室自動化與LIS
○ 030 手術室與重症整合
◐ 031 醫材介接與裝置身分
◐ 032 醫療工程與設備生命週期</v>
      </c>
      <c r="AK94" s="0" t="str">
        <f aca="false">IF(AND($B94="D05",$C94="G5"),AK93&amp;IF(AK93="","",CHAR(10))&amp;$A94,AK93)</f>
        <v/>
      </c>
      <c r="AL94" s="0" t="str">
        <f aca="false">IF(AND($B94="D05",$C94="G6"),AL93&amp;IF(AL93="","",CHAR(10))&amp;$A94,AL93)</f>
        <v/>
      </c>
      <c r="AM94" s="0" t="str">
        <f aca="false">IF(AND($B94="D06",$C94="G0"),AM93&amp;IF(AM93="","",CHAR(10))&amp;$A94,AM93)</f>
        <v/>
      </c>
      <c r="AN94" s="0" t="str">
        <f aca="false">IF(AND($B94="D06",$C94="G1"),AN93&amp;IF(AN93="","",CHAR(10))&amp;$A94,AN93)</f>
        <v/>
      </c>
      <c r="AO94" s="0" t="str">
        <f aca="false">IF(AND($B94="D06",$C94="G2"),AO93&amp;IF(AO93="","",CHAR(10))&amp;$A94,AO93)</f>
        <v/>
      </c>
      <c r="AP94" s="363" t="str">
        <f aca="false">IF(AND($B94="D06",$C94="G3"),AP93&amp;IF(AP93="","",CHAR(10))&amp;$A94,AP93)</f>
        <v>◐ 033 HIS／EMR核心平台
◐ 036 臨床術語與主資料治理</v>
      </c>
      <c r="AQ94" s="363" t="str">
        <f aca="false">IF(AND($B94="D06",$C94="G4"),AQ93&amp;IF(AQ93="","",CHAR(10))&amp;$A94,AQ93)</f>
        <v>◐ 034 FHIR介接與API管理
○ 035 主病人索引與身分整合
◐ 037 電子醫囑、用藥與決策支援
◐ 038 資料平台、BI與營運指揮</v>
      </c>
      <c r="AR94" s="0" t="str">
        <f aca="false">IF(AND($B94="D06",$C94="G5"),AR93&amp;IF(AR93="","",CHAR(10))&amp;$A94,AR93)</f>
        <v>○ 039 病人入口、行動服務與VNeID準備</v>
      </c>
      <c r="AS94" s="0" t="str">
        <f aca="false">IF(AND($B94="D06",$C94="G6"),AS93&amp;IF(AS93="","",CHAR(10))&amp;$A94,AS93)</f>
        <v/>
      </c>
      <c r="AT94" s="0" t="str">
        <f aca="false">IF(AND($B94="D07",$C94="G0"),AT93&amp;IF(AT93="","",CHAR(10))&amp;$A94,AT93)</f>
        <v/>
      </c>
      <c r="AU94" s="0" t="str">
        <f aca="false">IF(AND($B94="D07",$C94="G1"),AU93&amp;IF(AU93="","",CHAR(10))&amp;$A94,AU93)</f>
        <v/>
      </c>
      <c r="AV94" s="0" t="str">
        <f aca="false">IF(AND($B94="D07",$C94="G2"),AV93&amp;IF(AV93="","",CHAR(10))&amp;$A94,AV93)</f>
        <v>◐ 040 品質管理與JCI路線圖</v>
      </c>
      <c r="AW94" s="363" t="str">
        <f aca="false">IF(AND($B94="D07",$C94="G3"),AW93&amp;IF(AW93="","",CHAR(10))&amp;$A94,AW93)</f>
        <v>◐ 041 感染預防與控制制度
◐ 043 事件通報與根因改善</v>
      </c>
      <c r="AX94" s="0" t="str">
        <f aca="false">IF(AND($B94="D07",$C94="G4"),AX93&amp;IF(AX93="","",CHAR(10))&amp;$A94,AX93)</f>
        <v>◐ 042 用藥安全閉環</v>
      </c>
      <c r="AY94" s="0" t="str">
        <f aca="false">IF(AND($B94="D07",$C94="G5"),AY93&amp;IF(AY93="","",CHAR(10))&amp;$A94,AY93)</f>
        <v>◐ 044 開院臨床安全驗證</v>
      </c>
      <c r="AZ94" s="0" t="str">
        <f aca="false">IF(AND($B94="D07",$C94="G6"),AZ93&amp;IF(AZ93="","",CHAR(10))&amp;$A94,AZ93)</f>
        <v/>
      </c>
      <c r="BA94" s="0" t="str">
        <f aca="false">IF(AND($B94="D08",$C94="G0"),BA93&amp;IF(BA93="","",CHAR(10))&amp;$A94,BA93)</f>
        <v/>
      </c>
      <c r="BB94" s="0" t="str">
        <f aca="false">IF(AND($B94="D08",$C94="G1"),BB93&amp;IF(BB93="","",CHAR(10))&amp;$A94,BB93)</f>
        <v/>
      </c>
      <c r="BC94" s="0" t="str">
        <f aca="false">IF(AND($B94="D08",$C94="G2"),BC93&amp;IF(BC93="","",CHAR(10))&amp;$A94,BC93)</f>
        <v>○ 045 人力與輪班模型</v>
      </c>
      <c r="BD94" s="0" t="str">
        <f aca="false">IF(AND($B94="D08",$C94="G3"),BD93&amp;IF(BD93="","",CHAR(10))&amp;$A94,BD93)</f>
        <v>◐ 046 職能矩陣與授權</v>
      </c>
      <c r="BE94" s="363" t="str">
        <f aca="false">IF(AND($B94="D08",$C94="G4"),BE93&amp;IF(BE93="","",CHAR(10))&amp;$A94,BE93)</f>
        <v>◐ 047 種子教師與技術移轉
◐ 049 變革管理與使用者採納</v>
      </c>
      <c r="BF94" s="0" t="str">
        <f aca="false">IF(AND($B94="D08",$C94="G5"),BF93&amp;IF(BF93="","",CHAR(10))&amp;$A94,BF93)</f>
        <v>◐ 048 模擬中心與開院演練</v>
      </c>
      <c r="BG94" s="0" t="str">
        <f aca="false">IF(AND($B94="D08",$C94="G6"),BG93&amp;IF(BG93="","",CHAR(10))&amp;$A94,BG93)</f>
        <v/>
      </c>
      <c r="BH94" s="0" t="str">
        <f aca="false">IF(AND($B94="D09",$C94="G0"),BH93&amp;IF(BH93="","",CHAR(10))&amp;$A94,BH93)</f>
        <v/>
      </c>
      <c r="BI94" s="0" t="str">
        <f aca="false">IF(AND($B94="D09",$C94="G1"),BI93&amp;IF(BI93="","",CHAR(10))&amp;$A94,BI93)</f>
        <v/>
      </c>
      <c r="BJ94" s="0" t="str">
        <f aca="false">IF(AND($B94="D09",$C94="G2"),BJ93&amp;IF(BJ93="","",CHAR(10))&amp;$A94,BJ93)</f>
        <v>◐ 050 整合採購與供應商治理</v>
      </c>
      <c r="BK94" s="0" t="str">
        <f aca="false">IF(AND($B94="D09",$C94="G3"),BK93&amp;IF(BK93="","",CHAR(10))&amp;$A94,BK93)</f>
        <v/>
      </c>
      <c r="BL94" s="363" t="str">
        <f aca="false">IF(AND($B94="D09",$C94="G4"),BL93&amp;IF(BL93="","",CHAR(10))&amp;$A94,BL93)</f>
        <v>◐ 051 藥品耗材與SPD物流
◐ 052 冷鏈與特殊物料
● 053 CMMS與設施維運</v>
      </c>
      <c r="BM94" s="0" t="str">
        <f aca="false">IF(AND($B94="D09",$C94="G5"),BM93&amp;IF(BM93="","",CHAR(10))&amp;$A94,BM93)</f>
        <v>◐ 054 在地備品、維修與汰換</v>
      </c>
      <c r="BN94" s="0" t="str">
        <f aca="false">IF(AND($B94="D09",$C94="G6"),BN93&amp;IF(BN93="","",CHAR(10))&amp;$A94,BN93)</f>
        <v/>
      </c>
      <c r="BO94" s="0" t="str">
        <f aca="false">IF(AND($B94="D10",$C94="G0"),BO93&amp;IF(BO93="","",CHAR(10))&amp;$A94,BO93)</f>
        <v/>
      </c>
      <c r="BP94" s="0" t="str">
        <f aca="false">IF(AND($B94="D10",$C94="G1"),BP93&amp;IF(BP93="","",CHAR(10))&amp;$A94,BP93)</f>
        <v>◐ 055 全生命週期成本模型</v>
      </c>
      <c r="BQ94" s="0" t="str">
        <f aca="false">IF(AND($B94="D10",$C94="G2"),BQ93&amp;IF(BQ93="","",CHAR(10))&amp;$A94,BQ93)</f>
        <v>◐ 059 PPP／JV財務與風險分配</v>
      </c>
      <c r="BR94" s="0" t="str">
        <f aca="false">IF(AND($B94="D10",$C94="G3"),BR93&amp;IF(BR93="","",CHAR(10))&amp;$A94,BR93)</f>
        <v/>
      </c>
      <c r="BS94" s="363" t="str">
        <f aca="false">IF(AND($B94="D10",$C94="G4"),BS93&amp;IF(BS93="","",CHAR(10))&amp;$A94,BS93)</f>
        <v>○ 056 健保申報與數位理賠
○ 057 現金流、支付與收入週期</v>
      </c>
      <c r="BT94" s="0" t="str">
        <f aca="false">IF(AND($B94="D10",$C94="G5"),BT93&amp;IF(BT93="","",CHAR(10))&amp;$A94,BT93)</f>
        <v>○ 058 國際醫療與高價值服務</v>
      </c>
      <c r="BU94" s="0" t="str">
        <f aca="false">IF(AND($B94="D10",$C94="G6"),BU93&amp;IF(BU93="","",CHAR(10))&amp;$A94,BU93)</f>
        <v>◐ 060 效益實現與複製藍圖</v>
      </c>
      <c r="BX94" s="0" t="str">
        <f aca="false">IF(AND(03_能力總表_Master!$A94&lt;&gt;"",LEFT(03_能力總表_Master!$H94,2)="缺口"),MAX($BX$4:BX93)+1,"")</f>
        <v/>
      </c>
      <c r="BY94" s="0" t="str">
        <f aca="false">IF(AND(03_能力總表_Master!$A94&lt;&gt;"",03_能力總表_Master!$J94=12_夥伴視角_PartnerView!$C$4),MAX($BY$4:BY93)+1,"")</f>
        <v/>
      </c>
      <c r="CC94" s="0" t="str">
        <f aca="false">IF(AND(03_能力總表_Master!$A94&lt;&gt;"",IFERROR(INDEX(16_能力商機矩陣_CapOppMap!$D94:$CO94,MATCH(LEFT(17_商機作戰卡_OppView!$C$4,6),16_能力商機矩陣_CapOppMap!$D$4:$CO$4,0)),"")="✓"),MAX($CC$4:CC93)+1,"")</f>
        <v/>
      </c>
    </row>
    <row r="95" customFormat="false" ht="95.5" hidden="false" customHeight="false" outlineLevel="0" collapsed="false">
      <c r="A95" s="0" t="str">
        <f aca="false">IF(03_能力總表_Master!$A95="","",IF(LEFT(03_能力總表_Master!$H95,2)="群晶","● ",IF(ISNUMBER(SEARCH("已確認",03_能力總表_Master!$H95)),"◆ ",IF(ISNUMBER(SEARCH("缺口",03_能力總表_Master!$H95)),"○ ","◐ ")))&amp;RIGHT(03_能力總表_Master!$A95,3)&amp;" "&amp;03_能力總表_Master!$E95)</f>
        <v/>
      </c>
      <c r="B95" s="0" t="str">
        <f aca="false">IF(03_能力總表_Master!$A95="","",LEFT(03_能力總表_Master!$B95,3))</f>
        <v/>
      </c>
      <c r="C95" s="0" t="str">
        <f aca="false">IF(03_能力總表_Master!$A95="","",03_能力總表_Master!$C95)</f>
        <v/>
      </c>
      <c r="D95" s="363" t="str">
        <f aca="false">IF(AND($B95="D01",$C95="G0"),D94&amp;IF(D94="","",CHAR(10))&amp;$A95,D94)</f>
        <v>◐ 001 政府授權與計畫章程
◐ 002 利害關係人與權力地圖
◐ 005 聯盟治理與利益衝突</v>
      </c>
      <c r="E95" s="363" t="str">
        <f aca="false">IF(AND($B95="D01",$C95="G1"),E94&amp;IF(E94="","",CHAR(10))&amp;$A95,E94)</f>
        <v>◐ 003 交易模式選擇
◐ 004 法規與執照路徑</v>
      </c>
      <c r="F95" s="0" t="str">
        <f aca="false">IF(AND($B95="D01",$C95="G2"),F94&amp;IF(F94="","",CHAR(10))&amp;$A95,F94)</f>
        <v>◐ 006 績效契約與變更控制</v>
      </c>
      <c r="G95" s="0" t="str">
        <f aca="false">IF(AND($B95="D01",$C95="G3"),G94&amp;IF(G94="","",CHAR(10))&amp;$A95,G94)</f>
        <v/>
      </c>
      <c r="H95" s="0" t="str">
        <f aca="false">IF(AND($B95="D01",$C95="G4"),H94&amp;IF(H94="","",CHAR(10))&amp;$A95,H94)</f>
        <v/>
      </c>
      <c r="I95" s="0" t="str">
        <f aca="false">IF(AND($B95="D01",$C95="G5"),I94&amp;IF(I94="","",CHAR(10))&amp;$A95,I94)</f>
        <v/>
      </c>
      <c r="J95" s="0" t="str">
        <f aca="false">IF(AND($B95="D01",$C95="G6"),J94&amp;IF(J94="","",CHAR(10))&amp;$A95,J94)</f>
        <v/>
      </c>
      <c r="K95" s="0" t="str">
        <f aca="false">IF(AND($B95="D02",$C95="G0"),K94&amp;IF(K94="","",CHAR(10))&amp;$A95,K94)</f>
        <v/>
      </c>
      <c r="L95" s="363" t="str">
        <f aca="false">IF(AND($B95="D02",$C95="G1"),L94&amp;IF(L94="","",CHAR(10))&amp;$A95,L94)</f>
        <v>◐ 007 人口需求與病例量預測
◐ 008 醫院定位與服務組合
◐ 009 重點專科優先化
◐ 010 病人流程與容量設計
◐ 011 轉診與區域照護網絡
◐ 012 臨床治理與責任架構</v>
      </c>
      <c r="M95" s="0" t="str">
        <f aca="false">IF(AND($B95="D02",$C95="G2"),M94&amp;IF(M94="","",CHAR(10))&amp;$A95,M94)</f>
        <v/>
      </c>
      <c r="N95" s="0" t="str">
        <f aca="false">IF(AND($B95="D02",$C95="G3"),N94&amp;IF(N94="","",CHAR(10))&amp;$A95,N94)</f>
        <v/>
      </c>
      <c r="O95" s="0" t="str">
        <f aca="false">IF(AND($B95="D02",$C95="G4"),O94&amp;IF(O94="","",CHAR(10))&amp;$A95,O94)</f>
        <v/>
      </c>
      <c r="P95" s="0" t="str">
        <f aca="false">IF(AND($B95="D02",$C95="G5"),P94&amp;IF(P94="","",CHAR(10))&amp;$A95,P94)</f>
        <v/>
      </c>
      <c r="Q95" s="0" t="str">
        <f aca="false">IF(AND($B95="D02",$C95="G6"),Q94&amp;IF(Q94="","",CHAR(10))&amp;$A95,Q94)</f>
        <v/>
      </c>
      <c r="R95" s="0" t="str">
        <f aca="false">IF(AND($B95="D03",$C95="G0"),R94&amp;IF(R94="","",CHAR(10))&amp;$A95,R94)</f>
        <v/>
      </c>
      <c r="S95" s="0" t="str">
        <f aca="false">IF(AND($B95="D03",$C95="G1"),S94&amp;IF(S94="","",CHAR(10))&amp;$A95,S94)</f>
        <v>◐ 013 場址與醫院總體規劃</v>
      </c>
      <c r="T95" s="363" t="str">
        <f aca="false">IF(AND($B95="D03",$C95="G2"),T94&amp;IF(T94="","",CHAR(10))&amp;$A95,T94)</f>
        <v>◐ 014 醫療建築功能計畫
◐ 015 感染控制與潔污動線
◐ 019 綠色與氣候韌性醫院</v>
      </c>
      <c r="U95" s="363" t="str">
        <f aca="false">IF(AND($B95="D03",$C95="G3"),U94&amp;IF(U94="","",CHAR(10))&amp;$A95,U94)</f>
        <v>● 016 電力、備援與微電網
◐ 017 醫療氣體與關鍵公用系統
◐ 018 醫療廢棄物與水資源</v>
      </c>
      <c r="V95" s="0" t="str">
        <f aca="false">IF(AND($B95="D03",$C95="G4"),V94&amp;IF(V94="","",CHAR(10))&amp;$A95,V94)</f>
        <v/>
      </c>
      <c r="W95" s="0" t="str">
        <f aca="false">IF(AND($B95="D03",$C95="G5"),W94&amp;IF(W94="","",CHAR(10))&amp;$A95,W94)</f>
        <v/>
      </c>
      <c r="X95" s="0" t="str">
        <f aca="false">IF(AND($B95="D03",$C95="G6"),X94&amp;IF(X94="","",CHAR(10))&amp;$A95,X94)</f>
        <v/>
      </c>
      <c r="Y95" s="0" t="str">
        <f aca="false">IF(AND($B95="D04",$C95="G0"),Y94&amp;IF(Y94="","",CHAR(10))&amp;$A95,Y94)</f>
        <v/>
      </c>
      <c r="Z95" s="0" t="str">
        <f aca="false">IF(AND($B95="D04",$C95="G1"),Z94&amp;IF(Z94="","",CHAR(10))&amp;$A95,Z94)</f>
        <v/>
      </c>
      <c r="AA95" s="0" t="str">
        <f aca="false">IF(AND($B95="D04",$C95="G2"),AA94&amp;IF(AA94="","",CHAR(10))&amp;$A95,AA94)</f>
        <v/>
      </c>
      <c r="AB95" s="0" t="str">
        <f aca="false">IF(AND($B95="D04",$C95="G3"),AB94&amp;IF(AB94="","",CHAR(10))&amp;$A95,AB94)</f>
        <v>● 020 IDC與邊緣運算底座</v>
      </c>
      <c r="AC95" s="363" t="str">
        <f aca="false">IF(AND($B95="D04",$C95="G4"),AC94&amp;IF(AC94="","",CHAR(10))&amp;$A95,AC94)</f>
        <v>● 021 有線無線網路與分區
◐ 022 資安營運與零信任
● 023 BMS與能源管理
● 024 RTLS與資產／人員定位
● 025 智慧病房、護理呼叫與感測
● 026 災難復原與營運持續</v>
      </c>
      <c r="AD95" s="0" t="str">
        <f aca="false">IF(AND($B95="D04",$C95="G5"),AD94&amp;IF(AD94="","",CHAR(10))&amp;$A95,AD94)</f>
        <v/>
      </c>
      <c r="AE95" s="0" t="str">
        <f aca="false">IF(AND($B95="D04",$C95="G6"),AE94&amp;IF(AE94="","",CHAR(10))&amp;$A95,AE94)</f>
        <v/>
      </c>
      <c r="AF95" s="0" t="str">
        <f aca="false">IF(AND($B95="D05",$C95="G0"),AF94&amp;IF(AF94="","",CHAR(10))&amp;$A95,AF94)</f>
        <v/>
      </c>
      <c r="AG95" s="0" t="str">
        <f aca="false">IF(AND($B95="D05",$C95="G1"),AG94&amp;IF(AG94="","",CHAR(10))&amp;$A95,AG94)</f>
        <v/>
      </c>
      <c r="AH95" s="0" t="str">
        <f aca="false">IF(AND($B95="D05",$C95="G2"),AH94&amp;IF(AH94="","",CHAR(10))&amp;$A95,AH94)</f>
        <v>◐ 027 醫材需求與設備計畫</v>
      </c>
      <c r="AI95" s="0" t="str">
        <f aca="false">IF(AND($B95="D05",$C95="G3"),AI94&amp;IF(AI94="","",CHAR(10))&amp;$A95,AI94)</f>
        <v/>
      </c>
      <c r="AJ95" s="363" t="str">
        <f aca="false">IF(AND($B95="D05",$C95="G4"),AJ94&amp;IF(AJ94="","",CHAR(10))&amp;$A95,AJ94)</f>
        <v>○ 028 影像設備、PACS與報告流程
○ 029 實驗室自動化與LIS
○ 030 手術室與重症整合
◐ 031 醫材介接與裝置身分
◐ 032 醫療工程與設備生命週期</v>
      </c>
      <c r="AK95" s="0" t="str">
        <f aca="false">IF(AND($B95="D05",$C95="G5"),AK94&amp;IF(AK94="","",CHAR(10))&amp;$A95,AK94)</f>
        <v/>
      </c>
      <c r="AL95" s="0" t="str">
        <f aca="false">IF(AND($B95="D05",$C95="G6"),AL94&amp;IF(AL94="","",CHAR(10))&amp;$A95,AL94)</f>
        <v/>
      </c>
      <c r="AM95" s="0" t="str">
        <f aca="false">IF(AND($B95="D06",$C95="G0"),AM94&amp;IF(AM94="","",CHAR(10))&amp;$A95,AM94)</f>
        <v/>
      </c>
      <c r="AN95" s="0" t="str">
        <f aca="false">IF(AND($B95="D06",$C95="G1"),AN94&amp;IF(AN94="","",CHAR(10))&amp;$A95,AN94)</f>
        <v/>
      </c>
      <c r="AO95" s="0" t="str">
        <f aca="false">IF(AND($B95="D06",$C95="G2"),AO94&amp;IF(AO94="","",CHAR(10))&amp;$A95,AO94)</f>
        <v/>
      </c>
      <c r="AP95" s="363" t="str">
        <f aca="false">IF(AND($B95="D06",$C95="G3"),AP94&amp;IF(AP94="","",CHAR(10))&amp;$A95,AP94)</f>
        <v>◐ 033 HIS／EMR核心平台
◐ 036 臨床術語與主資料治理</v>
      </c>
      <c r="AQ95" s="363" t="str">
        <f aca="false">IF(AND($B95="D06",$C95="G4"),AQ94&amp;IF(AQ94="","",CHAR(10))&amp;$A95,AQ94)</f>
        <v>◐ 034 FHIR介接與API管理
○ 035 主病人索引與身分整合
◐ 037 電子醫囑、用藥與決策支援
◐ 038 資料平台、BI與營運指揮</v>
      </c>
      <c r="AR95" s="0" t="str">
        <f aca="false">IF(AND($B95="D06",$C95="G5"),AR94&amp;IF(AR94="","",CHAR(10))&amp;$A95,AR94)</f>
        <v>○ 039 病人入口、行動服務與VNeID準備</v>
      </c>
      <c r="AS95" s="0" t="str">
        <f aca="false">IF(AND($B95="D06",$C95="G6"),AS94&amp;IF(AS94="","",CHAR(10))&amp;$A95,AS94)</f>
        <v/>
      </c>
      <c r="AT95" s="0" t="str">
        <f aca="false">IF(AND($B95="D07",$C95="G0"),AT94&amp;IF(AT94="","",CHAR(10))&amp;$A95,AT94)</f>
        <v/>
      </c>
      <c r="AU95" s="0" t="str">
        <f aca="false">IF(AND($B95="D07",$C95="G1"),AU94&amp;IF(AU94="","",CHAR(10))&amp;$A95,AU94)</f>
        <v/>
      </c>
      <c r="AV95" s="0" t="str">
        <f aca="false">IF(AND($B95="D07",$C95="G2"),AV94&amp;IF(AV94="","",CHAR(10))&amp;$A95,AV94)</f>
        <v>◐ 040 品質管理與JCI路線圖</v>
      </c>
      <c r="AW95" s="363" t="str">
        <f aca="false">IF(AND($B95="D07",$C95="G3"),AW94&amp;IF(AW94="","",CHAR(10))&amp;$A95,AW94)</f>
        <v>◐ 041 感染預防與控制制度
◐ 043 事件通報與根因改善</v>
      </c>
      <c r="AX95" s="0" t="str">
        <f aca="false">IF(AND($B95="D07",$C95="G4"),AX94&amp;IF(AX94="","",CHAR(10))&amp;$A95,AX94)</f>
        <v>◐ 042 用藥安全閉環</v>
      </c>
      <c r="AY95" s="0" t="str">
        <f aca="false">IF(AND($B95="D07",$C95="G5"),AY94&amp;IF(AY94="","",CHAR(10))&amp;$A95,AY94)</f>
        <v>◐ 044 開院臨床安全驗證</v>
      </c>
      <c r="AZ95" s="0" t="str">
        <f aca="false">IF(AND($B95="D07",$C95="G6"),AZ94&amp;IF(AZ94="","",CHAR(10))&amp;$A95,AZ94)</f>
        <v/>
      </c>
      <c r="BA95" s="0" t="str">
        <f aca="false">IF(AND($B95="D08",$C95="G0"),BA94&amp;IF(BA94="","",CHAR(10))&amp;$A95,BA94)</f>
        <v/>
      </c>
      <c r="BB95" s="0" t="str">
        <f aca="false">IF(AND($B95="D08",$C95="G1"),BB94&amp;IF(BB94="","",CHAR(10))&amp;$A95,BB94)</f>
        <v/>
      </c>
      <c r="BC95" s="0" t="str">
        <f aca="false">IF(AND($B95="D08",$C95="G2"),BC94&amp;IF(BC94="","",CHAR(10))&amp;$A95,BC94)</f>
        <v>○ 045 人力與輪班模型</v>
      </c>
      <c r="BD95" s="0" t="str">
        <f aca="false">IF(AND($B95="D08",$C95="G3"),BD94&amp;IF(BD94="","",CHAR(10))&amp;$A95,BD94)</f>
        <v>◐ 046 職能矩陣與授權</v>
      </c>
      <c r="BE95" s="363" t="str">
        <f aca="false">IF(AND($B95="D08",$C95="G4"),BE94&amp;IF(BE94="","",CHAR(10))&amp;$A95,BE94)</f>
        <v>◐ 047 種子教師與技術移轉
◐ 049 變革管理與使用者採納</v>
      </c>
      <c r="BF95" s="0" t="str">
        <f aca="false">IF(AND($B95="D08",$C95="G5"),BF94&amp;IF(BF94="","",CHAR(10))&amp;$A95,BF94)</f>
        <v>◐ 048 模擬中心與開院演練</v>
      </c>
      <c r="BG95" s="0" t="str">
        <f aca="false">IF(AND($B95="D08",$C95="G6"),BG94&amp;IF(BG94="","",CHAR(10))&amp;$A95,BG94)</f>
        <v/>
      </c>
      <c r="BH95" s="0" t="str">
        <f aca="false">IF(AND($B95="D09",$C95="G0"),BH94&amp;IF(BH94="","",CHAR(10))&amp;$A95,BH94)</f>
        <v/>
      </c>
      <c r="BI95" s="0" t="str">
        <f aca="false">IF(AND($B95="D09",$C95="G1"),BI94&amp;IF(BI94="","",CHAR(10))&amp;$A95,BI94)</f>
        <v/>
      </c>
      <c r="BJ95" s="0" t="str">
        <f aca="false">IF(AND($B95="D09",$C95="G2"),BJ94&amp;IF(BJ94="","",CHAR(10))&amp;$A95,BJ94)</f>
        <v>◐ 050 整合採購與供應商治理</v>
      </c>
      <c r="BK95" s="0" t="str">
        <f aca="false">IF(AND($B95="D09",$C95="G3"),BK94&amp;IF(BK94="","",CHAR(10))&amp;$A95,BK94)</f>
        <v/>
      </c>
      <c r="BL95" s="363" t="str">
        <f aca="false">IF(AND($B95="D09",$C95="G4"),BL94&amp;IF(BL94="","",CHAR(10))&amp;$A95,BL94)</f>
        <v>◐ 051 藥品耗材與SPD物流
◐ 052 冷鏈與特殊物料
● 053 CMMS與設施維運</v>
      </c>
      <c r="BM95" s="0" t="str">
        <f aca="false">IF(AND($B95="D09",$C95="G5"),BM94&amp;IF(BM94="","",CHAR(10))&amp;$A95,BM94)</f>
        <v>◐ 054 在地備品、維修與汰換</v>
      </c>
      <c r="BN95" s="0" t="str">
        <f aca="false">IF(AND($B95="D09",$C95="G6"),BN94&amp;IF(BN94="","",CHAR(10))&amp;$A95,BN94)</f>
        <v/>
      </c>
      <c r="BO95" s="0" t="str">
        <f aca="false">IF(AND($B95="D10",$C95="G0"),BO94&amp;IF(BO94="","",CHAR(10))&amp;$A95,BO94)</f>
        <v/>
      </c>
      <c r="BP95" s="0" t="str">
        <f aca="false">IF(AND($B95="D10",$C95="G1"),BP94&amp;IF(BP94="","",CHAR(10))&amp;$A95,BP94)</f>
        <v>◐ 055 全生命週期成本模型</v>
      </c>
      <c r="BQ95" s="0" t="str">
        <f aca="false">IF(AND($B95="D10",$C95="G2"),BQ94&amp;IF(BQ94="","",CHAR(10))&amp;$A95,BQ94)</f>
        <v>◐ 059 PPP／JV財務與風險分配</v>
      </c>
      <c r="BR95" s="0" t="str">
        <f aca="false">IF(AND($B95="D10",$C95="G3"),BR94&amp;IF(BR94="","",CHAR(10))&amp;$A95,BR94)</f>
        <v/>
      </c>
      <c r="BS95" s="363" t="str">
        <f aca="false">IF(AND($B95="D10",$C95="G4"),BS94&amp;IF(BS94="","",CHAR(10))&amp;$A95,BS94)</f>
        <v>○ 056 健保申報與數位理賠
○ 057 現金流、支付與收入週期</v>
      </c>
      <c r="BT95" s="0" t="str">
        <f aca="false">IF(AND($B95="D10",$C95="G5"),BT94&amp;IF(BT94="","",CHAR(10))&amp;$A95,BT94)</f>
        <v>○ 058 國際醫療與高價值服務</v>
      </c>
      <c r="BU95" s="0" t="str">
        <f aca="false">IF(AND($B95="D10",$C95="G6"),BU94&amp;IF(BU94="","",CHAR(10))&amp;$A95,BU94)</f>
        <v>◐ 060 效益實現與複製藍圖</v>
      </c>
      <c r="BX95" s="0" t="str">
        <f aca="false">IF(AND(03_能力總表_Master!$A95&lt;&gt;"",LEFT(03_能力總表_Master!$H95,2)="缺口"),MAX($BX$4:BX94)+1,"")</f>
        <v/>
      </c>
      <c r="BY95" s="0" t="str">
        <f aca="false">IF(AND(03_能力總表_Master!$A95&lt;&gt;"",03_能力總表_Master!$J95=12_夥伴視角_PartnerView!$C$4),MAX($BY$4:BY94)+1,"")</f>
        <v/>
      </c>
      <c r="CC95" s="0" t="str">
        <f aca="false">IF(AND(03_能力總表_Master!$A95&lt;&gt;"",IFERROR(INDEX(16_能力商機矩陣_CapOppMap!$D95:$CO95,MATCH(LEFT(17_商機作戰卡_OppView!$C$4,6),16_能力商機矩陣_CapOppMap!$D$4:$CO$4,0)),"")="✓"),MAX($CC$4:CC94)+1,"")</f>
        <v/>
      </c>
    </row>
    <row r="96" customFormat="false" ht="95.5" hidden="false" customHeight="false" outlineLevel="0" collapsed="false">
      <c r="A96" s="0" t="str">
        <f aca="false">IF(03_能力總表_Master!$A96="","",IF(LEFT(03_能力總表_Master!$H96,2)="群晶","● ",IF(ISNUMBER(SEARCH("已確認",03_能力總表_Master!$H96)),"◆ ",IF(ISNUMBER(SEARCH("缺口",03_能力總表_Master!$H96)),"○ ","◐ ")))&amp;RIGHT(03_能力總表_Master!$A96,3)&amp;" "&amp;03_能力總表_Master!$E96)</f>
        <v/>
      </c>
      <c r="B96" s="0" t="str">
        <f aca="false">IF(03_能力總表_Master!$A96="","",LEFT(03_能力總表_Master!$B96,3))</f>
        <v/>
      </c>
      <c r="C96" s="0" t="str">
        <f aca="false">IF(03_能力總表_Master!$A96="","",03_能力總表_Master!$C96)</f>
        <v/>
      </c>
      <c r="D96" s="363" t="str">
        <f aca="false">IF(AND($B96="D01",$C96="G0"),D95&amp;IF(D95="","",CHAR(10))&amp;$A96,D95)</f>
        <v>◐ 001 政府授權與計畫章程
◐ 002 利害關係人與權力地圖
◐ 005 聯盟治理與利益衝突</v>
      </c>
      <c r="E96" s="363" t="str">
        <f aca="false">IF(AND($B96="D01",$C96="G1"),E95&amp;IF(E95="","",CHAR(10))&amp;$A96,E95)</f>
        <v>◐ 003 交易模式選擇
◐ 004 法規與執照路徑</v>
      </c>
      <c r="F96" s="0" t="str">
        <f aca="false">IF(AND($B96="D01",$C96="G2"),F95&amp;IF(F95="","",CHAR(10))&amp;$A96,F95)</f>
        <v>◐ 006 績效契約與變更控制</v>
      </c>
      <c r="G96" s="0" t="str">
        <f aca="false">IF(AND($B96="D01",$C96="G3"),G95&amp;IF(G95="","",CHAR(10))&amp;$A96,G95)</f>
        <v/>
      </c>
      <c r="H96" s="0" t="str">
        <f aca="false">IF(AND($B96="D01",$C96="G4"),H95&amp;IF(H95="","",CHAR(10))&amp;$A96,H95)</f>
        <v/>
      </c>
      <c r="I96" s="0" t="str">
        <f aca="false">IF(AND($B96="D01",$C96="G5"),I95&amp;IF(I95="","",CHAR(10))&amp;$A96,I95)</f>
        <v/>
      </c>
      <c r="J96" s="0" t="str">
        <f aca="false">IF(AND($B96="D01",$C96="G6"),J95&amp;IF(J95="","",CHAR(10))&amp;$A96,J95)</f>
        <v/>
      </c>
      <c r="K96" s="0" t="str">
        <f aca="false">IF(AND($B96="D02",$C96="G0"),K95&amp;IF(K95="","",CHAR(10))&amp;$A96,K95)</f>
        <v/>
      </c>
      <c r="L96" s="363" t="str">
        <f aca="false">IF(AND($B96="D02",$C96="G1"),L95&amp;IF(L95="","",CHAR(10))&amp;$A96,L95)</f>
        <v>◐ 007 人口需求與病例量預測
◐ 008 醫院定位與服務組合
◐ 009 重點專科優先化
◐ 010 病人流程與容量設計
◐ 011 轉診與區域照護網絡
◐ 012 臨床治理與責任架構</v>
      </c>
      <c r="M96" s="0" t="str">
        <f aca="false">IF(AND($B96="D02",$C96="G2"),M95&amp;IF(M95="","",CHAR(10))&amp;$A96,M95)</f>
        <v/>
      </c>
      <c r="N96" s="0" t="str">
        <f aca="false">IF(AND($B96="D02",$C96="G3"),N95&amp;IF(N95="","",CHAR(10))&amp;$A96,N95)</f>
        <v/>
      </c>
      <c r="O96" s="0" t="str">
        <f aca="false">IF(AND($B96="D02",$C96="G4"),O95&amp;IF(O95="","",CHAR(10))&amp;$A96,O95)</f>
        <v/>
      </c>
      <c r="P96" s="0" t="str">
        <f aca="false">IF(AND($B96="D02",$C96="G5"),P95&amp;IF(P95="","",CHAR(10))&amp;$A96,P95)</f>
        <v/>
      </c>
      <c r="Q96" s="0" t="str">
        <f aca="false">IF(AND($B96="D02",$C96="G6"),Q95&amp;IF(Q95="","",CHAR(10))&amp;$A96,Q95)</f>
        <v/>
      </c>
      <c r="R96" s="0" t="str">
        <f aca="false">IF(AND($B96="D03",$C96="G0"),R95&amp;IF(R95="","",CHAR(10))&amp;$A96,R95)</f>
        <v/>
      </c>
      <c r="S96" s="0" t="str">
        <f aca="false">IF(AND($B96="D03",$C96="G1"),S95&amp;IF(S95="","",CHAR(10))&amp;$A96,S95)</f>
        <v>◐ 013 場址與醫院總體規劃</v>
      </c>
      <c r="T96" s="363" t="str">
        <f aca="false">IF(AND($B96="D03",$C96="G2"),T95&amp;IF(T95="","",CHAR(10))&amp;$A96,T95)</f>
        <v>◐ 014 醫療建築功能計畫
◐ 015 感染控制與潔污動線
◐ 019 綠色與氣候韌性醫院</v>
      </c>
      <c r="U96" s="363" t="str">
        <f aca="false">IF(AND($B96="D03",$C96="G3"),U95&amp;IF(U95="","",CHAR(10))&amp;$A96,U95)</f>
        <v>● 016 電力、備援與微電網
◐ 017 醫療氣體與關鍵公用系統
◐ 018 醫療廢棄物與水資源</v>
      </c>
      <c r="V96" s="0" t="str">
        <f aca="false">IF(AND($B96="D03",$C96="G4"),V95&amp;IF(V95="","",CHAR(10))&amp;$A96,V95)</f>
        <v/>
      </c>
      <c r="W96" s="0" t="str">
        <f aca="false">IF(AND($B96="D03",$C96="G5"),W95&amp;IF(W95="","",CHAR(10))&amp;$A96,W95)</f>
        <v/>
      </c>
      <c r="X96" s="0" t="str">
        <f aca="false">IF(AND($B96="D03",$C96="G6"),X95&amp;IF(X95="","",CHAR(10))&amp;$A96,X95)</f>
        <v/>
      </c>
      <c r="Y96" s="0" t="str">
        <f aca="false">IF(AND($B96="D04",$C96="G0"),Y95&amp;IF(Y95="","",CHAR(10))&amp;$A96,Y95)</f>
        <v/>
      </c>
      <c r="Z96" s="0" t="str">
        <f aca="false">IF(AND($B96="D04",$C96="G1"),Z95&amp;IF(Z95="","",CHAR(10))&amp;$A96,Z95)</f>
        <v/>
      </c>
      <c r="AA96" s="0" t="str">
        <f aca="false">IF(AND($B96="D04",$C96="G2"),AA95&amp;IF(AA95="","",CHAR(10))&amp;$A96,AA95)</f>
        <v/>
      </c>
      <c r="AB96" s="0" t="str">
        <f aca="false">IF(AND($B96="D04",$C96="G3"),AB95&amp;IF(AB95="","",CHAR(10))&amp;$A96,AB95)</f>
        <v>● 020 IDC與邊緣運算底座</v>
      </c>
      <c r="AC96" s="363" t="str">
        <f aca="false">IF(AND($B96="D04",$C96="G4"),AC95&amp;IF(AC95="","",CHAR(10))&amp;$A96,AC95)</f>
        <v>● 021 有線無線網路與分區
◐ 022 資安營運與零信任
● 023 BMS與能源管理
● 024 RTLS與資產／人員定位
● 025 智慧病房、護理呼叫與感測
● 026 災難復原與營運持續</v>
      </c>
      <c r="AD96" s="0" t="str">
        <f aca="false">IF(AND($B96="D04",$C96="G5"),AD95&amp;IF(AD95="","",CHAR(10))&amp;$A96,AD95)</f>
        <v/>
      </c>
      <c r="AE96" s="0" t="str">
        <f aca="false">IF(AND($B96="D04",$C96="G6"),AE95&amp;IF(AE95="","",CHAR(10))&amp;$A96,AE95)</f>
        <v/>
      </c>
      <c r="AF96" s="0" t="str">
        <f aca="false">IF(AND($B96="D05",$C96="G0"),AF95&amp;IF(AF95="","",CHAR(10))&amp;$A96,AF95)</f>
        <v/>
      </c>
      <c r="AG96" s="0" t="str">
        <f aca="false">IF(AND($B96="D05",$C96="G1"),AG95&amp;IF(AG95="","",CHAR(10))&amp;$A96,AG95)</f>
        <v/>
      </c>
      <c r="AH96" s="0" t="str">
        <f aca="false">IF(AND($B96="D05",$C96="G2"),AH95&amp;IF(AH95="","",CHAR(10))&amp;$A96,AH95)</f>
        <v>◐ 027 醫材需求與設備計畫</v>
      </c>
      <c r="AI96" s="0" t="str">
        <f aca="false">IF(AND($B96="D05",$C96="G3"),AI95&amp;IF(AI95="","",CHAR(10))&amp;$A96,AI95)</f>
        <v/>
      </c>
      <c r="AJ96" s="363" t="str">
        <f aca="false">IF(AND($B96="D05",$C96="G4"),AJ95&amp;IF(AJ95="","",CHAR(10))&amp;$A96,AJ95)</f>
        <v>○ 028 影像設備、PACS與報告流程
○ 029 實驗室自動化與LIS
○ 030 手術室與重症整合
◐ 031 醫材介接與裝置身分
◐ 032 醫療工程與設備生命週期</v>
      </c>
      <c r="AK96" s="0" t="str">
        <f aca="false">IF(AND($B96="D05",$C96="G5"),AK95&amp;IF(AK95="","",CHAR(10))&amp;$A96,AK95)</f>
        <v/>
      </c>
      <c r="AL96" s="0" t="str">
        <f aca="false">IF(AND($B96="D05",$C96="G6"),AL95&amp;IF(AL95="","",CHAR(10))&amp;$A96,AL95)</f>
        <v/>
      </c>
      <c r="AM96" s="0" t="str">
        <f aca="false">IF(AND($B96="D06",$C96="G0"),AM95&amp;IF(AM95="","",CHAR(10))&amp;$A96,AM95)</f>
        <v/>
      </c>
      <c r="AN96" s="0" t="str">
        <f aca="false">IF(AND($B96="D06",$C96="G1"),AN95&amp;IF(AN95="","",CHAR(10))&amp;$A96,AN95)</f>
        <v/>
      </c>
      <c r="AO96" s="0" t="str">
        <f aca="false">IF(AND($B96="D06",$C96="G2"),AO95&amp;IF(AO95="","",CHAR(10))&amp;$A96,AO95)</f>
        <v/>
      </c>
      <c r="AP96" s="363" t="str">
        <f aca="false">IF(AND($B96="D06",$C96="G3"),AP95&amp;IF(AP95="","",CHAR(10))&amp;$A96,AP95)</f>
        <v>◐ 033 HIS／EMR核心平台
◐ 036 臨床術語與主資料治理</v>
      </c>
      <c r="AQ96" s="363" t="str">
        <f aca="false">IF(AND($B96="D06",$C96="G4"),AQ95&amp;IF(AQ95="","",CHAR(10))&amp;$A96,AQ95)</f>
        <v>◐ 034 FHIR介接與API管理
○ 035 主病人索引與身分整合
◐ 037 電子醫囑、用藥與決策支援
◐ 038 資料平台、BI與營運指揮</v>
      </c>
      <c r="AR96" s="0" t="str">
        <f aca="false">IF(AND($B96="D06",$C96="G5"),AR95&amp;IF(AR95="","",CHAR(10))&amp;$A96,AR95)</f>
        <v>○ 039 病人入口、行動服務與VNeID準備</v>
      </c>
      <c r="AS96" s="0" t="str">
        <f aca="false">IF(AND($B96="D06",$C96="G6"),AS95&amp;IF(AS95="","",CHAR(10))&amp;$A96,AS95)</f>
        <v/>
      </c>
      <c r="AT96" s="0" t="str">
        <f aca="false">IF(AND($B96="D07",$C96="G0"),AT95&amp;IF(AT95="","",CHAR(10))&amp;$A96,AT95)</f>
        <v/>
      </c>
      <c r="AU96" s="0" t="str">
        <f aca="false">IF(AND($B96="D07",$C96="G1"),AU95&amp;IF(AU95="","",CHAR(10))&amp;$A96,AU95)</f>
        <v/>
      </c>
      <c r="AV96" s="0" t="str">
        <f aca="false">IF(AND($B96="D07",$C96="G2"),AV95&amp;IF(AV95="","",CHAR(10))&amp;$A96,AV95)</f>
        <v>◐ 040 品質管理與JCI路線圖</v>
      </c>
      <c r="AW96" s="363" t="str">
        <f aca="false">IF(AND($B96="D07",$C96="G3"),AW95&amp;IF(AW95="","",CHAR(10))&amp;$A96,AW95)</f>
        <v>◐ 041 感染預防與控制制度
◐ 043 事件通報與根因改善</v>
      </c>
      <c r="AX96" s="0" t="str">
        <f aca="false">IF(AND($B96="D07",$C96="G4"),AX95&amp;IF(AX95="","",CHAR(10))&amp;$A96,AX95)</f>
        <v>◐ 042 用藥安全閉環</v>
      </c>
      <c r="AY96" s="0" t="str">
        <f aca="false">IF(AND($B96="D07",$C96="G5"),AY95&amp;IF(AY95="","",CHAR(10))&amp;$A96,AY95)</f>
        <v>◐ 044 開院臨床安全驗證</v>
      </c>
      <c r="AZ96" s="0" t="str">
        <f aca="false">IF(AND($B96="D07",$C96="G6"),AZ95&amp;IF(AZ95="","",CHAR(10))&amp;$A96,AZ95)</f>
        <v/>
      </c>
      <c r="BA96" s="0" t="str">
        <f aca="false">IF(AND($B96="D08",$C96="G0"),BA95&amp;IF(BA95="","",CHAR(10))&amp;$A96,BA95)</f>
        <v/>
      </c>
      <c r="BB96" s="0" t="str">
        <f aca="false">IF(AND($B96="D08",$C96="G1"),BB95&amp;IF(BB95="","",CHAR(10))&amp;$A96,BB95)</f>
        <v/>
      </c>
      <c r="BC96" s="0" t="str">
        <f aca="false">IF(AND($B96="D08",$C96="G2"),BC95&amp;IF(BC95="","",CHAR(10))&amp;$A96,BC95)</f>
        <v>○ 045 人力與輪班模型</v>
      </c>
      <c r="BD96" s="0" t="str">
        <f aca="false">IF(AND($B96="D08",$C96="G3"),BD95&amp;IF(BD95="","",CHAR(10))&amp;$A96,BD95)</f>
        <v>◐ 046 職能矩陣與授權</v>
      </c>
      <c r="BE96" s="363" t="str">
        <f aca="false">IF(AND($B96="D08",$C96="G4"),BE95&amp;IF(BE95="","",CHAR(10))&amp;$A96,BE95)</f>
        <v>◐ 047 種子教師與技術移轉
◐ 049 變革管理與使用者採納</v>
      </c>
      <c r="BF96" s="0" t="str">
        <f aca="false">IF(AND($B96="D08",$C96="G5"),BF95&amp;IF(BF95="","",CHAR(10))&amp;$A96,BF95)</f>
        <v>◐ 048 模擬中心與開院演練</v>
      </c>
      <c r="BG96" s="0" t="str">
        <f aca="false">IF(AND($B96="D08",$C96="G6"),BG95&amp;IF(BG95="","",CHAR(10))&amp;$A96,BG95)</f>
        <v/>
      </c>
      <c r="BH96" s="0" t="str">
        <f aca="false">IF(AND($B96="D09",$C96="G0"),BH95&amp;IF(BH95="","",CHAR(10))&amp;$A96,BH95)</f>
        <v/>
      </c>
      <c r="BI96" s="0" t="str">
        <f aca="false">IF(AND($B96="D09",$C96="G1"),BI95&amp;IF(BI95="","",CHAR(10))&amp;$A96,BI95)</f>
        <v/>
      </c>
      <c r="BJ96" s="0" t="str">
        <f aca="false">IF(AND($B96="D09",$C96="G2"),BJ95&amp;IF(BJ95="","",CHAR(10))&amp;$A96,BJ95)</f>
        <v>◐ 050 整合採購與供應商治理</v>
      </c>
      <c r="BK96" s="0" t="str">
        <f aca="false">IF(AND($B96="D09",$C96="G3"),BK95&amp;IF(BK95="","",CHAR(10))&amp;$A96,BK95)</f>
        <v/>
      </c>
      <c r="BL96" s="363" t="str">
        <f aca="false">IF(AND($B96="D09",$C96="G4"),BL95&amp;IF(BL95="","",CHAR(10))&amp;$A96,BL95)</f>
        <v>◐ 051 藥品耗材與SPD物流
◐ 052 冷鏈與特殊物料
● 053 CMMS與設施維運</v>
      </c>
      <c r="BM96" s="0" t="str">
        <f aca="false">IF(AND($B96="D09",$C96="G5"),BM95&amp;IF(BM95="","",CHAR(10))&amp;$A96,BM95)</f>
        <v>◐ 054 在地備品、維修與汰換</v>
      </c>
      <c r="BN96" s="0" t="str">
        <f aca="false">IF(AND($B96="D09",$C96="G6"),BN95&amp;IF(BN95="","",CHAR(10))&amp;$A96,BN95)</f>
        <v/>
      </c>
      <c r="BO96" s="0" t="str">
        <f aca="false">IF(AND($B96="D10",$C96="G0"),BO95&amp;IF(BO95="","",CHAR(10))&amp;$A96,BO95)</f>
        <v/>
      </c>
      <c r="BP96" s="0" t="str">
        <f aca="false">IF(AND($B96="D10",$C96="G1"),BP95&amp;IF(BP95="","",CHAR(10))&amp;$A96,BP95)</f>
        <v>◐ 055 全生命週期成本模型</v>
      </c>
      <c r="BQ96" s="0" t="str">
        <f aca="false">IF(AND($B96="D10",$C96="G2"),BQ95&amp;IF(BQ95="","",CHAR(10))&amp;$A96,BQ95)</f>
        <v>◐ 059 PPP／JV財務與風險分配</v>
      </c>
      <c r="BR96" s="0" t="str">
        <f aca="false">IF(AND($B96="D10",$C96="G3"),BR95&amp;IF(BR95="","",CHAR(10))&amp;$A96,BR95)</f>
        <v/>
      </c>
      <c r="BS96" s="363" t="str">
        <f aca="false">IF(AND($B96="D10",$C96="G4"),BS95&amp;IF(BS95="","",CHAR(10))&amp;$A96,BS95)</f>
        <v>○ 056 健保申報與數位理賠
○ 057 現金流、支付與收入週期</v>
      </c>
      <c r="BT96" s="0" t="str">
        <f aca="false">IF(AND($B96="D10",$C96="G5"),BT95&amp;IF(BT95="","",CHAR(10))&amp;$A96,BT95)</f>
        <v>○ 058 國際醫療與高價值服務</v>
      </c>
      <c r="BU96" s="0" t="str">
        <f aca="false">IF(AND($B96="D10",$C96="G6"),BU95&amp;IF(BU95="","",CHAR(10))&amp;$A96,BU95)</f>
        <v>◐ 060 效益實現與複製藍圖</v>
      </c>
      <c r="BX96" s="0" t="str">
        <f aca="false">IF(AND(03_能力總表_Master!$A96&lt;&gt;"",LEFT(03_能力總表_Master!$H96,2)="缺口"),MAX($BX$4:BX95)+1,"")</f>
        <v/>
      </c>
      <c r="BY96" s="0" t="str">
        <f aca="false">IF(AND(03_能力總表_Master!$A96&lt;&gt;"",03_能力總表_Master!$J96=12_夥伴視角_PartnerView!$C$4),MAX($BY$4:BY95)+1,"")</f>
        <v/>
      </c>
      <c r="CC96" s="0" t="str">
        <f aca="false">IF(AND(03_能力總表_Master!$A96&lt;&gt;"",IFERROR(INDEX(16_能力商機矩陣_CapOppMap!$D96:$CO96,MATCH(LEFT(17_商機作戰卡_OppView!$C$4,6),16_能力商機矩陣_CapOppMap!$D$4:$CO$4,0)),"")="✓"),MAX($CC$4:CC95)+1,"")</f>
        <v/>
      </c>
    </row>
    <row r="97" customFormat="false" ht="95.5" hidden="false" customHeight="false" outlineLevel="0" collapsed="false">
      <c r="A97" s="0" t="str">
        <f aca="false">IF(03_能力總表_Master!$A97="","",IF(LEFT(03_能力總表_Master!$H97,2)="群晶","● ",IF(ISNUMBER(SEARCH("已確認",03_能力總表_Master!$H97)),"◆ ",IF(ISNUMBER(SEARCH("缺口",03_能力總表_Master!$H97)),"○ ","◐ ")))&amp;RIGHT(03_能力總表_Master!$A97,3)&amp;" "&amp;03_能力總表_Master!$E97)</f>
        <v/>
      </c>
      <c r="B97" s="0" t="str">
        <f aca="false">IF(03_能力總表_Master!$A97="","",LEFT(03_能力總表_Master!$B97,3))</f>
        <v/>
      </c>
      <c r="C97" s="0" t="str">
        <f aca="false">IF(03_能力總表_Master!$A97="","",03_能力總表_Master!$C97)</f>
        <v/>
      </c>
      <c r="D97" s="363" t="str">
        <f aca="false">IF(AND($B97="D01",$C97="G0"),D96&amp;IF(D96="","",CHAR(10))&amp;$A97,D96)</f>
        <v>◐ 001 政府授權與計畫章程
◐ 002 利害關係人與權力地圖
◐ 005 聯盟治理與利益衝突</v>
      </c>
      <c r="E97" s="363" t="str">
        <f aca="false">IF(AND($B97="D01",$C97="G1"),E96&amp;IF(E96="","",CHAR(10))&amp;$A97,E96)</f>
        <v>◐ 003 交易模式選擇
◐ 004 法規與執照路徑</v>
      </c>
      <c r="F97" s="0" t="str">
        <f aca="false">IF(AND($B97="D01",$C97="G2"),F96&amp;IF(F96="","",CHAR(10))&amp;$A97,F96)</f>
        <v>◐ 006 績效契約與變更控制</v>
      </c>
      <c r="G97" s="0" t="str">
        <f aca="false">IF(AND($B97="D01",$C97="G3"),G96&amp;IF(G96="","",CHAR(10))&amp;$A97,G96)</f>
        <v/>
      </c>
      <c r="H97" s="0" t="str">
        <f aca="false">IF(AND($B97="D01",$C97="G4"),H96&amp;IF(H96="","",CHAR(10))&amp;$A97,H96)</f>
        <v/>
      </c>
      <c r="I97" s="0" t="str">
        <f aca="false">IF(AND($B97="D01",$C97="G5"),I96&amp;IF(I96="","",CHAR(10))&amp;$A97,I96)</f>
        <v/>
      </c>
      <c r="J97" s="0" t="str">
        <f aca="false">IF(AND($B97="D01",$C97="G6"),J96&amp;IF(J96="","",CHAR(10))&amp;$A97,J96)</f>
        <v/>
      </c>
      <c r="K97" s="0" t="str">
        <f aca="false">IF(AND($B97="D02",$C97="G0"),K96&amp;IF(K96="","",CHAR(10))&amp;$A97,K96)</f>
        <v/>
      </c>
      <c r="L97" s="363" t="str">
        <f aca="false">IF(AND($B97="D02",$C97="G1"),L96&amp;IF(L96="","",CHAR(10))&amp;$A97,L96)</f>
        <v>◐ 007 人口需求與病例量預測
◐ 008 醫院定位與服務組合
◐ 009 重點專科優先化
◐ 010 病人流程與容量設計
◐ 011 轉診與區域照護網絡
◐ 012 臨床治理與責任架構</v>
      </c>
      <c r="M97" s="0" t="str">
        <f aca="false">IF(AND($B97="D02",$C97="G2"),M96&amp;IF(M96="","",CHAR(10))&amp;$A97,M96)</f>
        <v/>
      </c>
      <c r="N97" s="0" t="str">
        <f aca="false">IF(AND($B97="D02",$C97="G3"),N96&amp;IF(N96="","",CHAR(10))&amp;$A97,N96)</f>
        <v/>
      </c>
      <c r="O97" s="0" t="str">
        <f aca="false">IF(AND($B97="D02",$C97="G4"),O96&amp;IF(O96="","",CHAR(10))&amp;$A97,O96)</f>
        <v/>
      </c>
      <c r="P97" s="0" t="str">
        <f aca="false">IF(AND($B97="D02",$C97="G5"),P96&amp;IF(P96="","",CHAR(10))&amp;$A97,P96)</f>
        <v/>
      </c>
      <c r="Q97" s="0" t="str">
        <f aca="false">IF(AND($B97="D02",$C97="G6"),Q96&amp;IF(Q96="","",CHAR(10))&amp;$A97,Q96)</f>
        <v/>
      </c>
      <c r="R97" s="0" t="str">
        <f aca="false">IF(AND($B97="D03",$C97="G0"),R96&amp;IF(R96="","",CHAR(10))&amp;$A97,R96)</f>
        <v/>
      </c>
      <c r="S97" s="0" t="str">
        <f aca="false">IF(AND($B97="D03",$C97="G1"),S96&amp;IF(S96="","",CHAR(10))&amp;$A97,S96)</f>
        <v>◐ 013 場址與醫院總體規劃</v>
      </c>
      <c r="T97" s="363" t="str">
        <f aca="false">IF(AND($B97="D03",$C97="G2"),T96&amp;IF(T96="","",CHAR(10))&amp;$A97,T96)</f>
        <v>◐ 014 醫療建築功能計畫
◐ 015 感染控制與潔污動線
◐ 019 綠色與氣候韌性醫院</v>
      </c>
      <c r="U97" s="363" t="str">
        <f aca="false">IF(AND($B97="D03",$C97="G3"),U96&amp;IF(U96="","",CHAR(10))&amp;$A97,U96)</f>
        <v>● 016 電力、備援與微電網
◐ 017 醫療氣體與關鍵公用系統
◐ 018 醫療廢棄物與水資源</v>
      </c>
      <c r="V97" s="0" t="str">
        <f aca="false">IF(AND($B97="D03",$C97="G4"),V96&amp;IF(V96="","",CHAR(10))&amp;$A97,V96)</f>
        <v/>
      </c>
      <c r="W97" s="0" t="str">
        <f aca="false">IF(AND($B97="D03",$C97="G5"),W96&amp;IF(W96="","",CHAR(10))&amp;$A97,W96)</f>
        <v/>
      </c>
      <c r="X97" s="0" t="str">
        <f aca="false">IF(AND($B97="D03",$C97="G6"),X96&amp;IF(X96="","",CHAR(10))&amp;$A97,X96)</f>
        <v/>
      </c>
      <c r="Y97" s="0" t="str">
        <f aca="false">IF(AND($B97="D04",$C97="G0"),Y96&amp;IF(Y96="","",CHAR(10))&amp;$A97,Y96)</f>
        <v/>
      </c>
      <c r="Z97" s="0" t="str">
        <f aca="false">IF(AND($B97="D04",$C97="G1"),Z96&amp;IF(Z96="","",CHAR(10))&amp;$A97,Z96)</f>
        <v/>
      </c>
      <c r="AA97" s="0" t="str">
        <f aca="false">IF(AND($B97="D04",$C97="G2"),AA96&amp;IF(AA96="","",CHAR(10))&amp;$A97,AA96)</f>
        <v/>
      </c>
      <c r="AB97" s="0" t="str">
        <f aca="false">IF(AND($B97="D04",$C97="G3"),AB96&amp;IF(AB96="","",CHAR(10))&amp;$A97,AB96)</f>
        <v>● 020 IDC與邊緣運算底座</v>
      </c>
      <c r="AC97" s="363" t="str">
        <f aca="false">IF(AND($B97="D04",$C97="G4"),AC96&amp;IF(AC96="","",CHAR(10))&amp;$A97,AC96)</f>
        <v>● 021 有線無線網路與分區
◐ 022 資安營運與零信任
● 023 BMS與能源管理
● 024 RTLS與資產／人員定位
● 025 智慧病房、護理呼叫與感測
● 026 災難復原與營運持續</v>
      </c>
      <c r="AD97" s="0" t="str">
        <f aca="false">IF(AND($B97="D04",$C97="G5"),AD96&amp;IF(AD96="","",CHAR(10))&amp;$A97,AD96)</f>
        <v/>
      </c>
      <c r="AE97" s="0" t="str">
        <f aca="false">IF(AND($B97="D04",$C97="G6"),AE96&amp;IF(AE96="","",CHAR(10))&amp;$A97,AE96)</f>
        <v/>
      </c>
      <c r="AF97" s="0" t="str">
        <f aca="false">IF(AND($B97="D05",$C97="G0"),AF96&amp;IF(AF96="","",CHAR(10))&amp;$A97,AF96)</f>
        <v/>
      </c>
      <c r="AG97" s="0" t="str">
        <f aca="false">IF(AND($B97="D05",$C97="G1"),AG96&amp;IF(AG96="","",CHAR(10))&amp;$A97,AG96)</f>
        <v/>
      </c>
      <c r="AH97" s="0" t="str">
        <f aca="false">IF(AND($B97="D05",$C97="G2"),AH96&amp;IF(AH96="","",CHAR(10))&amp;$A97,AH96)</f>
        <v>◐ 027 醫材需求與設備計畫</v>
      </c>
      <c r="AI97" s="0" t="str">
        <f aca="false">IF(AND($B97="D05",$C97="G3"),AI96&amp;IF(AI96="","",CHAR(10))&amp;$A97,AI96)</f>
        <v/>
      </c>
      <c r="AJ97" s="363" t="str">
        <f aca="false">IF(AND($B97="D05",$C97="G4"),AJ96&amp;IF(AJ96="","",CHAR(10))&amp;$A97,AJ96)</f>
        <v>○ 028 影像設備、PACS與報告流程
○ 029 實驗室自動化與LIS
○ 030 手術室與重症整合
◐ 031 醫材介接與裝置身分
◐ 032 醫療工程與設備生命週期</v>
      </c>
      <c r="AK97" s="0" t="str">
        <f aca="false">IF(AND($B97="D05",$C97="G5"),AK96&amp;IF(AK96="","",CHAR(10))&amp;$A97,AK96)</f>
        <v/>
      </c>
      <c r="AL97" s="0" t="str">
        <f aca="false">IF(AND($B97="D05",$C97="G6"),AL96&amp;IF(AL96="","",CHAR(10))&amp;$A97,AL96)</f>
        <v/>
      </c>
      <c r="AM97" s="0" t="str">
        <f aca="false">IF(AND($B97="D06",$C97="G0"),AM96&amp;IF(AM96="","",CHAR(10))&amp;$A97,AM96)</f>
        <v/>
      </c>
      <c r="AN97" s="0" t="str">
        <f aca="false">IF(AND($B97="D06",$C97="G1"),AN96&amp;IF(AN96="","",CHAR(10))&amp;$A97,AN96)</f>
        <v/>
      </c>
      <c r="AO97" s="0" t="str">
        <f aca="false">IF(AND($B97="D06",$C97="G2"),AO96&amp;IF(AO96="","",CHAR(10))&amp;$A97,AO96)</f>
        <v/>
      </c>
      <c r="AP97" s="363" t="str">
        <f aca="false">IF(AND($B97="D06",$C97="G3"),AP96&amp;IF(AP96="","",CHAR(10))&amp;$A97,AP96)</f>
        <v>◐ 033 HIS／EMR核心平台
◐ 036 臨床術語與主資料治理</v>
      </c>
      <c r="AQ97" s="363" t="str">
        <f aca="false">IF(AND($B97="D06",$C97="G4"),AQ96&amp;IF(AQ96="","",CHAR(10))&amp;$A97,AQ96)</f>
        <v>◐ 034 FHIR介接與API管理
○ 035 主病人索引與身分整合
◐ 037 電子醫囑、用藥與決策支援
◐ 038 資料平台、BI與營運指揮</v>
      </c>
      <c r="AR97" s="0" t="str">
        <f aca="false">IF(AND($B97="D06",$C97="G5"),AR96&amp;IF(AR96="","",CHAR(10))&amp;$A97,AR96)</f>
        <v>○ 039 病人入口、行動服務與VNeID準備</v>
      </c>
      <c r="AS97" s="0" t="str">
        <f aca="false">IF(AND($B97="D06",$C97="G6"),AS96&amp;IF(AS96="","",CHAR(10))&amp;$A97,AS96)</f>
        <v/>
      </c>
      <c r="AT97" s="0" t="str">
        <f aca="false">IF(AND($B97="D07",$C97="G0"),AT96&amp;IF(AT96="","",CHAR(10))&amp;$A97,AT96)</f>
        <v/>
      </c>
      <c r="AU97" s="0" t="str">
        <f aca="false">IF(AND($B97="D07",$C97="G1"),AU96&amp;IF(AU96="","",CHAR(10))&amp;$A97,AU96)</f>
        <v/>
      </c>
      <c r="AV97" s="0" t="str">
        <f aca="false">IF(AND($B97="D07",$C97="G2"),AV96&amp;IF(AV96="","",CHAR(10))&amp;$A97,AV96)</f>
        <v>◐ 040 品質管理與JCI路線圖</v>
      </c>
      <c r="AW97" s="363" t="str">
        <f aca="false">IF(AND($B97="D07",$C97="G3"),AW96&amp;IF(AW96="","",CHAR(10))&amp;$A97,AW96)</f>
        <v>◐ 041 感染預防與控制制度
◐ 043 事件通報與根因改善</v>
      </c>
      <c r="AX97" s="0" t="str">
        <f aca="false">IF(AND($B97="D07",$C97="G4"),AX96&amp;IF(AX96="","",CHAR(10))&amp;$A97,AX96)</f>
        <v>◐ 042 用藥安全閉環</v>
      </c>
      <c r="AY97" s="0" t="str">
        <f aca="false">IF(AND($B97="D07",$C97="G5"),AY96&amp;IF(AY96="","",CHAR(10))&amp;$A97,AY96)</f>
        <v>◐ 044 開院臨床安全驗證</v>
      </c>
      <c r="AZ97" s="0" t="str">
        <f aca="false">IF(AND($B97="D07",$C97="G6"),AZ96&amp;IF(AZ96="","",CHAR(10))&amp;$A97,AZ96)</f>
        <v/>
      </c>
      <c r="BA97" s="0" t="str">
        <f aca="false">IF(AND($B97="D08",$C97="G0"),BA96&amp;IF(BA96="","",CHAR(10))&amp;$A97,BA96)</f>
        <v/>
      </c>
      <c r="BB97" s="0" t="str">
        <f aca="false">IF(AND($B97="D08",$C97="G1"),BB96&amp;IF(BB96="","",CHAR(10))&amp;$A97,BB96)</f>
        <v/>
      </c>
      <c r="BC97" s="0" t="str">
        <f aca="false">IF(AND($B97="D08",$C97="G2"),BC96&amp;IF(BC96="","",CHAR(10))&amp;$A97,BC96)</f>
        <v>○ 045 人力與輪班模型</v>
      </c>
      <c r="BD97" s="0" t="str">
        <f aca="false">IF(AND($B97="D08",$C97="G3"),BD96&amp;IF(BD96="","",CHAR(10))&amp;$A97,BD96)</f>
        <v>◐ 046 職能矩陣與授權</v>
      </c>
      <c r="BE97" s="363" t="str">
        <f aca="false">IF(AND($B97="D08",$C97="G4"),BE96&amp;IF(BE96="","",CHAR(10))&amp;$A97,BE96)</f>
        <v>◐ 047 種子教師與技術移轉
◐ 049 變革管理與使用者採納</v>
      </c>
      <c r="BF97" s="0" t="str">
        <f aca="false">IF(AND($B97="D08",$C97="G5"),BF96&amp;IF(BF96="","",CHAR(10))&amp;$A97,BF96)</f>
        <v>◐ 048 模擬中心與開院演練</v>
      </c>
      <c r="BG97" s="0" t="str">
        <f aca="false">IF(AND($B97="D08",$C97="G6"),BG96&amp;IF(BG96="","",CHAR(10))&amp;$A97,BG96)</f>
        <v/>
      </c>
      <c r="BH97" s="0" t="str">
        <f aca="false">IF(AND($B97="D09",$C97="G0"),BH96&amp;IF(BH96="","",CHAR(10))&amp;$A97,BH96)</f>
        <v/>
      </c>
      <c r="BI97" s="0" t="str">
        <f aca="false">IF(AND($B97="D09",$C97="G1"),BI96&amp;IF(BI96="","",CHAR(10))&amp;$A97,BI96)</f>
        <v/>
      </c>
      <c r="BJ97" s="0" t="str">
        <f aca="false">IF(AND($B97="D09",$C97="G2"),BJ96&amp;IF(BJ96="","",CHAR(10))&amp;$A97,BJ96)</f>
        <v>◐ 050 整合採購與供應商治理</v>
      </c>
      <c r="BK97" s="0" t="str">
        <f aca="false">IF(AND($B97="D09",$C97="G3"),BK96&amp;IF(BK96="","",CHAR(10))&amp;$A97,BK96)</f>
        <v/>
      </c>
      <c r="BL97" s="363" t="str">
        <f aca="false">IF(AND($B97="D09",$C97="G4"),BL96&amp;IF(BL96="","",CHAR(10))&amp;$A97,BL96)</f>
        <v>◐ 051 藥品耗材與SPD物流
◐ 052 冷鏈與特殊物料
● 053 CMMS與設施維運</v>
      </c>
      <c r="BM97" s="0" t="str">
        <f aca="false">IF(AND($B97="D09",$C97="G5"),BM96&amp;IF(BM96="","",CHAR(10))&amp;$A97,BM96)</f>
        <v>◐ 054 在地備品、維修與汰換</v>
      </c>
      <c r="BN97" s="0" t="str">
        <f aca="false">IF(AND($B97="D09",$C97="G6"),BN96&amp;IF(BN96="","",CHAR(10))&amp;$A97,BN96)</f>
        <v/>
      </c>
      <c r="BO97" s="0" t="str">
        <f aca="false">IF(AND($B97="D10",$C97="G0"),BO96&amp;IF(BO96="","",CHAR(10))&amp;$A97,BO96)</f>
        <v/>
      </c>
      <c r="BP97" s="0" t="str">
        <f aca="false">IF(AND($B97="D10",$C97="G1"),BP96&amp;IF(BP96="","",CHAR(10))&amp;$A97,BP96)</f>
        <v>◐ 055 全生命週期成本模型</v>
      </c>
      <c r="BQ97" s="0" t="str">
        <f aca="false">IF(AND($B97="D10",$C97="G2"),BQ96&amp;IF(BQ96="","",CHAR(10))&amp;$A97,BQ96)</f>
        <v>◐ 059 PPP／JV財務與風險分配</v>
      </c>
      <c r="BR97" s="0" t="str">
        <f aca="false">IF(AND($B97="D10",$C97="G3"),BR96&amp;IF(BR96="","",CHAR(10))&amp;$A97,BR96)</f>
        <v/>
      </c>
      <c r="BS97" s="363" t="str">
        <f aca="false">IF(AND($B97="D10",$C97="G4"),BS96&amp;IF(BS96="","",CHAR(10))&amp;$A97,BS96)</f>
        <v>○ 056 健保申報與數位理賠
○ 057 現金流、支付與收入週期</v>
      </c>
      <c r="BT97" s="0" t="str">
        <f aca="false">IF(AND($B97="D10",$C97="G5"),BT96&amp;IF(BT96="","",CHAR(10))&amp;$A97,BT96)</f>
        <v>○ 058 國際醫療與高價值服務</v>
      </c>
      <c r="BU97" s="0" t="str">
        <f aca="false">IF(AND($B97="D10",$C97="G6"),BU96&amp;IF(BU96="","",CHAR(10))&amp;$A97,BU96)</f>
        <v>◐ 060 效益實現與複製藍圖</v>
      </c>
      <c r="BX97" s="0" t="str">
        <f aca="false">IF(AND(03_能力總表_Master!$A97&lt;&gt;"",LEFT(03_能力總表_Master!$H97,2)="缺口"),MAX($BX$4:BX96)+1,"")</f>
        <v/>
      </c>
      <c r="BY97" s="0" t="str">
        <f aca="false">IF(AND(03_能力總表_Master!$A97&lt;&gt;"",03_能力總表_Master!$J97=12_夥伴視角_PartnerView!$C$4),MAX($BY$4:BY96)+1,"")</f>
        <v/>
      </c>
      <c r="CC97" s="0" t="str">
        <f aca="false">IF(AND(03_能力總表_Master!$A97&lt;&gt;"",IFERROR(INDEX(16_能力商機矩陣_CapOppMap!$D97:$CO97,MATCH(LEFT(17_商機作戰卡_OppView!$C$4,6),16_能力商機矩陣_CapOppMap!$D$4:$CO$4,0)),"")="✓"),MAX($CC$4:CC96)+1,"")</f>
        <v/>
      </c>
    </row>
    <row r="98" customFormat="false" ht="95.5" hidden="false" customHeight="false" outlineLevel="0" collapsed="false">
      <c r="A98" s="0" t="str">
        <f aca="false">IF(03_能力總表_Master!$A98="","",IF(LEFT(03_能力總表_Master!$H98,2)="群晶","● ",IF(ISNUMBER(SEARCH("已確認",03_能力總表_Master!$H98)),"◆ ",IF(ISNUMBER(SEARCH("缺口",03_能力總表_Master!$H98)),"○ ","◐ ")))&amp;RIGHT(03_能力總表_Master!$A98,3)&amp;" "&amp;03_能力總表_Master!$E98)</f>
        <v/>
      </c>
      <c r="B98" s="0" t="str">
        <f aca="false">IF(03_能力總表_Master!$A98="","",LEFT(03_能力總表_Master!$B98,3))</f>
        <v/>
      </c>
      <c r="C98" s="0" t="str">
        <f aca="false">IF(03_能力總表_Master!$A98="","",03_能力總表_Master!$C98)</f>
        <v/>
      </c>
      <c r="D98" s="363" t="str">
        <f aca="false">IF(AND($B98="D01",$C98="G0"),D97&amp;IF(D97="","",CHAR(10))&amp;$A98,D97)</f>
        <v>◐ 001 政府授權與計畫章程
◐ 002 利害關係人與權力地圖
◐ 005 聯盟治理與利益衝突</v>
      </c>
      <c r="E98" s="363" t="str">
        <f aca="false">IF(AND($B98="D01",$C98="G1"),E97&amp;IF(E97="","",CHAR(10))&amp;$A98,E97)</f>
        <v>◐ 003 交易模式選擇
◐ 004 法規與執照路徑</v>
      </c>
      <c r="F98" s="0" t="str">
        <f aca="false">IF(AND($B98="D01",$C98="G2"),F97&amp;IF(F97="","",CHAR(10))&amp;$A98,F97)</f>
        <v>◐ 006 績效契約與變更控制</v>
      </c>
      <c r="G98" s="0" t="str">
        <f aca="false">IF(AND($B98="D01",$C98="G3"),G97&amp;IF(G97="","",CHAR(10))&amp;$A98,G97)</f>
        <v/>
      </c>
      <c r="H98" s="0" t="str">
        <f aca="false">IF(AND($B98="D01",$C98="G4"),H97&amp;IF(H97="","",CHAR(10))&amp;$A98,H97)</f>
        <v/>
      </c>
      <c r="I98" s="0" t="str">
        <f aca="false">IF(AND($B98="D01",$C98="G5"),I97&amp;IF(I97="","",CHAR(10))&amp;$A98,I97)</f>
        <v/>
      </c>
      <c r="J98" s="0" t="str">
        <f aca="false">IF(AND($B98="D01",$C98="G6"),J97&amp;IF(J97="","",CHAR(10))&amp;$A98,J97)</f>
        <v/>
      </c>
      <c r="K98" s="0" t="str">
        <f aca="false">IF(AND($B98="D02",$C98="G0"),K97&amp;IF(K97="","",CHAR(10))&amp;$A98,K97)</f>
        <v/>
      </c>
      <c r="L98" s="363" t="str">
        <f aca="false">IF(AND($B98="D02",$C98="G1"),L97&amp;IF(L97="","",CHAR(10))&amp;$A98,L97)</f>
        <v>◐ 007 人口需求與病例量預測
◐ 008 醫院定位與服務組合
◐ 009 重點專科優先化
◐ 010 病人流程與容量設計
◐ 011 轉診與區域照護網絡
◐ 012 臨床治理與責任架構</v>
      </c>
      <c r="M98" s="0" t="str">
        <f aca="false">IF(AND($B98="D02",$C98="G2"),M97&amp;IF(M97="","",CHAR(10))&amp;$A98,M97)</f>
        <v/>
      </c>
      <c r="N98" s="0" t="str">
        <f aca="false">IF(AND($B98="D02",$C98="G3"),N97&amp;IF(N97="","",CHAR(10))&amp;$A98,N97)</f>
        <v/>
      </c>
      <c r="O98" s="0" t="str">
        <f aca="false">IF(AND($B98="D02",$C98="G4"),O97&amp;IF(O97="","",CHAR(10))&amp;$A98,O97)</f>
        <v/>
      </c>
      <c r="P98" s="0" t="str">
        <f aca="false">IF(AND($B98="D02",$C98="G5"),P97&amp;IF(P97="","",CHAR(10))&amp;$A98,P97)</f>
        <v/>
      </c>
      <c r="Q98" s="0" t="str">
        <f aca="false">IF(AND($B98="D02",$C98="G6"),Q97&amp;IF(Q97="","",CHAR(10))&amp;$A98,Q97)</f>
        <v/>
      </c>
      <c r="R98" s="0" t="str">
        <f aca="false">IF(AND($B98="D03",$C98="G0"),R97&amp;IF(R97="","",CHAR(10))&amp;$A98,R97)</f>
        <v/>
      </c>
      <c r="S98" s="0" t="str">
        <f aca="false">IF(AND($B98="D03",$C98="G1"),S97&amp;IF(S97="","",CHAR(10))&amp;$A98,S97)</f>
        <v>◐ 013 場址與醫院總體規劃</v>
      </c>
      <c r="T98" s="363" t="str">
        <f aca="false">IF(AND($B98="D03",$C98="G2"),T97&amp;IF(T97="","",CHAR(10))&amp;$A98,T97)</f>
        <v>◐ 014 醫療建築功能計畫
◐ 015 感染控制與潔污動線
◐ 019 綠色與氣候韌性醫院</v>
      </c>
      <c r="U98" s="363" t="str">
        <f aca="false">IF(AND($B98="D03",$C98="G3"),U97&amp;IF(U97="","",CHAR(10))&amp;$A98,U97)</f>
        <v>● 016 電力、備援與微電網
◐ 017 醫療氣體與關鍵公用系統
◐ 018 醫療廢棄物與水資源</v>
      </c>
      <c r="V98" s="0" t="str">
        <f aca="false">IF(AND($B98="D03",$C98="G4"),V97&amp;IF(V97="","",CHAR(10))&amp;$A98,V97)</f>
        <v/>
      </c>
      <c r="W98" s="0" t="str">
        <f aca="false">IF(AND($B98="D03",$C98="G5"),W97&amp;IF(W97="","",CHAR(10))&amp;$A98,W97)</f>
        <v/>
      </c>
      <c r="X98" s="0" t="str">
        <f aca="false">IF(AND($B98="D03",$C98="G6"),X97&amp;IF(X97="","",CHAR(10))&amp;$A98,X97)</f>
        <v/>
      </c>
      <c r="Y98" s="0" t="str">
        <f aca="false">IF(AND($B98="D04",$C98="G0"),Y97&amp;IF(Y97="","",CHAR(10))&amp;$A98,Y97)</f>
        <v/>
      </c>
      <c r="Z98" s="0" t="str">
        <f aca="false">IF(AND($B98="D04",$C98="G1"),Z97&amp;IF(Z97="","",CHAR(10))&amp;$A98,Z97)</f>
        <v/>
      </c>
      <c r="AA98" s="0" t="str">
        <f aca="false">IF(AND($B98="D04",$C98="G2"),AA97&amp;IF(AA97="","",CHAR(10))&amp;$A98,AA97)</f>
        <v/>
      </c>
      <c r="AB98" s="0" t="str">
        <f aca="false">IF(AND($B98="D04",$C98="G3"),AB97&amp;IF(AB97="","",CHAR(10))&amp;$A98,AB97)</f>
        <v>● 020 IDC與邊緣運算底座</v>
      </c>
      <c r="AC98" s="363" t="str">
        <f aca="false">IF(AND($B98="D04",$C98="G4"),AC97&amp;IF(AC97="","",CHAR(10))&amp;$A98,AC97)</f>
        <v>● 021 有線無線網路與分區
◐ 022 資安營運與零信任
● 023 BMS與能源管理
● 024 RTLS與資產／人員定位
● 025 智慧病房、護理呼叫與感測
● 026 災難復原與營運持續</v>
      </c>
      <c r="AD98" s="0" t="str">
        <f aca="false">IF(AND($B98="D04",$C98="G5"),AD97&amp;IF(AD97="","",CHAR(10))&amp;$A98,AD97)</f>
        <v/>
      </c>
      <c r="AE98" s="0" t="str">
        <f aca="false">IF(AND($B98="D04",$C98="G6"),AE97&amp;IF(AE97="","",CHAR(10))&amp;$A98,AE97)</f>
        <v/>
      </c>
      <c r="AF98" s="0" t="str">
        <f aca="false">IF(AND($B98="D05",$C98="G0"),AF97&amp;IF(AF97="","",CHAR(10))&amp;$A98,AF97)</f>
        <v/>
      </c>
      <c r="AG98" s="0" t="str">
        <f aca="false">IF(AND($B98="D05",$C98="G1"),AG97&amp;IF(AG97="","",CHAR(10))&amp;$A98,AG97)</f>
        <v/>
      </c>
      <c r="AH98" s="0" t="str">
        <f aca="false">IF(AND($B98="D05",$C98="G2"),AH97&amp;IF(AH97="","",CHAR(10))&amp;$A98,AH97)</f>
        <v>◐ 027 醫材需求與設備計畫</v>
      </c>
      <c r="AI98" s="0" t="str">
        <f aca="false">IF(AND($B98="D05",$C98="G3"),AI97&amp;IF(AI97="","",CHAR(10))&amp;$A98,AI97)</f>
        <v/>
      </c>
      <c r="AJ98" s="363" t="str">
        <f aca="false">IF(AND($B98="D05",$C98="G4"),AJ97&amp;IF(AJ97="","",CHAR(10))&amp;$A98,AJ97)</f>
        <v>○ 028 影像設備、PACS與報告流程
○ 029 實驗室自動化與LIS
○ 030 手術室與重症整合
◐ 031 醫材介接與裝置身分
◐ 032 醫療工程與設備生命週期</v>
      </c>
      <c r="AK98" s="0" t="str">
        <f aca="false">IF(AND($B98="D05",$C98="G5"),AK97&amp;IF(AK97="","",CHAR(10))&amp;$A98,AK97)</f>
        <v/>
      </c>
      <c r="AL98" s="0" t="str">
        <f aca="false">IF(AND($B98="D05",$C98="G6"),AL97&amp;IF(AL97="","",CHAR(10))&amp;$A98,AL97)</f>
        <v/>
      </c>
      <c r="AM98" s="0" t="str">
        <f aca="false">IF(AND($B98="D06",$C98="G0"),AM97&amp;IF(AM97="","",CHAR(10))&amp;$A98,AM97)</f>
        <v/>
      </c>
      <c r="AN98" s="0" t="str">
        <f aca="false">IF(AND($B98="D06",$C98="G1"),AN97&amp;IF(AN97="","",CHAR(10))&amp;$A98,AN97)</f>
        <v/>
      </c>
      <c r="AO98" s="0" t="str">
        <f aca="false">IF(AND($B98="D06",$C98="G2"),AO97&amp;IF(AO97="","",CHAR(10))&amp;$A98,AO97)</f>
        <v/>
      </c>
      <c r="AP98" s="363" t="str">
        <f aca="false">IF(AND($B98="D06",$C98="G3"),AP97&amp;IF(AP97="","",CHAR(10))&amp;$A98,AP97)</f>
        <v>◐ 033 HIS／EMR核心平台
◐ 036 臨床術語與主資料治理</v>
      </c>
      <c r="AQ98" s="363" t="str">
        <f aca="false">IF(AND($B98="D06",$C98="G4"),AQ97&amp;IF(AQ97="","",CHAR(10))&amp;$A98,AQ97)</f>
        <v>◐ 034 FHIR介接與API管理
○ 035 主病人索引與身分整合
◐ 037 電子醫囑、用藥與決策支援
◐ 038 資料平台、BI與營運指揮</v>
      </c>
      <c r="AR98" s="0" t="str">
        <f aca="false">IF(AND($B98="D06",$C98="G5"),AR97&amp;IF(AR97="","",CHAR(10))&amp;$A98,AR97)</f>
        <v>○ 039 病人入口、行動服務與VNeID準備</v>
      </c>
      <c r="AS98" s="0" t="str">
        <f aca="false">IF(AND($B98="D06",$C98="G6"),AS97&amp;IF(AS97="","",CHAR(10))&amp;$A98,AS97)</f>
        <v/>
      </c>
      <c r="AT98" s="0" t="str">
        <f aca="false">IF(AND($B98="D07",$C98="G0"),AT97&amp;IF(AT97="","",CHAR(10))&amp;$A98,AT97)</f>
        <v/>
      </c>
      <c r="AU98" s="0" t="str">
        <f aca="false">IF(AND($B98="D07",$C98="G1"),AU97&amp;IF(AU97="","",CHAR(10))&amp;$A98,AU97)</f>
        <v/>
      </c>
      <c r="AV98" s="0" t="str">
        <f aca="false">IF(AND($B98="D07",$C98="G2"),AV97&amp;IF(AV97="","",CHAR(10))&amp;$A98,AV97)</f>
        <v>◐ 040 品質管理與JCI路線圖</v>
      </c>
      <c r="AW98" s="363" t="str">
        <f aca="false">IF(AND($B98="D07",$C98="G3"),AW97&amp;IF(AW97="","",CHAR(10))&amp;$A98,AW97)</f>
        <v>◐ 041 感染預防與控制制度
◐ 043 事件通報與根因改善</v>
      </c>
      <c r="AX98" s="0" t="str">
        <f aca="false">IF(AND($B98="D07",$C98="G4"),AX97&amp;IF(AX97="","",CHAR(10))&amp;$A98,AX97)</f>
        <v>◐ 042 用藥安全閉環</v>
      </c>
      <c r="AY98" s="0" t="str">
        <f aca="false">IF(AND($B98="D07",$C98="G5"),AY97&amp;IF(AY97="","",CHAR(10))&amp;$A98,AY97)</f>
        <v>◐ 044 開院臨床安全驗證</v>
      </c>
      <c r="AZ98" s="0" t="str">
        <f aca="false">IF(AND($B98="D07",$C98="G6"),AZ97&amp;IF(AZ97="","",CHAR(10))&amp;$A98,AZ97)</f>
        <v/>
      </c>
      <c r="BA98" s="0" t="str">
        <f aca="false">IF(AND($B98="D08",$C98="G0"),BA97&amp;IF(BA97="","",CHAR(10))&amp;$A98,BA97)</f>
        <v/>
      </c>
      <c r="BB98" s="0" t="str">
        <f aca="false">IF(AND($B98="D08",$C98="G1"),BB97&amp;IF(BB97="","",CHAR(10))&amp;$A98,BB97)</f>
        <v/>
      </c>
      <c r="BC98" s="0" t="str">
        <f aca="false">IF(AND($B98="D08",$C98="G2"),BC97&amp;IF(BC97="","",CHAR(10))&amp;$A98,BC97)</f>
        <v>○ 045 人力與輪班模型</v>
      </c>
      <c r="BD98" s="0" t="str">
        <f aca="false">IF(AND($B98="D08",$C98="G3"),BD97&amp;IF(BD97="","",CHAR(10))&amp;$A98,BD97)</f>
        <v>◐ 046 職能矩陣與授權</v>
      </c>
      <c r="BE98" s="363" t="str">
        <f aca="false">IF(AND($B98="D08",$C98="G4"),BE97&amp;IF(BE97="","",CHAR(10))&amp;$A98,BE97)</f>
        <v>◐ 047 種子教師與技術移轉
◐ 049 變革管理與使用者採納</v>
      </c>
      <c r="BF98" s="0" t="str">
        <f aca="false">IF(AND($B98="D08",$C98="G5"),BF97&amp;IF(BF97="","",CHAR(10))&amp;$A98,BF97)</f>
        <v>◐ 048 模擬中心與開院演練</v>
      </c>
      <c r="BG98" s="0" t="str">
        <f aca="false">IF(AND($B98="D08",$C98="G6"),BG97&amp;IF(BG97="","",CHAR(10))&amp;$A98,BG97)</f>
        <v/>
      </c>
      <c r="BH98" s="0" t="str">
        <f aca="false">IF(AND($B98="D09",$C98="G0"),BH97&amp;IF(BH97="","",CHAR(10))&amp;$A98,BH97)</f>
        <v/>
      </c>
      <c r="BI98" s="0" t="str">
        <f aca="false">IF(AND($B98="D09",$C98="G1"),BI97&amp;IF(BI97="","",CHAR(10))&amp;$A98,BI97)</f>
        <v/>
      </c>
      <c r="BJ98" s="0" t="str">
        <f aca="false">IF(AND($B98="D09",$C98="G2"),BJ97&amp;IF(BJ97="","",CHAR(10))&amp;$A98,BJ97)</f>
        <v>◐ 050 整合採購與供應商治理</v>
      </c>
      <c r="BK98" s="0" t="str">
        <f aca="false">IF(AND($B98="D09",$C98="G3"),BK97&amp;IF(BK97="","",CHAR(10))&amp;$A98,BK97)</f>
        <v/>
      </c>
      <c r="BL98" s="363" t="str">
        <f aca="false">IF(AND($B98="D09",$C98="G4"),BL97&amp;IF(BL97="","",CHAR(10))&amp;$A98,BL97)</f>
        <v>◐ 051 藥品耗材與SPD物流
◐ 052 冷鏈與特殊物料
● 053 CMMS與設施維運</v>
      </c>
      <c r="BM98" s="0" t="str">
        <f aca="false">IF(AND($B98="D09",$C98="G5"),BM97&amp;IF(BM97="","",CHAR(10))&amp;$A98,BM97)</f>
        <v>◐ 054 在地備品、維修與汰換</v>
      </c>
      <c r="BN98" s="0" t="str">
        <f aca="false">IF(AND($B98="D09",$C98="G6"),BN97&amp;IF(BN97="","",CHAR(10))&amp;$A98,BN97)</f>
        <v/>
      </c>
      <c r="BO98" s="0" t="str">
        <f aca="false">IF(AND($B98="D10",$C98="G0"),BO97&amp;IF(BO97="","",CHAR(10))&amp;$A98,BO97)</f>
        <v/>
      </c>
      <c r="BP98" s="0" t="str">
        <f aca="false">IF(AND($B98="D10",$C98="G1"),BP97&amp;IF(BP97="","",CHAR(10))&amp;$A98,BP97)</f>
        <v>◐ 055 全生命週期成本模型</v>
      </c>
      <c r="BQ98" s="0" t="str">
        <f aca="false">IF(AND($B98="D10",$C98="G2"),BQ97&amp;IF(BQ97="","",CHAR(10))&amp;$A98,BQ97)</f>
        <v>◐ 059 PPP／JV財務與風險分配</v>
      </c>
      <c r="BR98" s="0" t="str">
        <f aca="false">IF(AND($B98="D10",$C98="G3"),BR97&amp;IF(BR97="","",CHAR(10))&amp;$A98,BR97)</f>
        <v/>
      </c>
      <c r="BS98" s="363" t="str">
        <f aca="false">IF(AND($B98="D10",$C98="G4"),BS97&amp;IF(BS97="","",CHAR(10))&amp;$A98,BS97)</f>
        <v>○ 056 健保申報與數位理賠
○ 057 現金流、支付與收入週期</v>
      </c>
      <c r="BT98" s="0" t="str">
        <f aca="false">IF(AND($B98="D10",$C98="G5"),BT97&amp;IF(BT97="","",CHAR(10))&amp;$A98,BT97)</f>
        <v>○ 058 國際醫療與高價值服務</v>
      </c>
      <c r="BU98" s="0" t="str">
        <f aca="false">IF(AND($B98="D10",$C98="G6"),BU97&amp;IF(BU97="","",CHAR(10))&amp;$A98,BU97)</f>
        <v>◐ 060 效益實現與複製藍圖</v>
      </c>
      <c r="BX98" s="0" t="str">
        <f aca="false">IF(AND(03_能力總表_Master!$A98&lt;&gt;"",LEFT(03_能力總表_Master!$H98,2)="缺口"),MAX($BX$4:BX97)+1,"")</f>
        <v/>
      </c>
      <c r="BY98" s="0" t="str">
        <f aca="false">IF(AND(03_能力總表_Master!$A98&lt;&gt;"",03_能力總表_Master!$J98=12_夥伴視角_PartnerView!$C$4),MAX($BY$4:BY97)+1,"")</f>
        <v/>
      </c>
      <c r="CC98" s="0" t="str">
        <f aca="false">IF(AND(03_能力總表_Master!$A98&lt;&gt;"",IFERROR(INDEX(16_能力商機矩陣_CapOppMap!$D98:$CO98,MATCH(LEFT(17_商機作戰卡_OppView!$C$4,6),16_能力商機矩陣_CapOppMap!$D$4:$CO$4,0)),"")="✓"),MAX($CC$4:CC97)+1,"")</f>
        <v/>
      </c>
    </row>
    <row r="99" customFormat="false" ht="95.5" hidden="false" customHeight="false" outlineLevel="0" collapsed="false">
      <c r="A99" s="0" t="str">
        <f aca="false">IF(03_能力總表_Master!$A99="","",IF(LEFT(03_能力總表_Master!$H99,2)="群晶","● ",IF(ISNUMBER(SEARCH("已確認",03_能力總表_Master!$H99)),"◆ ",IF(ISNUMBER(SEARCH("缺口",03_能力總表_Master!$H99)),"○ ","◐ ")))&amp;RIGHT(03_能力總表_Master!$A99,3)&amp;" "&amp;03_能力總表_Master!$E99)</f>
        <v/>
      </c>
      <c r="B99" s="0" t="str">
        <f aca="false">IF(03_能力總表_Master!$A99="","",LEFT(03_能力總表_Master!$B99,3))</f>
        <v/>
      </c>
      <c r="C99" s="0" t="str">
        <f aca="false">IF(03_能力總表_Master!$A99="","",03_能力總表_Master!$C99)</f>
        <v/>
      </c>
      <c r="D99" s="363" t="str">
        <f aca="false">IF(AND($B99="D01",$C99="G0"),D98&amp;IF(D98="","",CHAR(10))&amp;$A99,D98)</f>
        <v>◐ 001 政府授權與計畫章程
◐ 002 利害關係人與權力地圖
◐ 005 聯盟治理與利益衝突</v>
      </c>
      <c r="E99" s="363" t="str">
        <f aca="false">IF(AND($B99="D01",$C99="G1"),E98&amp;IF(E98="","",CHAR(10))&amp;$A99,E98)</f>
        <v>◐ 003 交易模式選擇
◐ 004 法規與執照路徑</v>
      </c>
      <c r="F99" s="0" t="str">
        <f aca="false">IF(AND($B99="D01",$C99="G2"),F98&amp;IF(F98="","",CHAR(10))&amp;$A99,F98)</f>
        <v>◐ 006 績效契約與變更控制</v>
      </c>
      <c r="G99" s="0" t="str">
        <f aca="false">IF(AND($B99="D01",$C99="G3"),G98&amp;IF(G98="","",CHAR(10))&amp;$A99,G98)</f>
        <v/>
      </c>
      <c r="H99" s="0" t="str">
        <f aca="false">IF(AND($B99="D01",$C99="G4"),H98&amp;IF(H98="","",CHAR(10))&amp;$A99,H98)</f>
        <v/>
      </c>
      <c r="I99" s="0" t="str">
        <f aca="false">IF(AND($B99="D01",$C99="G5"),I98&amp;IF(I98="","",CHAR(10))&amp;$A99,I98)</f>
        <v/>
      </c>
      <c r="J99" s="0" t="str">
        <f aca="false">IF(AND($B99="D01",$C99="G6"),J98&amp;IF(J98="","",CHAR(10))&amp;$A99,J98)</f>
        <v/>
      </c>
      <c r="K99" s="0" t="str">
        <f aca="false">IF(AND($B99="D02",$C99="G0"),K98&amp;IF(K98="","",CHAR(10))&amp;$A99,K98)</f>
        <v/>
      </c>
      <c r="L99" s="363" t="str">
        <f aca="false">IF(AND($B99="D02",$C99="G1"),L98&amp;IF(L98="","",CHAR(10))&amp;$A99,L98)</f>
        <v>◐ 007 人口需求與病例量預測
◐ 008 醫院定位與服務組合
◐ 009 重點專科優先化
◐ 010 病人流程與容量設計
◐ 011 轉診與區域照護網絡
◐ 012 臨床治理與責任架構</v>
      </c>
      <c r="M99" s="0" t="str">
        <f aca="false">IF(AND($B99="D02",$C99="G2"),M98&amp;IF(M98="","",CHAR(10))&amp;$A99,M98)</f>
        <v/>
      </c>
      <c r="N99" s="0" t="str">
        <f aca="false">IF(AND($B99="D02",$C99="G3"),N98&amp;IF(N98="","",CHAR(10))&amp;$A99,N98)</f>
        <v/>
      </c>
      <c r="O99" s="0" t="str">
        <f aca="false">IF(AND($B99="D02",$C99="G4"),O98&amp;IF(O98="","",CHAR(10))&amp;$A99,O98)</f>
        <v/>
      </c>
      <c r="P99" s="0" t="str">
        <f aca="false">IF(AND($B99="D02",$C99="G5"),P98&amp;IF(P98="","",CHAR(10))&amp;$A99,P98)</f>
        <v/>
      </c>
      <c r="Q99" s="0" t="str">
        <f aca="false">IF(AND($B99="D02",$C99="G6"),Q98&amp;IF(Q98="","",CHAR(10))&amp;$A99,Q98)</f>
        <v/>
      </c>
      <c r="R99" s="0" t="str">
        <f aca="false">IF(AND($B99="D03",$C99="G0"),R98&amp;IF(R98="","",CHAR(10))&amp;$A99,R98)</f>
        <v/>
      </c>
      <c r="S99" s="0" t="str">
        <f aca="false">IF(AND($B99="D03",$C99="G1"),S98&amp;IF(S98="","",CHAR(10))&amp;$A99,S98)</f>
        <v>◐ 013 場址與醫院總體規劃</v>
      </c>
      <c r="T99" s="363" t="str">
        <f aca="false">IF(AND($B99="D03",$C99="G2"),T98&amp;IF(T98="","",CHAR(10))&amp;$A99,T98)</f>
        <v>◐ 014 醫療建築功能計畫
◐ 015 感染控制與潔污動線
◐ 019 綠色與氣候韌性醫院</v>
      </c>
      <c r="U99" s="363" t="str">
        <f aca="false">IF(AND($B99="D03",$C99="G3"),U98&amp;IF(U98="","",CHAR(10))&amp;$A99,U98)</f>
        <v>● 016 電力、備援與微電網
◐ 017 醫療氣體與關鍵公用系統
◐ 018 醫療廢棄物與水資源</v>
      </c>
      <c r="V99" s="0" t="str">
        <f aca="false">IF(AND($B99="D03",$C99="G4"),V98&amp;IF(V98="","",CHAR(10))&amp;$A99,V98)</f>
        <v/>
      </c>
      <c r="W99" s="0" t="str">
        <f aca="false">IF(AND($B99="D03",$C99="G5"),W98&amp;IF(W98="","",CHAR(10))&amp;$A99,W98)</f>
        <v/>
      </c>
      <c r="X99" s="0" t="str">
        <f aca="false">IF(AND($B99="D03",$C99="G6"),X98&amp;IF(X98="","",CHAR(10))&amp;$A99,X98)</f>
        <v/>
      </c>
      <c r="Y99" s="0" t="str">
        <f aca="false">IF(AND($B99="D04",$C99="G0"),Y98&amp;IF(Y98="","",CHAR(10))&amp;$A99,Y98)</f>
        <v/>
      </c>
      <c r="Z99" s="0" t="str">
        <f aca="false">IF(AND($B99="D04",$C99="G1"),Z98&amp;IF(Z98="","",CHAR(10))&amp;$A99,Z98)</f>
        <v/>
      </c>
      <c r="AA99" s="0" t="str">
        <f aca="false">IF(AND($B99="D04",$C99="G2"),AA98&amp;IF(AA98="","",CHAR(10))&amp;$A99,AA98)</f>
        <v/>
      </c>
      <c r="AB99" s="0" t="str">
        <f aca="false">IF(AND($B99="D04",$C99="G3"),AB98&amp;IF(AB98="","",CHAR(10))&amp;$A99,AB98)</f>
        <v>● 020 IDC與邊緣運算底座</v>
      </c>
      <c r="AC99" s="363" t="str">
        <f aca="false">IF(AND($B99="D04",$C99="G4"),AC98&amp;IF(AC98="","",CHAR(10))&amp;$A99,AC98)</f>
        <v>● 021 有線無線網路與分區
◐ 022 資安營運與零信任
● 023 BMS與能源管理
● 024 RTLS與資產／人員定位
● 025 智慧病房、護理呼叫與感測
● 026 災難復原與營運持續</v>
      </c>
      <c r="AD99" s="0" t="str">
        <f aca="false">IF(AND($B99="D04",$C99="G5"),AD98&amp;IF(AD98="","",CHAR(10))&amp;$A99,AD98)</f>
        <v/>
      </c>
      <c r="AE99" s="0" t="str">
        <f aca="false">IF(AND($B99="D04",$C99="G6"),AE98&amp;IF(AE98="","",CHAR(10))&amp;$A99,AE98)</f>
        <v/>
      </c>
      <c r="AF99" s="0" t="str">
        <f aca="false">IF(AND($B99="D05",$C99="G0"),AF98&amp;IF(AF98="","",CHAR(10))&amp;$A99,AF98)</f>
        <v/>
      </c>
      <c r="AG99" s="0" t="str">
        <f aca="false">IF(AND($B99="D05",$C99="G1"),AG98&amp;IF(AG98="","",CHAR(10))&amp;$A99,AG98)</f>
        <v/>
      </c>
      <c r="AH99" s="0" t="str">
        <f aca="false">IF(AND($B99="D05",$C99="G2"),AH98&amp;IF(AH98="","",CHAR(10))&amp;$A99,AH98)</f>
        <v>◐ 027 醫材需求與設備計畫</v>
      </c>
      <c r="AI99" s="0" t="str">
        <f aca="false">IF(AND($B99="D05",$C99="G3"),AI98&amp;IF(AI98="","",CHAR(10))&amp;$A99,AI98)</f>
        <v/>
      </c>
      <c r="AJ99" s="363" t="str">
        <f aca="false">IF(AND($B99="D05",$C99="G4"),AJ98&amp;IF(AJ98="","",CHAR(10))&amp;$A99,AJ98)</f>
        <v>○ 028 影像設備、PACS與報告流程
○ 029 實驗室自動化與LIS
○ 030 手術室與重症整合
◐ 031 醫材介接與裝置身分
◐ 032 醫療工程與設備生命週期</v>
      </c>
      <c r="AK99" s="0" t="str">
        <f aca="false">IF(AND($B99="D05",$C99="G5"),AK98&amp;IF(AK98="","",CHAR(10))&amp;$A99,AK98)</f>
        <v/>
      </c>
      <c r="AL99" s="0" t="str">
        <f aca="false">IF(AND($B99="D05",$C99="G6"),AL98&amp;IF(AL98="","",CHAR(10))&amp;$A99,AL98)</f>
        <v/>
      </c>
      <c r="AM99" s="0" t="str">
        <f aca="false">IF(AND($B99="D06",$C99="G0"),AM98&amp;IF(AM98="","",CHAR(10))&amp;$A99,AM98)</f>
        <v/>
      </c>
      <c r="AN99" s="0" t="str">
        <f aca="false">IF(AND($B99="D06",$C99="G1"),AN98&amp;IF(AN98="","",CHAR(10))&amp;$A99,AN98)</f>
        <v/>
      </c>
      <c r="AO99" s="0" t="str">
        <f aca="false">IF(AND($B99="D06",$C99="G2"),AO98&amp;IF(AO98="","",CHAR(10))&amp;$A99,AO98)</f>
        <v/>
      </c>
      <c r="AP99" s="363" t="str">
        <f aca="false">IF(AND($B99="D06",$C99="G3"),AP98&amp;IF(AP98="","",CHAR(10))&amp;$A99,AP98)</f>
        <v>◐ 033 HIS／EMR核心平台
◐ 036 臨床術語與主資料治理</v>
      </c>
      <c r="AQ99" s="363" t="str">
        <f aca="false">IF(AND($B99="D06",$C99="G4"),AQ98&amp;IF(AQ98="","",CHAR(10))&amp;$A99,AQ98)</f>
        <v>◐ 034 FHIR介接與API管理
○ 035 主病人索引與身分整合
◐ 037 電子醫囑、用藥與決策支援
◐ 038 資料平台、BI與營運指揮</v>
      </c>
      <c r="AR99" s="0" t="str">
        <f aca="false">IF(AND($B99="D06",$C99="G5"),AR98&amp;IF(AR98="","",CHAR(10))&amp;$A99,AR98)</f>
        <v>○ 039 病人入口、行動服務與VNeID準備</v>
      </c>
      <c r="AS99" s="0" t="str">
        <f aca="false">IF(AND($B99="D06",$C99="G6"),AS98&amp;IF(AS98="","",CHAR(10))&amp;$A99,AS98)</f>
        <v/>
      </c>
      <c r="AT99" s="0" t="str">
        <f aca="false">IF(AND($B99="D07",$C99="G0"),AT98&amp;IF(AT98="","",CHAR(10))&amp;$A99,AT98)</f>
        <v/>
      </c>
      <c r="AU99" s="0" t="str">
        <f aca="false">IF(AND($B99="D07",$C99="G1"),AU98&amp;IF(AU98="","",CHAR(10))&amp;$A99,AU98)</f>
        <v/>
      </c>
      <c r="AV99" s="0" t="str">
        <f aca="false">IF(AND($B99="D07",$C99="G2"),AV98&amp;IF(AV98="","",CHAR(10))&amp;$A99,AV98)</f>
        <v>◐ 040 品質管理與JCI路線圖</v>
      </c>
      <c r="AW99" s="363" t="str">
        <f aca="false">IF(AND($B99="D07",$C99="G3"),AW98&amp;IF(AW98="","",CHAR(10))&amp;$A99,AW98)</f>
        <v>◐ 041 感染預防與控制制度
◐ 043 事件通報與根因改善</v>
      </c>
      <c r="AX99" s="0" t="str">
        <f aca="false">IF(AND($B99="D07",$C99="G4"),AX98&amp;IF(AX98="","",CHAR(10))&amp;$A99,AX98)</f>
        <v>◐ 042 用藥安全閉環</v>
      </c>
      <c r="AY99" s="0" t="str">
        <f aca="false">IF(AND($B99="D07",$C99="G5"),AY98&amp;IF(AY98="","",CHAR(10))&amp;$A99,AY98)</f>
        <v>◐ 044 開院臨床安全驗證</v>
      </c>
      <c r="AZ99" s="0" t="str">
        <f aca="false">IF(AND($B99="D07",$C99="G6"),AZ98&amp;IF(AZ98="","",CHAR(10))&amp;$A99,AZ98)</f>
        <v/>
      </c>
      <c r="BA99" s="0" t="str">
        <f aca="false">IF(AND($B99="D08",$C99="G0"),BA98&amp;IF(BA98="","",CHAR(10))&amp;$A99,BA98)</f>
        <v/>
      </c>
      <c r="BB99" s="0" t="str">
        <f aca="false">IF(AND($B99="D08",$C99="G1"),BB98&amp;IF(BB98="","",CHAR(10))&amp;$A99,BB98)</f>
        <v/>
      </c>
      <c r="BC99" s="0" t="str">
        <f aca="false">IF(AND($B99="D08",$C99="G2"),BC98&amp;IF(BC98="","",CHAR(10))&amp;$A99,BC98)</f>
        <v>○ 045 人力與輪班模型</v>
      </c>
      <c r="BD99" s="0" t="str">
        <f aca="false">IF(AND($B99="D08",$C99="G3"),BD98&amp;IF(BD98="","",CHAR(10))&amp;$A99,BD98)</f>
        <v>◐ 046 職能矩陣與授權</v>
      </c>
      <c r="BE99" s="363" t="str">
        <f aca="false">IF(AND($B99="D08",$C99="G4"),BE98&amp;IF(BE98="","",CHAR(10))&amp;$A99,BE98)</f>
        <v>◐ 047 種子教師與技術移轉
◐ 049 變革管理與使用者採納</v>
      </c>
      <c r="BF99" s="0" t="str">
        <f aca="false">IF(AND($B99="D08",$C99="G5"),BF98&amp;IF(BF98="","",CHAR(10))&amp;$A99,BF98)</f>
        <v>◐ 048 模擬中心與開院演練</v>
      </c>
      <c r="BG99" s="0" t="str">
        <f aca="false">IF(AND($B99="D08",$C99="G6"),BG98&amp;IF(BG98="","",CHAR(10))&amp;$A99,BG98)</f>
        <v/>
      </c>
      <c r="BH99" s="0" t="str">
        <f aca="false">IF(AND($B99="D09",$C99="G0"),BH98&amp;IF(BH98="","",CHAR(10))&amp;$A99,BH98)</f>
        <v/>
      </c>
      <c r="BI99" s="0" t="str">
        <f aca="false">IF(AND($B99="D09",$C99="G1"),BI98&amp;IF(BI98="","",CHAR(10))&amp;$A99,BI98)</f>
        <v/>
      </c>
      <c r="BJ99" s="0" t="str">
        <f aca="false">IF(AND($B99="D09",$C99="G2"),BJ98&amp;IF(BJ98="","",CHAR(10))&amp;$A99,BJ98)</f>
        <v>◐ 050 整合採購與供應商治理</v>
      </c>
      <c r="BK99" s="0" t="str">
        <f aca="false">IF(AND($B99="D09",$C99="G3"),BK98&amp;IF(BK98="","",CHAR(10))&amp;$A99,BK98)</f>
        <v/>
      </c>
      <c r="BL99" s="363" t="str">
        <f aca="false">IF(AND($B99="D09",$C99="G4"),BL98&amp;IF(BL98="","",CHAR(10))&amp;$A99,BL98)</f>
        <v>◐ 051 藥品耗材與SPD物流
◐ 052 冷鏈與特殊物料
● 053 CMMS與設施維運</v>
      </c>
      <c r="BM99" s="0" t="str">
        <f aca="false">IF(AND($B99="D09",$C99="G5"),BM98&amp;IF(BM98="","",CHAR(10))&amp;$A99,BM98)</f>
        <v>◐ 054 在地備品、維修與汰換</v>
      </c>
      <c r="BN99" s="0" t="str">
        <f aca="false">IF(AND($B99="D09",$C99="G6"),BN98&amp;IF(BN98="","",CHAR(10))&amp;$A99,BN98)</f>
        <v/>
      </c>
      <c r="BO99" s="0" t="str">
        <f aca="false">IF(AND($B99="D10",$C99="G0"),BO98&amp;IF(BO98="","",CHAR(10))&amp;$A99,BO98)</f>
        <v/>
      </c>
      <c r="BP99" s="0" t="str">
        <f aca="false">IF(AND($B99="D10",$C99="G1"),BP98&amp;IF(BP98="","",CHAR(10))&amp;$A99,BP98)</f>
        <v>◐ 055 全生命週期成本模型</v>
      </c>
      <c r="BQ99" s="0" t="str">
        <f aca="false">IF(AND($B99="D10",$C99="G2"),BQ98&amp;IF(BQ98="","",CHAR(10))&amp;$A99,BQ98)</f>
        <v>◐ 059 PPP／JV財務與風險分配</v>
      </c>
      <c r="BR99" s="0" t="str">
        <f aca="false">IF(AND($B99="D10",$C99="G3"),BR98&amp;IF(BR98="","",CHAR(10))&amp;$A99,BR98)</f>
        <v/>
      </c>
      <c r="BS99" s="363" t="str">
        <f aca="false">IF(AND($B99="D10",$C99="G4"),BS98&amp;IF(BS98="","",CHAR(10))&amp;$A99,BS98)</f>
        <v>○ 056 健保申報與數位理賠
○ 057 現金流、支付與收入週期</v>
      </c>
      <c r="BT99" s="0" t="str">
        <f aca="false">IF(AND($B99="D10",$C99="G5"),BT98&amp;IF(BT98="","",CHAR(10))&amp;$A99,BT98)</f>
        <v>○ 058 國際醫療與高價值服務</v>
      </c>
      <c r="BU99" s="0" t="str">
        <f aca="false">IF(AND($B99="D10",$C99="G6"),BU98&amp;IF(BU98="","",CHAR(10))&amp;$A99,BU98)</f>
        <v>◐ 060 效益實現與複製藍圖</v>
      </c>
      <c r="BX99" s="0" t="str">
        <f aca="false">IF(AND(03_能力總表_Master!$A99&lt;&gt;"",LEFT(03_能力總表_Master!$H99,2)="缺口"),MAX($BX$4:BX98)+1,"")</f>
        <v/>
      </c>
      <c r="BY99" s="0" t="str">
        <f aca="false">IF(AND(03_能力總表_Master!$A99&lt;&gt;"",03_能力總表_Master!$J99=12_夥伴視角_PartnerView!$C$4),MAX($BY$4:BY98)+1,"")</f>
        <v/>
      </c>
      <c r="CC99" s="0" t="str">
        <f aca="false">IF(AND(03_能力總表_Master!$A99&lt;&gt;"",IFERROR(INDEX(16_能力商機矩陣_CapOppMap!$D99:$CO99,MATCH(LEFT(17_商機作戰卡_OppView!$C$4,6),16_能力商機矩陣_CapOppMap!$D$4:$CO$4,0)),"")="✓"),MAX($CC$4:CC98)+1,"")</f>
        <v/>
      </c>
    </row>
    <row r="100" customFormat="false" ht="95.5" hidden="false" customHeight="false" outlineLevel="0" collapsed="false">
      <c r="A100" s="0" t="str">
        <f aca="false">IF(03_能力總表_Master!$A100="","",IF(LEFT(03_能力總表_Master!$H100,2)="群晶","● ",IF(ISNUMBER(SEARCH("已確認",03_能力總表_Master!$H100)),"◆ ",IF(ISNUMBER(SEARCH("缺口",03_能力總表_Master!$H100)),"○ ","◐ ")))&amp;RIGHT(03_能力總表_Master!$A100,3)&amp;" "&amp;03_能力總表_Master!$E100)</f>
        <v/>
      </c>
      <c r="B100" s="0" t="str">
        <f aca="false">IF(03_能力總表_Master!$A100="","",LEFT(03_能力總表_Master!$B100,3))</f>
        <v/>
      </c>
      <c r="C100" s="0" t="str">
        <f aca="false">IF(03_能力總表_Master!$A100="","",03_能力總表_Master!$C100)</f>
        <v/>
      </c>
      <c r="D100" s="363" t="str">
        <f aca="false">IF(AND($B100="D01",$C100="G0"),D99&amp;IF(D99="","",CHAR(10))&amp;$A100,D99)</f>
        <v>◐ 001 政府授權與計畫章程
◐ 002 利害關係人與權力地圖
◐ 005 聯盟治理與利益衝突</v>
      </c>
      <c r="E100" s="363" t="str">
        <f aca="false">IF(AND($B100="D01",$C100="G1"),E99&amp;IF(E99="","",CHAR(10))&amp;$A100,E99)</f>
        <v>◐ 003 交易模式選擇
◐ 004 法規與執照路徑</v>
      </c>
      <c r="F100" s="0" t="str">
        <f aca="false">IF(AND($B100="D01",$C100="G2"),F99&amp;IF(F99="","",CHAR(10))&amp;$A100,F99)</f>
        <v>◐ 006 績效契約與變更控制</v>
      </c>
      <c r="G100" s="0" t="str">
        <f aca="false">IF(AND($B100="D01",$C100="G3"),G99&amp;IF(G99="","",CHAR(10))&amp;$A100,G99)</f>
        <v/>
      </c>
      <c r="H100" s="0" t="str">
        <f aca="false">IF(AND($B100="D01",$C100="G4"),H99&amp;IF(H99="","",CHAR(10))&amp;$A100,H99)</f>
        <v/>
      </c>
      <c r="I100" s="0" t="str">
        <f aca="false">IF(AND($B100="D01",$C100="G5"),I99&amp;IF(I99="","",CHAR(10))&amp;$A100,I99)</f>
        <v/>
      </c>
      <c r="J100" s="0" t="str">
        <f aca="false">IF(AND($B100="D01",$C100="G6"),J99&amp;IF(J99="","",CHAR(10))&amp;$A100,J99)</f>
        <v/>
      </c>
      <c r="K100" s="0" t="str">
        <f aca="false">IF(AND($B100="D02",$C100="G0"),K99&amp;IF(K99="","",CHAR(10))&amp;$A100,K99)</f>
        <v/>
      </c>
      <c r="L100" s="363" t="str">
        <f aca="false">IF(AND($B100="D02",$C100="G1"),L99&amp;IF(L99="","",CHAR(10))&amp;$A100,L99)</f>
        <v>◐ 007 人口需求與病例量預測
◐ 008 醫院定位與服務組合
◐ 009 重點專科優先化
◐ 010 病人流程與容量設計
◐ 011 轉診與區域照護網絡
◐ 012 臨床治理與責任架構</v>
      </c>
      <c r="M100" s="0" t="str">
        <f aca="false">IF(AND($B100="D02",$C100="G2"),M99&amp;IF(M99="","",CHAR(10))&amp;$A100,M99)</f>
        <v/>
      </c>
      <c r="N100" s="0" t="str">
        <f aca="false">IF(AND($B100="D02",$C100="G3"),N99&amp;IF(N99="","",CHAR(10))&amp;$A100,N99)</f>
        <v/>
      </c>
      <c r="O100" s="0" t="str">
        <f aca="false">IF(AND($B100="D02",$C100="G4"),O99&amp;IF(O99="","",CHAR(10))&amp;$A100,O99)</f>
        <v/>
      </c>
      <c r="P100" s="0" t="str">
        <f aca="false">IF(AND($B100="D02",$C100="G5"),P99&amp;IF(P99="","",CHAR(10))&amp;$A100,P99)</f>
        <v/>
      </c>
      <c r="Q100" s="0" t="str">
        <f aca="false">IF(AND($B100="D02",$C100="G6"),Q99&amp;IF(Q99="","",CHAR(10))&amp;$A100,Q99)</f>
        <v/>
      </c>
      <c r="R100" s="0" t="str">
        <f aca="false">IF(AND($B100="D03",$C100="G0"),R99&amp;IF(R99="","",CHAR(10))&amp;$A100,R99)</f>
        <v/>
      </c>
      <c r="S100" s="0" t="str">
        <f aca="false">IF(AND($B100="D03",$C100="G1"),S99&amp;IF(S99="","",CHAR(10))&amp;$A100,S99)</f>
        <v>◐ 013 場址與醫院總體規劃</v>
      </c>
      <c r="T100" s="363" t="str">
        <f aca="false">IF(AND($B100="D03",$C100="G2"),T99&amp;IF(T99="","",CHAR(10))&amp;$A100,T99)</f>
        <v>◐ 014 醫療建築功能計畫
◐ 015 感染控制與潔污動線
◐ 019 綠色與氣候韌性醫院</v>
      </c>
      <c r="U100" s="363" t="str">
        <f aca="false">IF(AND($B100="D03",$C100="G3"),U99&amp;IF(U99="","",CHAR(10))&amp;$A100,U99)</f>
        <v>● 016 電力、備援與微電網
◐ 017 醫療氣體與關鍵公用系統
◐ 018 醫療廢棄物與水資源</v>
      </c>
      <c r="V100" s="0" t="str">
        <f aca="false">IF(AND($B100="D03",$C100="G4"),V99&amp;IF(V99="","",CHAR(10))&amp;$A100,V99)</f>
        <v/>
      </c>
      <c r="W100" s="0" t="str">
        <f aca="false">IF(AND($B100="D03",$C100="G5"),W99&amp;IF(W99="","",CHAR(10))&amp;$A100,W99)</f>
        <v/>
      </c>
      <c r="X100" s="0" t="str">
        <f aca="false">IF(AND($B100="D03",$C100="G6"),X99&amp;IF(X99="","",CHAR(10))&amp;$A100,X99)</f>
        <v/>
      </c>
      <c r="Y100" s="0" t="str">
        <f aca="false">IF(AND($B100="D04",$C100="G0"),Y99&amp;IF(Y99="","",CHAR(10))&amp;$A100,Y99)</f>
        <v/>
      </c>
      <c r="Z100" s="0" t="str">
        <f aca="false">IF(AND($B100="D04",$C100="G1"),Z99&amp;IF(Z99="","",CHAR(10))&amp;$A100,Z99)</f>
        <v/>
      </c>
      <c r="AA100" s="0" t="str">
        <f aca="false">IF(AND($B100="D04",$C100="G2"),AA99&amp;IF(AA99="","",CHAR(10))&amp;$A100,AA99)</f>
        <v/>
      </c>
      <c r="AB100" s="0" t="str">
        <f aca="false">IF(AND($B100="D04",$C100="G3"),AB99&amp;IF(AB99="","",CHAR(10))&amp;$A100,AB99)</f>
        <v>● 020 IDC與邊緣運算底座</v>
      </c>
      <c r="AC100" s="363" t="str">
        <f aca="false">IF(AND($B100="D04",$C100="G4"),AC99&amp;IF(AC99="","",CHAR(10))&amp;$A100,AC99)</f>
        <v>● 021 有線無線網路與分區
◐ 022 資安營運與零信任
● 023 BMS與能源管理
● 024 RTLS與資產／人員定位
● 025 智慧病房、護理呼叫與感測
● 026 災難復原與營運持續</v>
      </c>
      <c r="AD100" s="0" t="str">
        <f aca="false">IF(AND($B100="D04",$C100="G5"),AD99&amp;IF(AD99="","",CHAR(10))&amp;$A100,AD99)</f>
        <v/>
      </c>
      <c r="AE100" s="0" t="str">
        <f aca="false">IF(AND($B100="D04",$C100="G6"),AE99&amp;IF(AE99="","",CHAR(10))&amp;$A100,AE99)</f>
        <v/>
      </c>
      <c r="AF100" s="0" t="str">
        <f aca="false">IF(AND($B100="D05",$C100="G0"),AF99&amp;IF(AF99="","",CHAR(10))&amp;$A100,AF99)</f>
        <v/>
      </c>
      <c r="AG100" s="0" t="str">
        <f aca="false">IF(AND($B100="D05",$C100="G1"),AG99&amp;IF(AG99="","",CHAR(10))&amp;$A100,AG99)</f>
        <v/>
      </c>
      <c r="AH100" s="0" t="str">
        <f aca="false">IF(AND($B100="D05",$C100="G2"),AH99&amp;IF(AH99="","",CHAR(10))&amp;$A100,AH99)</f>
        <v>◐ 027 醫材需求與設備計畫</v>
      </c>
      <c r="AI100" s="0" t="str">
        <f aca="false">IF(AND($B100="D05",$C100="G3"),AI99&amp;IF(AI99="","",CHAR(10))&amp;$A100,AI99)</f>
        <v/>
      </c>
      <c r="AJ100" s="363" t="str">
        <f aca="false">IF(AND($B100="D05",$C100="G4"),AJ99&amp;IF(AJ99="","",CHAR(10))&amp;$A100,AJ99)</f>
        <v>○ 028 影像設備、PACS與報告流程
○ 029 實驗室自動化與LIS
○ 030 手術室與重症整合
◐ 031 醫材介接與裝置身分
◐ 032 醫療工程與設備生命週期</v>
      </c>
      <c r="AK100" s="0" t="str">
        <f aca="false">IF(AND($B100="D05",$C100="G5"),AK99&amp;IF(AK99="","",CHAR(10))&amp;$A100,AK99)</f>
        <v/>
      </c>
      <c r="AL100" s="0" t="str">
        <f aca="false">IF(AND($B100="D05",$C100="G6"),AL99&amp;IF(AL99="","",CHAR(10))&amp;$A100,AL99)</f>
        <v/>
      </c>
      <c r="AM100" s="0" t="str">
        <f aca="false">IF(AND($B100="D06",$C100="G0"),AM99&amp;IF(AM99="","",CHAR(10))&amp;$A100,AM99)</f>
        <v/>
      </c>
      <c r="AN100" s="0" t="str">
        <f aca="false">IF(AND($B100="D06",$C100="G1"),AN99&amp;IF(AN99="","",CHAR(10))&amp;$A100,AN99)</f>
        <v/>
      </c>
      <c r="AO100" s="0" t="str">
        <f aca="false">IF(AND($B100="D06",$C100="G2"),AO99&amp;IF(AO99="","",CHAR(10))&amp;$A100,AO99)</f>
        <v/>
      </c>
      <c r="AP100" s="363" t="str">
        <f aca="false">IF(AND($B100="D06",$C100="G3"),AP99&amp;IF(AP99="","",CHAR(10))&amp;$A100,AP99)</f>
        <v>◐ 033 HIS／EMR核心平台
◐ 036 臨床術語與主資料治理</v>
      </c>
      <c r="AQ100" s="363" t="str">
        <f aca="false">IF(AND($B100="D06",$C100="G4"),AQ99&amp;IF(AQ99="","",CHAR(10))&amp;$A100,AQ99)</f>
        <v>◐ 034 FHIR介接與API管理
○ 035 主病人索引與身分整合
◐ 037 電子醫囑、用藥與決策支援
◐ 038 資料平台、BI與營運指揮</v>
      </c>
      <c r="AR100" s="0" t="str">
        <f aca="false">IF(AND($B100="D06",$C100="G5"),AR99&amp;IF(AR99="","",CHAR(10))&amp;$A100,AR99)</f>
        <v>○ 039 病人入口、行動服務與VNeID準備</v>
      </c>
      <c r="AS100" s="0" t="str">
        <f aca="false">IF(AND($B100="D06",$C100="G6"),AS99&amp;IF(AS99="","",CHAR(10))&amp;$A100,AS99)</f>
        <v/>
      </c>
      <c r="AT100" s="0" t="str">
        <f aca="false">IF(AND($B100="D07",$C100="G0"),AT99&amp;IF(AT99="","",CHAR(10))&amp;$A100,AT99)</f>
        <v/>
      </c>
      <c r="AU100" s="0" t="str">
        <f aca="false">IF(AND($B100="D07",$C100="G1"),AU99&amp;IF(AU99="","",CHAR(10))&amp;$A100,AU99)</f>
        <v/>
      </c>
      <c r="AV100" s="0" t="str">
        <f aca="false">IF(AND($B100="D07",$C100="G2"),AV99&amp;IF(AV99="","",CHAR(10))&amp;$A100,AV99)</f>
        <v>◐ 040 品質管理與JCI路線圖</v>
      </c>
      <c r="AW100" s="363" t="str">
        <f aca="false">IF(AND($B100="D07",$C100="G3"),AW99&amp;IF(AW99="","",CHAR(10))&amp;$A100,AW99)</f>
        <v>◐ 041 感染預防與控制制度
◐ 043 事件通報與根因改善</v>
      </c>
      <c r="AX100" s="0" t="str">
        <f aca="false">IF(AND($B100="D07",$C100="G4"),AX99&amp;IF(AX99="","",CHAR(10))&amp;$A100,AX99)</f>
        <v>◐ 042 用藥安全閉環</v>
      </c>
      <c r="AY100" s="0" t="str">
        <f aca="false">IF(AND($B100="D07",$C100="G5"),AY99&amp;IF(AY99="","",CHAR(10))&amp;$A100,AY99)</f>
        <v>◐ 044 開院臨床安全驗證</v>
      </c>
      <c r="AZ100" s="0" t="str">
        <f aca="false">IF(AND($B100="D07",$C100="G6"),AZ99&amp;IF(AZ99="","",CHAR(10))&amp;$A100,AZ99)</f>
        <v/>
      </c>
      <c r="BA100" s="0" t="str">
        <f aca="false">IF(AND($B100="D08",$C100="G0"),BA99&amp;IF(BA99="","",CHAR(10))&amp;$A100,BA99)</f>
        <v/>
      </c>
      <c r="BB100" s="0" t="str">
        <f aca="false">IF(AND($B100="D08",$C100="G1"),BB99&amp;IF(BB99="","",CHAR(10))&amp;$A100,BB99)</f>
        <v/>
      </c>
      <c r="BC100" s="0" t="str">
        <f aca="false">IF(AND($B100="D08",$C100="G2"),BC99&amp;IF(BC99="","",CHAR(10))&amp;$A100,BC99)</f>
        <v>○ 045 人力與輪班模型</v>
      </c>
      <c r="BD100" s="0" t="str">
        <f aca="false">IF(AND($B100="D08",$C100="G3"),BD99&amp;IF(BD99="","",CHAR(10))&amp;$A100,BD99)</f>
        <v>◐ 046 職能矩陣與授權</v>
      </c>
      <c r="BE100" s="363" t="str">
        <f aca="false">IF(AND($B100="D08",$C100="G4"),BE99&amp;IF(BE99="","",CHAR(10))&amp;$A100,BE99)</f>
        <v>◐ 047 種子教師與技術移轉
◐ 049 變革管理與使用者採納</v>
      </c>
      <c r="BF100" s="0" t="str">
        <f aca="false">IF(AND($B100="D08",$C100="G5"),BF99&amp;IF(BF99="","",CHAR(10))&amp;$A100,BF99)</f>
        <v>◐ 048 模擬中心與開院演練</v>
      </c>
      <c r="BG100" s="0" t="str">
        <f aca="false">IF(AND($B100="D08",$C100="G6"),BG99&amp;IF(BG99="","",CHAR(10))&amp;$A100,BG99)</f>
        <v/>
      </c>
      <c r="BH100" s="0" t="str">
        <f aca="false">IF(AND($B100="D09",$C100="G0"),BH99&amp;IF(BH99="","",CHAR(10))&amp;$A100,BH99)</f>
        <v/>
      </c>
      <c r="BI100" s="0" t="str">
        <f aca="false">IF(AND($B100="D09",$C100="G1"),BI99&amp;IF(BI99="","",CHAR(10))&amp;$A100,BI99)</f>
        <v/>
      </c>
      <c r="BJ100" s="0" t="str">
        <f aca="false">IF(AND($B100="D09",$C100="G2"),BJ99&amp;IF(BJ99="","",CHAR(10))&amp;$A100,BJ99)</f>
        <v>◐ 050 整合採購與供應商治理</v>
      </c>
      <c r="BK100" s="0" t="str">
        <f aca="false">IF(AND($B100="D09",$C100="G3"),BK99&amp;IF(BK99="","",CHAR(10))&amp;$A100,BK99)</f>
        <v/>
      </c>
      <c r="BL100" s="363" t="str">
        <f aca="false">IF(AND($B100="D09",$C100="G4"),BL99&amp;IF(BL99="","",CHAR(10))&amp;$A100,BL99)</f>
        <v>◐ 051 藥品耗材與SPD物流
◐ 052 冷鏈與特殊物料
● 053 CMMS與設施維運</v>
      </c>
      <c r="BM100" s="0" t="str">
        <f aca="false">IF(AND($B100="D09",$C100="G5"),BM99&amp;IF(BM99="","",CHAR(10))&amp;$A100,BM99)</f>
        <v>◐ 054 在地備品、維修與汰換</v>
      </c>
      <c r="BN100" s="0" t="str">
        <f aca="false">IF(AND($B100="D09",$C100="G6"),BN99&amp;IF(BN99="","",CHAR(10))&amp;$A100,BN99)</f>
        <v/>
      </c>
      <c r="BO100" s="0" t="str">
        <f aca="false">IF(AND($B100="D10",$C100="G0"),BO99&amp;IF(BO99="","",CHAR(10))&amp;$A100,BO99)</f>
        <v/>
      </c>
      <c r="BP100" s="0" t="str">
        <f aca="false">IF(AND($B100="D10",$C100="G1"),BP99&amp;IF(BP99="","",CHAR(10))&amp;$A100,BP99)</f>
        <v>◐ 055 全生命週期成本模型</v>
      </c>
      <c r="BQ100" s="0" t="str">
        <f aca="false">IF(AND($B100="D10",$C100="G2"),BQ99&amp;IF(BQ99="","",CHAR(10))&amp;$A100,BQ99)</f>
        <v>◐ 059 PPP／JV財務與風險分配</v>
      </c>
      <c r="BR100" s="0" t="str">
        <f aca="false">IF(AND($B100="D10",$C100="G3"),BR99&amp;IF(BR99="","",CHAR(10))&amp;$A100,BR99)</f>
        <v/>
      </c>
      <c r="BS100" s="363" t="str">
        <f aca="false">IF(AND($B100="D10",$C100="G4"),BS99&amp;IF(BS99="","",CHAR(10))&amp;$A100,BS99)</f>
        <v>○ 056 健保申報與數位理賠
○ 057 現金流、支付與收入週期</v>
      </c>
      <c r="BT100" s="0" t="str">
        <f aca="false">IF(AND($B100="D10",$C100="G5"),BT99&amp;IF(BT99="","",CHAR(10))&amp;$A100,BT99)</f>
        <v>○ 058 國際醫療與高價值服務</v>
      </c>
      <c r="BU100" s="0" t="str">
        <f aca="false">IF(AND($B100="D10",$C100="G6"),BU99&amp;IF(BU99="","",CHAR(10))&amp;$A100,BU99)</f>
        <v>◐ 060 效益實現與複製藍圖</v>
      </c>
      <c r="BX100" s="0" t="str">
        <f aca="false">IF(AND(03_能力總表_Master!$A100&lt;&gt;"",LEFT(03_能力總表_Master!$H100,2)="缺口"),MAX($BX$4:BX99)+1,"")</f>
        <v/>
      </c>
      <c r="BY100" s="0" t="str">
        <f aca="false">IF(AND(03_能力總表_Master!$A100&lt;&gt;"",03_能力總表_Master!$J100=12_夥伴視角_PartnerView!$C$4),MAX($BY$4:BY99)+1,"")</f>
        <v/>
      </c>
      <c r="CC100" s="0" t="str">
        <f aca="false">IF(AND(03_能力總表_Master!$A100&lt;&gt;"",IFERROR(INDEX(16_能力商機矩陣_CapOppMap!$D100:$CO100,MATCH(LEFT(17_商機作戰卡_OppView!$C$4,6),16_能力商機矩陣_CapOppMap!$D$4:$CO$4,0)),"")="✓"),MAX($CC$4:CC99)+1,"")</f>
        <v/>
      </c>
    </row>
    <row r="101" customFormat="false" ht="95.5" hidden="false" customHeight="false" outlineLevel="0" collapsed="false">
      <c r="A101" s="0" t="str">
        <f aca="false">IF(03_能力總表_Master!$A101="","",IF(LEFT(03_能力總表_Master!$H101,2)="群晶","● ",IF(ISNUMBER(SEARCH("已確認",03_能力總表_Master!$H101)),"◆ ",IF(ISNUMBER(SEARCH("缺口",03_能力總表_Master!$H101)),"○ ","◐ ")))&amp;RIGHT(03_能力總表_Master!$A101,3)&amp;" "&amp;03_能力總表_Master!$E101)</f>
        <v/>
      </c>
      <c r="B101" s="0" t="str">
        <f aca="false">IF(03_能力總表_Master!$A101="","",LEFT(03_能力總表_Master!$B101,3))</f>
        <v/>
      </c>
      <c r="C101" s="0" t="str">
        <f aca="false">IF(03_能力總表_Master!$A101="","",03_能力總表_Master!$C101)</f>
        <v/>
      </c>
      <c r="D101" s="363" t="str">
        <f aca="false">IF(AND($B101="D01",$C101="G0"),D100&amp;IF(D100="","",CHAR(10))&amp;$A101,D100)</f>
        <v>◐ 001 政府授權與計畫章程
◐ 002 利害關係人與權力地圖
◐ 005 聯盟治理與利益衝突</v>
      </c>
      <c r="E101" s="363" t="str">
        <f aca="false">IF(AND($B101="D01",$C101="G1"),E100&amp;IF(E100="","",CHAR(10))&amp;$A101,E100)</f>
        <v>◐ 003 交易模式選擇
◐ 004 法規與執照路徑</v>
      </c>
      <c r="F101" s="0" t="str">
        <f aca="false">IF(AND($B101="D01",$C101="G2"),F100&amp;IF(F100="","",CHAR(10))&amp;$A101,F100)</f>
        <v>◐ 006 績效契約與變更控制</v>
      </c>
      <c r="G101" s="0" t="str">
        <f aca="false">IF(AND($B101="D01",$C101="G3"),G100&amp;IF(G100="","",CHAR(10))&amp;$A101,G100)</f>
        <v/>
      </c>
      <c r="H101" s="0" t="str">
        <f aca="false">IF(AND($B101="D01",$C101="G4"),H100&amp;IF(H100="","",CHAR(10))&amp;$A101,H100)</f>
        <v/>
      </c>
      <c r="I101" s="0" t="str">
        <f aca="false">IF(AND($B101="D01",$C101="G5"),I100&amp;IF(I100="","",CHAR(10))&amp;$A101,I100)</f>
        <v/>
      </c>
      <c r="J101" s="0" t="str">
        <f aca="false">IF(AND($B101="D01",$C101="G6"),J100&amp;IF(J100="","",CHAR(10))&amp;$A101,J100)</f>
        <v/>
      </c>
      <c r="K101" s="0" t="str">
        <f aca="false">IF(AND($B101="D02",$C101="G0"),K100&amp;IF(K100="","",CHAR(10))&amp;$A101,K100)</f>
        <v/>
      </c>
      <c r="L101" s="363" t="str">
        <f aca="false">IF(AND($B101="D02",$C101="G1"),L100&amp;IF(L100="","",CHAR(10))&amp;$A101,L100)</f>
        <v>◐ 007 人口需求與病例量預測
◐ 008 醫院定位與服務組合
◐ 009 重點專科優先化
◐ 010 病人流程與容量設計
◐ 011 轉診與區域照護網絡
◐ 012 臨床治理與責任架構</v>
      </c>
      <c r="M101" s="0" t="str">
        <f aca="false">IF(AND($B101="D02",$C101="G2"),M100&amp;IF(M100="","",CHAR(10))&amp;$A101,M100)</f>
        <v/>
      </c>
      <c r="N101" s="0" t="str">
        <f aca="false">IF(AND($B101="D02",$C101="G3"),N100&amp;IF(N100="","",CHAR(10))&amp;$A101,N100)</f>
        <v/>
      </c>
      <c r="O101" s="0" t="str">
        <f aca="false">IF(AND($B101="D02",$C101="G4"),O100&amp;IF(O100="","",CHAR(10))&amp;$A101,O100)</f>
        <v/>
      </c>
      <c r="P101" s="0" t="str">
        <f aca="false">IF(AND($B101="D02",$C101="G5"),P100&amp;IF(P100="","",CHAR(10))&amp;$A101,P100)</f>
        <v/>
      </c>
      <c r="Q101" s="0" t="str">
        <f aca="false">IF(AND($B101="D02",$C101="G6"),Q100&amp;IF(Q100="","",CHAR(10))&amp;$A101,Q100)</f>
        <v/>
      </c>
      <c r="R101" s="0" t="str">
        <f aca="false">IF(AND($B101="D03",$C101="G0"),R100&amp;IF(R100="","",CHAR(10))&amp;$A101,R100)</f>
        <v/>
      </c>
      <c r="S101" s="0" t="str">
        <f aca="false">IF(AND($B101="D03",$C101="G1"),S100&amp;IF(S100="","",CHAR(10))&amp;$A101,S100)</f>
        <v>◐ 013 場址與醫院總體規劃</v>
      </c>
      <c r="T101" s="363" t="str">
        <f aca="false">IF(AND($B101="D03",$C101="G2"),T100&amp;IF(T100="","",CHAR(10))&amp;$A101,T100)</f>
        <v>◐ 014 醫療建築功能計畫
◐ 015 感染控制與潔污動線
◐ 019 綠色與氣候韌性醫院</v>
      </c>
      <c r="U101" s="363" t="str">
        <f aca="false">IF(AND($B101="D03",$C101="G3"),U100&amp;IF(U100="","",CHAR(10))&amp;$A101,U100)</f>
        <v>● 016 電力、備援與微電網
◐ 017 醫療氣體與關鍵公用系統
◐ 018 醫療廢棄物與水資源</v>
      </c>
      <c r="V101" s="0" t="str">
        <f aca="false">IF(AND($B101="D03",$C101="G4"),V100&amp;IF(V100="","",CHAR(10))&amp;$A101,V100)</f>
        <v/>
      </c>
      <c r="W101" s="0" t="str">
        <f aca="false">IF(AND($B101="D03",$C101="G5"),W100&amp;IF(W100="","",CHAR(10))&amp;$A101,W100)</f>
        <v/>
      </c>
      <c r="X101" s="0" t="str">
        <f aca="false">IF(AND($B101="D03",$C101="G6"),X100&amp;IF(X100="","",CHAR(10))&amp;$A101,X100)</f>
        <v/>
      </c>
      <c r="Y101" s="0" t="str">
        <f aca="false">IF(AND($B101="D04",$C101="G0"),Y100&amp;IF(Y100="","",CHAR(10))&amp;$A101,Y100)</f>
        <v/>
      </c>
      <c r="Z101" s="0" t="str">
        <f aca="false">IF(AND($B101="D04",$C101="G1"),Z100&amp;IF(Z100="","",CHAR(10))&amp;$A101,Z100)</f>
        <v/>
      </c>
      <c r="AA101" s="0" t="str">
        <f aca="false">IF(AND($B101="D04",$C101="G2"),AA100&amp;IF(AA100="","",CHAR(10))&amp;$A101,AA100)</f>
        <v/>
      </c>
      <c r="AB101" s="0" t="str">
        <f aca="false">IF(AND($B101="D04",$C101="G3"),AB100&amp;IF(AB100="","",CHAR(10))&amp;$A101,AB100)</f>
        <v>● 020 IDC與邊緣運算底座</v>
      </c>
      <c r="AC101" s="363" t="str">
        <f aca="false">IF(AND($B101="D04",$C101="G4"),AC100&amp;IF(AC100="","",CHAR(10))&amp;$A101,AC100)</f>
        <v>● 021 有線無線網路與分區
◐ 022 資安營運與零信任
● 023 BMS與能源管理
● 024 RTLS與資產／人員定位
● 025 智慧病房、護理呼叫與感測
● 026 災難復原與營運持續</v>
      </c>
      <c r="AD101" s="0" t="str">
        <f aca="false">IF(AND($B101="D04",$C101="G5"),AD100&amp;IF(AD100="","",CHAR(10))&amp;$A101,AD100)</f>
        <v/>
      </c>
      <c r="AE101" s="0" t="str">
        <f aca="false">IF(AND($B101="D04",$C101="G6"),AE100&amp;IF(AE100="","",CHAR(10))&amp;$A101,AE100)</f>
        <v/>
      </c>
      <c r="AF101" s="0" t="str">
        <f aca="false">IF(AND($B101="D05",$C101="G0"),AF100&amp;IF(AF100="","",CHAR(10))&amp;$A101,AF100)</f>
        <v/>
      </c>
      <c r="AG101" s="0" t="str">
        <f aca="false">IF(AND($B101="D05",$C101="G1"),AG100&amp;IF(AG100="","",CHAR(10))&amp;$A101,AG100)</f>
        <v/>
      </c>
      <c r="AH101" s="0" t="str">
        <f aca="false">IF(AND($B101="D05",$C101="G2"),AH100&amp;IF(AH100="","",CHAR(10))&amp;$A101,AH100)</f>
        <v>◐ 027 醫材需求與設備計畫</v>
      </c>
      <c r="AI101" s="0" t="str">
        <f aca="false">IF(AND($B101="D05",$C101="G3"),AI100&amp;IF(AI100="","",CHAR(10))&amp;$A101,AI100)</f>
        <v/>
      </c>
      <c r="AJ101" s="363" t="str">
        <f aca="false">IF(AND($B101="D05",$C101="G4"),AJ100&amp;IF(AJ100="","",CHAR(10))&amp;$A101,AJ100)</f>
        <v>○ 028 影像設備、PACS與報告流程
○ 029 實驗室自動化與LIS
○ 030 手術室與重症整合
◐ 031 醫材介接與裝置身分
◐ 032 醫療工程與設備生命週期</v>
      </c>
      <c r="AK101" s="0" t="str">
        <f aca="false">IF(AND($B101="D05",$C101="G5"),AK100&amp;IF(AK100="","",CHAR(10))&amp;$A101,AK100)</f>
        <v/>
      </c>
      <c r="AL101" s="0" t="str">
        <f aca="false">IF(AND($B101="D05",$C101="G6"),AL100&amp;IF(AL100="","",CHAR(10))&amp;$A101,AL100)</f>
        <v/>
      </c>
      <c r="AM101" s="0" t="str">
        <f aca="false">IF(AND($B101="D06",$C101="G0"),AM100&amp;IF(AM100="","",CHAR(10))&amp;$A101,AM100)</f>
        <v/>
      </c>
      <c r="AN101" s="0" t="str">
        <f aca="false">IF(AND($B101="D06",$C101="G1"),AN100&amp;IF(AN100="","",CHAR(10))&amp;$A101,AN100)</f>
        <v/>
      </c>
      <c r="AO101" s="0" t="str">
        <f aca="false">IF(AND($B101="D06",$C101="G2"),AO100&amp;IF(AO100="","",CHAR(10))&amp;$A101,AO100)</f>
        <v/>
      </c>
      <c r="AP101" s="363" t="str">
        <f aca="false">IF(AND($B101="D06",$C101="G3"),AP100&amp;IF(AP100="","",CHAR(10))&amp;$A101,AP100)</f>
        <v>◐ 033 HIS／EMR核心平台
◐ 036 臨床術語與主資料治理</v>
      </c>
      <c r="AQ101" s="363" t="str">
        <f aca="false">IF(AND($B101="D06",$C101="G4"),AQ100&amp;IF(AQ100="","",CHAR(10))&amp;$A101,AQ100)</f>
        <v>◐ 034 FHIR介接與API管理
○ 035 主病人索引與身分整合
◐ 037 電子醫囑、用藥與決策支援
◐ 038 資料平台、BI與營運指揮</v>
      </c>
      <c r="AR101" s="0" t="str">
        <f aca="false">IF(AND($B101="D06",$C101="G5"),AR100&amp;IF(AR100="","",CHAR(10))&amp;$A101,AR100)</f>
        <v>○ 039 病人入口、行動服務與VNeID準備</v>
      </c>
      <c r="AS101" s="0" t="str">
        <f aca="false">IF(AND($B101="D06",$C101="G6"),AS100&amp;IF(AS100="","",CHAR(10))&amp;$A101,AS100)</f>
        <v/>
      </c>
      <c r="AT101" s="0" t="str">
        <f aca="false">IF(AND($B101="D07",$C101="G0"),AT100&amp;IF(AT100="","",CHAR(10))&amp;$A101,AT100)</f>
        <v/>
      </c>
      <c r="AU101" s="0" t="str">
        <f aca="false">IF(AND($B101="D07",$C101="G1"),AU100&amp;IF(AU100="","",CHAR(10))&amp;$A101,AU100)</f>
        <v/>
      </c>
      <c r="AV101" s="0" t="str">
        <f aca="false">IF(AND($B101="D07",$C101="G2"),AV100&amp;IF(AV100="","",CHAR(10))&amp;$A101,AV100)</f>
        <v>◐ 040 品質管理與JCI路線圖</v>
      </c>
      <c r="AW101" s="363" t="str">
        <f aca="false">IF(AND($B101="D07",$C101="G3"),AW100&amp;IF(AW100="","",CHAR(10))&amp;$A101,AW100)</f>
        <v>◐ 041 感染預防與控制制度
◐ 043 事件通報與根因改善</v>
      </c>
      <c r="AX101" s="0" t="str">
        <f aca="false">IF(AND($B101="D07",$C101="G4"),AX100&amp;IF(AX100="","",CHAR(10))&amp;$A101,AX100)</f>
        <v>◐ 042 用藥安全閉環</v>
      </c>
      <c r="AY101" s="0" t="str">
        <f aca="false">IF(AND($B101="D07",$C101="G5"),AY100&amp;IF(AY100="","",CHAR(10))&amp;$A101,AY100)</f>
        <v>◐ 044 開院臨床安全驗證</v>
      </c>
      <c r="AZ101" s="0" t="str">
        <f aca="false">IF(AND($B101="D07",$C101="G6"),AZ100&amp;IF(AZ100="","",CHAR(10))&amp;$A101,AZ100)</f>
        <v/>
      </c>
      <c r="BA101" s="0" t="str">
        <f aca="false">IF(AND($B101="D08",$C101="G0"),BA100&amp;IF(BA100="","",CHAR(10))&amp;$A101,BA100)</f>
        <v/>
      </c>
      <c r="BB101" s="0" t="str">
        <f aca="false">IF(AND($B101="D08",$C101="G1"),BB100&amp;IF(BB100="","",CHAR(10))&amp;$A101,BB100)</f>
        <v/>
      </c>
      <c r="BC101" s="0" t="str">
        <f aca="false">IF(AND($B101="D08",$C101="G2"),BC100&amp;IF(BC100="","",CHAR(10))&amp;$A101,BC100)</f>
        <v>○ 045 人力與輪班模型</v>
      </c>
      <c r="BD101" s="0" t="str">
        <f aca="false">IF(AND($B101="D08",$C101="G3"),BD100&amp;IF(BD100="","",CHAR(10))&amp;$A101,BD100)</f>
        <v>◐ 046 職能矩陣與授權</v>
      </c>
      <c r="BE101" s="363" t="str">
        <f aca="false">IF(AND($B101="D08",$C101="G4"),BE100&amp;IF(BE100="","",CHAR(10))&amp;$A101,BE100)</f>
        <v>◐ 047 種子教師與技術移轉
◐ 049 變革管理與使用者採納</v>
      </c>
      <c r="BF101" s="0" t="str">
        <f aca="false">IF(AND($B101="D08",$C101="G5"),BF100&amp;IF(BF100="","",CHAR(10))&amp;$A101,BF100)</f>
        <v>◐ 048 模擬中心與開院演練</v>
      </c>
      <c r="BG101" s="0" t="str">
        <f aca="false">IF(AND($B101="D08",$C101="G6"),BG100&amp;IF(BG100="","",CHAR(10))&amp;$A101,BG100)</f>
        <v/>
      </c>
      <c r="BH101" s="0" t="str">
        <f aca="false">IF(AND($B101="D09",$C101="G0"),BH100&amp;IF(BH100="","",CHAR(10))&amp;$A101,BH100)</f>
        <v/>
      </c>
      <c r="BI101" s="0" t="str">
        <f aca="false">IF(AND($B101="D09",$C101="G1"),BI100&amp;IF(BI100="","",CHAR(10))&amp;$A101,BI100)</f>
        <v/>
      </c>
      <c r="BJ101" s="0" t="str">
        <f aca="false">IF(AND($B101="D09",$C101="G2"),BJ100&amp;IF(BJ100="","",CHAR(10))&amp;$A101,BJ100)</f>
        <v>◐ 050 整合採購與供應商治理</v>
      </c>
      <c r="BK101" s="0" t="str">
        <f aca="false">IF(AND($B101="D09",$C101="G3"),BK100&amp;IF(BK100="","",CHAR(10))&amp;$A101,BK100)</f>
        <v/>
      </c>
      <c r="BL101" s="363" t="str">
        <f aca="false">IF(AND($B101="D09",$C101="G4"),BL100&amp;IF(BL100="","",CHAR(10))&amp;$A101,BL100)</f>
        <v>◐ 051 藥品耗材與SPD物流
◐ 052 冷鏈與特殊物料
● 053 CMMS與設施維運</v>
      </c>
      <c r="BM101" s="0" t="str">
        <f aca="false">IF(AND($B101="D09",$C101="G5"),BM100&amp;IF(BM100="","",CHAR(10))&amp;$A101,BM100)</f>
        <v>◐ 054 在地備品、維修與汰換</v>
      </c>
      <c r="BN101" s="0" t="str">
        <f aca="false">IF(AND($B101="D09",$C101="G6"),BN100&amp;IF(BN100="","",CHAR(10))&amp;$A101,BN100)</f>
        <v/>
      </c>
      <c r="BO101" s="0" t="str">
        <f aca="false">IF(AND($B101="D10",$C101="G0"),BO100&amp;IF(BO100="","",CHAR(10))&amp;$A101,BO100)</f>
        <v/>
      </c>
      <c r="BP101" s="0" t="str">
        <f aca="false">IF(AND($B101="D10",$C101="G1"),BP100&amp;IF(BP100="","",CHAR(10))&amp;$A101,BP100)</f>
        <v>◐ 055 全生命週期成本模型</v>
      </c>
      <c r="BQ101" s="0" t="str">
        <f aca="false">IF(AND($B101="D10",$C101="G2"),BQ100&amp;IF(BQ100="","",CHAR(10))&amp;$A101,BQ100)</f>
        <v>◐ 059 PPP／JV財務與風險分配</v>
      </c>
      <c r="BR101" s="0" t="str">
        <f aca="false">IF(AND($B101="D10",$C101="G3"),BR100&amp;IF(BR100="","",CHAR(10))&amp;$A101,BR100)</f>
        <v/>
      </c>
      <c r="BS101" s="363" t="str">
        <f aca="false">IF(AND($B101="D10",$C101="G4"),BS100&amp;IF(BS100="","",CHAR(10))&amp;$A101,BS100)</f>
        <v>○ 056 健保申報與數位理賠
○ 057 現金流、支付與收入週期</v>
      </c>
      <c r="BT101" s="0" t="str">
        <f aca="false">IF(AND($B101="D10",$C101="G5"),BT100&amp;IF(BT100="","",CHAR(10))&amp;$A101,BT100)</f>
        <v>○ 058 國際醫療與高價值服務</v>
      </c>
      <c r="BU101" s="0" t="str">
        <f aca="false">IF(AND($B101="D10",$C101="G6"),BU100&amp;IF(BU100="","",CHAR(10))&amp;$A101,BU100)</f>
        <v>◐ 060 效益實現與複製藍圖</v>
      </c>
      <c r="BX101" s="0" t="str">
        <f aca="false">IF(AND(03_能力總表_Master!$A101&lt;&gt;"",LEFT(03_能力總表_Master!$H101,2)="缺口"),MAX($BX$4:BX100)+1,"")</f>
        <v/>
      </c>
      <c r="BY101" s="0" t="str">
        <f aca="false">IF(AND(03_能力總表_Master!$A101&lt;&gt;"",03_能力總表_Master!$J101=12_夥伴視角_PartnerView!$C$4),MAX($BY$4:BY100)+1,"")</f>
        <v/>
      </c>
      <c r="CC101" s="0" t="str">
        <f aca="false">IF(AND(03_能力總表_Master!$A101&lt;&gt;"",IFERROR(INDEX(16_能力商機矩陣_CapOppMap!$D101:$CO101,MATCH(LEFT(17_商機作戰卡_OppView!$C$4,6),16_能力商機矩陣_CapOppMap!$D$4:$CO$4,0)),"")="✓"),MAX($CC$4:CC100)+1,"")</f>
        <v/>
      </c>
    </row>
    <row r="102" customFormat="false" ht="95.5" hidden="false" customHeight="false" outlineLevel="0" collapsed="false">
      <c r="A102" s="0" t="str">
        <f aca="false">IF(03_能力總表_Master!$A102="","",IF(LEFT(03_能力總表_Master!$H102,2)="群晶","● ",IF(ISNUMBER(SEARCH("已確認",03_能力總表_Master!$H102)),"◆ ",IF(ISNUMBER(SEARCH("缺口",03_能力總表_Master!$H102)),"○ ","◐ ")))&amp;RIGHT(03_能力總表_Master!$A102,3)&amp;" "&amp;03_能力總表_Master!$E102)</f>
        <v/>
      </c>
      <c r="B102" s="0" t="str">
        <f aca="false">IF(03_能力總表_Master!$A102="","",LEFT(03_能力總表_Master!$B102,3))</f>
        <v/>
      </c>
      <c r="C102" s="0" t="str">
        <f aca="false">IF(03_能力總表_Master!$A102="","",03_能力總表_Master!$C102)</f>
        <v/>
      </c>
      <c r="D102" s="363" t="str">
        <f aca="false">IF(AND($B102="D01",$C102="G0"),D101&amp;IF(D101="","",CHAR(10))&amp;$A102,D101)</f>
        <v>◐ 001 政府授權與計畫章程
◐ 002 利害關係人與權力地圖
◐ 005 聯盟治理與利益衝突</v>
      </c>
      <c r="E102" s="363" t="str">
        <f aca="false">IF(AND($B102="D01",$C102="G1"),E101&amp;IF(E101="","",CHAR(10))&amp;$A102,E101)</f>
        <v>◐ 003 交易模式選擇
◐ 004 法規與執照路徑</v>
      </c>
      <c r="F102" s="0" t="str">
        <f aca="false">IF(AND($B102="D01",$C102="G2"),F101&amp;IF(F101="","",CHAR(10))&amp;$A102,F101)</f>
        <v>◐ 006 績效契約與變更控制</v>
      </c>
      <c r="G102" s="0" t="str">
        <f aca="false">IF(AND($B102="D01",$C102="G3"),G101&amp;IF(G101="","",CHAR(10))&amp;$A102,G101)</f>
        <v/>
      </c>
      <c r="H102" s="0" t="str">
        <f aca="false">IF(AND($B102="D01",$C102="G4"),H101&amp;IF(H101="","",CHAR(10))&amp;$A102,H101)</f>
        <v/>
      </c>
      <c r="I102" s="0" t="str">
        <f aca="false">IF(AND($B102="D01",$C102="G5"),I101&amp;IF(I101="","",CHAR(10))&amp;$A102,I101)</f>
        <v/>
      </c>
      <c r="J102" s="0" t="str">
        <f aca="false">IF(AND($B102="D01",$C102="G6"),J101&amp;IF(J101="","",CHAR(10))&amp;$A102,J101)</f>
        <v/>
      </c>
      <c r="K102" s="0" t="str">
        <f aca="false">IF(AND($B102="D02",$C102="G0"),K101&amp;IF(K101="","",CHAR(10))&amp;$A102,K101)</f>
        <v/>
      </c>
      <c r="L102" s="363" t="str">
        <f aca="false">IF(AND($B102="D02",$C102="G1"),L101&amp;IF(L101="","",CHAR(10))&amp;$A102,L101)</f>
        <v>◐ 007 人口需求與病例量預測
◐ 008 醫院定位與服務組合
◐ 009 重點專科優先化
◐ 010 病人流程與容量設計
◐ 011 轉診與區域照護網絡
◐ 012 臨床治理與責任架構</v>
      </c>
      <c r="M102" s="0" t="str">
        <f aca="false">IF(AND($B102="D02",$C102="G2"),M101&amp;IF(M101="","",CHAR(10))&amp;$A102,M101)</f>
        <v/>
      </c>
      <c r="N102" s="0" t="str">
        <f aca="false">IF(AND($B102="D02",$C102="G3"),N101&amp;IF(N101="","",CHAR(10))&amp;$A102,N101)</f>
        <v/>
      </c>
      <c r="O102" s="0" t="str">
        <f aca="false">IF(AND($B102="D02",$C102="G4"),O101&amp;IF(O101="","",CHAR(10))&amp;$A102,O101)</f>
        <v/>
      </c>
      <c r="P102" s="0" t="str">
        <f aca="false">IF(AND($B102="D02",$C102="G5"),P101&amp;IF(P101="","",CHAR(10))&amp;$A102,P101)</f>
        <v/>
      </c>
      <c r="Q102" s="0" t="str">
        <f aca="false">IF(AND($B102="D02",$C102="G6"),Q101&amp;IF(Q101="","",CHAR(10))&amp;$A102,Q101)</f>
        <v/>
      </c>
      <c r="R102" s="0" t="str">
        <f aca="false">IF(AND($B102="D03",$C102="G0"),R101&amp;IF(R101="","",CHAR(10))&amp;$A102,R101)</f>
        <v/>
      </c>
      <c r="S102" s="0" t="str">
        <f aca="false">IF(AND($B102="D03",$C102="G1"),S101&amp;IF(S101="","",CHAR(10))&amp;$A102,S101)</f>
        <v>◐ 013 場址與醫院總體規劃</v>
      </c>
      <c r="T102" s="363" t="str">
        <f aca="false">IF(AND($B102="D03",$C102="G2"),T101&amp;IF(T101="","",CHAR(10))&amp;$A102,T101)</f>
        <v>◐ 014 醫療建築功能計畫
◐ 015 感染控制與潔污動線
◐ 019 綠色與氣候韌性醫院</v>
      </c>
      <c r="U102" s="363" t="str">
        <f aca="false">IF(AND($B102="D03",$C102="G3"),U101&amp;IF(U101="","",CHAR(10))&amp;$A102,U101)</f>
        <v>● 016 電力、備援與微電網
◐ 017 醫療氣體與關鍵公用系統
◐ 018 醫療廢棄物與水資源</v>
      </c>
      <c r="V102" s="0" t="str">
        <f aca="false">IF(AND($B102="D03",$C102="G4"),V101&amp;IF(V101="","",CHAR(10))&amp;$A102,V101)</f>
        <v/>
      </c>
      <c r="W102" s="0" t="str">
        <f aca="false">IF(AND($B102="D03",$C102="G5"),W101&amp;IF(W101="","",CHAR(10))&amp;$A102,W101)</f>
        <v/>
      </c>
      <c r="X102" s="0" t="str">
        <f aca="false">IF(AND($B102="D03",$C102="G6"),X101&amp;IF(X101="","",CHAR(10))&amp;$A102,X101)</f>
        <v/>
      </c>
      <c r="Y102" s="0" t="str">
        <f aca="false">IF(AND($B102="D04",$C102="G0"),Y101&amp;IF(Y101="","",CHAR(10))&amp;$A102,Y101)</f>
        <v/>
      </c>
      <c r="Z102" s="0" t="str">
        <f aca="false">IF(AND($B102="D04",$C102="G1"),Z101&amp;IF(Z101="","",CHAR(10))&amp;$A102,Z101)</f>
        <v/>
      </c>
      <c r="AA102" s="0" t="str">
        <f aca="false">IF(AND($B102="D04",$C102="G2"),AA101&amp;IF(AA101="","",CHAR(10))&amp;$A102,AA101)</f>
        <v/>
      </c>
      <c r="AB102" s="0" t="str">
        <f aca="false">IF(AND($B102="D04",$C102="G3"),AB101&amp;IF(AB101="","",CHAR(10))&amp;$A102,AB101)</f>
        <v>● 020 IDC與邊緣運算底座</v>
      </c>
      <c r="AC102" s="363" t="str">
        <f aca="false">IF(AND($B102="D04",$C102="G4"),AC101&amp;IF(AC101="","",CHAR(10))&amp;$A102,AC101)</f>
        <v>● 021 有線無線網路與分區
◐ 022 資安營運與零信任
● 023 BMS與能源管理
● 024 RTLS與資產／人員定位
● 025 智慧病房、護理呼叫與感測
● 026 災難復原與營運持續</v>
      </c>
      <c r="AD102" s="0" t="str">
        <f aca="false">IF(AND($B102="D04",$C102="G5"),AD101&amp;IF(AD101="","",CHAR(10))&amp;$A102,AD101)</f>
        <v/>
      </c>
      <c r="AE102" s="0" t="str">
        <f aca="false">IF(AND($B102="D04",$C102="G6"),AE101&amp;IF(AE101="","",CHAR(10))&amp;$A102,AE101)</f>
        <v/>
      </c>
      <c r="AF102" s="0" t="str">
        <f aca="false">IF(AND($B102="D05",$C102="G0"),AF101&amp;IF(AF101="","",CHAR(10))&amp;$A102,AF101)</f>
        <v/>
      </c>
      <c r="AG102" s="0" t="str">
        <f aca="false">IF(AND($B102="D05",$C102="G1"),AG101&amp;IF(AG101="","",CHAR(10))&amp;$A102,AG101)</f>
        <v/>
      </c>
      <c r="AH102" s="0" t="str">
        <f aca="false">IF(AND($B102="D05",$C102="G2"),AH101&amp;IF(AH101="","",CHAR(10))&amp;$A102,AH101)</f>
        <v>◐ 027 醫材需求與設備計畫</v>
      </c>
      <c r="AI102" s="0" t="str">
        <f aca="false">IF(AND($B102="D05",$C102="G3"),AI101&amp;IF(AI101="","",CHAR(10))&amp;$A102,AI101)</f>
        <v/>
      </c>
      <c r="AJ102" s="363" t="str">
        <f aca="false">IF(AND($B102="D05",$C102="G4"),AJ101&amp;IF(AJ101="","",CHAR(10))&amp;$A102,AJ101)</f>
        <v>○ 028 影像設備、PACS與報告流程
○ 029 實驗室自動化與LIS
○ 030 手術室與重症整合
◐ 031 醫材介接與裝置身分
◐ 032 醫療工程與設備生命週期</v>
      </c>
      <c r="AK102" s="0" t="str">
        <f aca="false">IF(AND($B102="D05",$C102="G5"),AK101&amp;IF(AK101="","",CHAR(10))&amp;$A102,AK101)</f>
        <v/>
      </c>
      <c r="AL102" s="0" t="str">
        <f aca="false">IF(AND($B102="D05",$C102="G6"),AL101&amp;IF(AL101="","",CHAR(10))&amp;$A102,AL101)</f>
        <v/>
      </c>
      <c r="AM102" s="0" t="str">
        <f aca="false">IF(AND($B102="D06",$C102="G0"),AM101&amp;IF(AM101="","",CHAR(10))&amp;$A102,AM101)</f>
        <v/>
      </c>
      <c r="AN102" s="0" t="str">
        <f aca="false">IF(AND($B102="D06",$C102="G1"),AN101&amp;IF(AN101="","",CHAR(10))&amp;$A102,AN101)</f>
        <v/>
      </c>
      <c r="AO102" s="0" t="str">
        <f aca="false">IF(AND($B102="D06",$C102="G2"),AO101&amp;IF(AO101="","",CHAR(10))&amp;$A102,AO101)</f>
        <v/>
      </c>
      <c r="AP102" s="363" t="str">
        <f aca="false">IF(AND($B102="D06",$C102="G3"),AP101&amp;IF(AP101="","",CHAR(10))&amp;$A102,AP101)</f>
        <v>◐ 033 HIS／EMR核心平台
◐ 036 臨床術語與主資料治理</v>
      </c>
      <c r="AQ102" s="363" t="str">
        <f aca="false">IF(AND($B102="D06",$C102="G4"),AQ101&amp;IF(AQ101="","",CHAR(10))&amp;$A102,AQ101)</f>
        <v>◐ 034 FHIR介接與API管理
○ 035 主病人索引與身分整合
◐ 037 電子醫囑、用藥與決策支援
◐ 038 資料平台、BI與營運指揮</v>
      </c>
      <c r="AR102" s="0" t="str">
        <f aca="false">IF(AND($B102="D06",$C102="G5"),AR101&amp;IF(AR101="","",CHAR(10))&amp;$A102,AR101)</f>
        <v>○ 039 病人入口、行動服務與VNeID準備</v>
      </c>
      <c r="AS102" s="0" t="str">
        <f aca="false">IF(AND($B102="D06",$C102="G6"),AS101&amp;IF(AS101="","",CHAR(10))&amp;$A102,AS101)</f>
        <v/>
      </c>
      <c r="AT102" s="0" t="str">
        <f aca="false">IF(AND($B102="D07",$C102="G0"),AT101&amp;IF(AT101="","",CHAR(10))&amp;$A102,AT101)</f>
        <v/>
      </c>
      <c r="AU102" s="0" t="str">
        <f aca="false">IF(AND($B102="D07",$C102="G1"),AU101&amp;IF(AU101="","",CHAR(10))&amp;$A102,AU101)</f>
        <v/>
      </c>
      <c r="AV102" s="0" t="str">
        <f aca="false">IF(AND($B102="D07",$C102="G2"),AV101&amp;IF(AV101="","",CHAR(10))&amp;$A102,AV101)</f>
        <v>◐ 040 品質管理與JCI路線圖</v>
      </c>
      <c r="AW102" s="363" t="str">
        <f aca="false">IF(AND($B102="D07",$C102="G3"),AW101&amp;IF(AW101="","",CHAR(10))&amp;$A102,AW101)</f>
        <v>◐ 041 感染預防與控制制度
◐ 043 事件通報與根因改善</v>
      </c>
      <c r="AX102" s="0" t="str">
        <f aca="false">IF(AND($B102="D07",$C102="G4"),AX101&amp;IF(AX101="","",CHAR(10))&amp;$A102,AX101)</f>
        <v>◐ 042 用藥安全閉環</v>
      </c>
      <c r="AY102" s="0" t="str">
        <f aca="false">IF(AND($B102="D07",$C102="G5"),AY101&amp;IF(AY101="","",CHAR(10))&amp;$A102,AY101)</f>
        <v>◐ 044 開院臨床安全驗證</v>
      </c>
      <c r="AZ102" s="0" t="str">
        <f aca="false">IF(AND($B102="D07",$C102="G6"),AZ101&amp;IF(AZ101="","",CHAR(10))&amp;$A102,AZ101)</f>
        <v/>
      </c>
      <c r="BA102" s="0" t="str">
        <f aca="false">IF(AND($B102="D08",$C102="G0"),BA101&amp;IF(BA101="","",CHAR(10))&amp;$A102,BA101)</f>
        <v/>
      </c>
      <c r="BB102" s="0" t="str">
        <f aca="false">IF(AND($B102="D08",$C102="G1"),BB101&amp;IF(BB101="","",CHAR(10))&amp;$A102,BB101)</f>
        <v/>
      </c>
      <c r="BC102" s="0" t="str">
        <f aca="false">IF(AND($B102="D08",$C102="G2"),BC101&amp;IF(BC101="","",CHAR(10))&amp;$A102,BC101)</f>
        <v>○ 045 人力與輪班模型</v>
      </c>
      <c r="BD102" s="0" t="str">
        <f aca="false">IF(AND($B102="D08",$C102="G3"),BD101&amp;IF(BD101="","",CHAR(10))&amp;$A102,BD101)</f>
        <v>◐ 046 職能矩陣與授權</v>
      </c>
      <c r="BE102" s="363" t="str">
        <f aca="false">IF(AND($B102="D08",$C102="G4"),BE101&amp;IF(BE101="","",CHAR(10))&amp;$A102,BE101)</f>
        <v>◐ 047 種子教師與技術移轉
◐ 049 變革管理與使用者採納</v>
      </c>
      <c r="BF102" s="0" t="str">
        <f aca="false">IF(AND($B102="D08",$C102="G5"),BF101&amp;IF(BF101="","",CHAR(10))&amp;$A102,BF101)</f>
        <v>◐ 048 模擬中心與開院演練</v>
      </c>
      <c r="BG102" s="0" t="str">
        <f aca="false">IF(AND($B102="D08",$C102="G6"),BG101&amp;IF(BG101="","",CHAR(10))&amp;$A102,BG101)</f>
        <v/>
      </c>
      <c r="BH102" s="0" t="str">
        <f aca="false">IF(AND($B102="D09",$C102="G0"),BH101&amp;IF(BH101="","",CHAR(10))&amp;$A102,BH101)</f>
        <v/>
      </c>
      <c r="BI102" s="0" t="str">
        <f aca="false">IF(AND($B102="D09",$C102="G1"),BI101&amp;IF(BI101="","",CHAR(10))&amp;$A102,BI101)</f>
        <v/>
      </c>
      <c r="BJ102" s="0" t="str">
        <f aca="false">IF(AND($B102="D09",$C102="G2"),BJ101&amp;IF(BJ101="","",CHAR(10))&amp;$A102,BJ101)</f>
        <v>◐ 050 整合採購與供應商治理</v>
      </c>
      <c r="BK102" s="0" t="str">
        <f aca="false">IF(AND($B102="D09",$C102="G3"),BK101&amp;IF(BK101="","",CHAR(10))&amp;$A102,BK101)</f>
        <v/>
      </c>
      <c r="BL102" s="363" t="str">
        <f aca="false">IF(AND($B102="D09",$C102="G4"),BL101&amp;IF(BL101="","",CHAR(10))&amp;$A102,BL101)</f>
        <v>◐ 051 藥品耗材與SPD物流
◐ 052 冷鏈與特殊物料
● 053 CMMS與設施維運</v>
      </c>
      <c r="BM102" s="0" t="str">
        <f aca="false">IF(AND($B102="D09",$C102="G5"),BM101&amp;IF(BM101="","",CHAR(10))&amp;$A102,BM101)</f>
        <v>◐ 054 在地備品、維修與汰換</v>
      </c>
      <c r="BN102" s="0" t="str">
        <f aca="false">IF(AND($B102="D09",$C102="G6"),BN101&amp;IF(BN101="","",CHAR(10))&amp;$A102,BN101)</f>
        <v/>
      </c>
      <c r="BO102" s="0" t="str">
        <f aca="false">IF(AND($B102="D10",$C102="G0"),BO101&amp;IF(BO101="","",CHAR(10))&amp;$A102,BO101)</f>
        <v/>
      </c>
      <c r="BP102" s="0" t="str">
        <f aca="false">IF(AND($B102="D10",$C102="G1"),BP101&amp;IF(BP101="","",CHAR(10))&amp;$A102,BP101)</f>
        <v>◐ 055 全生命週期成本模型</v>
      </c>
      <c r="BQ102" s="0" t="str">
        <f aca="false">IF(AND($B102="D10",$C102="G2"),BQ101&amp;IF(BQ101="","",CHAR(10))&amp;$A102,BQ101)</f>
        <v>◐ 059 PPP／JV財務與風險分配</v>
      </c>
      <c r="BR102" s="0" t="str">
        <f aca="false">IF(AND($B102="D10",$C102="G3"),BR101&amp;IF(BR101="","",CHAR(10))&amp;$A102,BR101)</f>
        <v/>
      </c>
      <c r="BS102" s="363" t="str">
        <f aca="false">IF(AND($B102="D10",$C102="G4"),BS101&amp;IF(BS101="","",CHAR(10))&amp;$A102,BS101)</f>
        <v>○ 056 健保申報與數位理賠
○ 057 現金流、支付與收入週期</v>
      </c>
      <c r="BT102" s="0" t="str">
        <f aca="false">IF(AND($B102="D10",$C102="G5"),BT101&amp;IF(BT101="","",CHAR(10))&amp;$A102,BT101)</f>
        <v>○ 058 國際醫療與高價值服務</v>
      </c>
      <c r="BU102" s="0" t="str">
        <f aca="false">IF(AND($B102="D10",$C102="G6"),BU101&amp;IF(BU101="","",CHAR(10))&amp;$A102,BU101)</f>
        <v>◐ 060 效益實現與複製藍圖</v>
      </c>
      <c r="BX102" s="0" t="str">
        <f aca="false">IF(AND(03_能力總表_Master!$A102&lt;&gt;"",LEFT(03_能力總表_Master!$H102,2)="缺口"),MAX($BX$4:BX101)+1,"")</f>
        <v/>
      </c>
      <c r="BY102" s="0" t="str">
        <f aca="false">IF(AND(03_能力總表_Master!$A102&lt;&gt;"",03_能力總表_Master!$J102=12_夥伴視角_PartnerView!$C$4),MAX($BY$4:BY101)+1,"")</f>
        <v/>
      </c>
      <c r="CC102" s="0" t="str">
        <f aca="false">IF(AND(03_能力總表_Master!$A102&lt;&gt;"",IFERROR(INDEX(16_能力商機矩陣_CapOppMap!$D102:$CO102,MATCH(LEFT(17_商機作戰卡_OppView!$C$4,6),16_能力商機矩陣_CapOppMap!$D$4:$CO$4,0)),"")="✓"),MAX($CC$4:CC101)+1,"")</f>
        <v/>
      </c>
    </row>
    <row r="103" customFormat="false" ht="95.5" hidden="false" customHeight="false" outlineLevel="0" collapsed="false">
      <c r="A103" s="0" t="str">
        <f aca="false">IF(03_能力總表_Master!$A103="","",IF(LEFT(03_能力總表_Master!$H103,2)="群晶","● ",IF(ISNUMBER(SEARCH("已確認",03_能力總表_Master!$H103)),"◆ ",IF(ISNUMBER(SEARCH("缺口",03_能力總表_Master!$H103)),"○ ","◐ ")))&amp;RIGHT(03_能力總表_Master!$A103,3)&amp;" "&amp;03_能力總表_Master!$E103)</f>
        <v/>
      </c>
      <c r="B103" s="0" t="str">
        <f aca="false">IF(03_能力總表_Master!$A103="","",LEFT(03_能力總表_Master!$B103,3))</f>
        <v/>
      </c>
      <c r="C103" s="0" t="str">
        <f aca="false">IF(03_能力總表_Master!$A103="","",03_能力總表_Master!$C103)</f>
        <v/>
      </c>
      <c r="D103" s="363" t="str">
        <f aca="false">IF(AND($B103="D01",$C103="G0"),D102&amp;IF(D102="","",CHAR(10))&amp;$A103,D102)</f>
        <v>◐ 001 政府授權與計畫章程
◐ 002 利害關係人與權力地圖
◐ 005 聯盟治理與利益衝突</v>
      </c>
      <c r="E103" s="363" t="str">
        <f aca="false">IF(AND($B103="D01",$C103="G1"),E102&amp;IF(E102="","",CHAR(10))&amp;$A103,E102)</f>
        <v>◐ 003 交易模式選擇
◐ 004 法規與執照路徑</v>
      </c>
      <c r="F103" s="0" t="str">
        <f aca="false">IF(AND($B103="D01",$C103="G2"),F102&amp;IF(F102="","",CHAR(10))&amp;$A103,F102)</f>
        <v>◐ 006 績效契約與變更控制</v>
      </c>
      <c r="G103" s="0" t="str">
        <f aca="false">IF(AND($B103="D01",$C103="G3"),G102&amp;IF(G102="","",CHAR(10))&amp;$A103,G102)</f>
        <v/>
      </c>
      <c r="H103" s="0" t="str">
        <f aca="false">IF(AND($B103="D01",$C103="G4"),H102&amp;IF(H102="","",CHAR(10))&amp;$A103,H102)</f>
        <v/>
      </c>
      <c r="I103" s="0" t="str">
        <f aca="false">IF(AND($B103="D01",$C103="G5"),I102&amp;IF(I102="","",CHAR(10))&amp;$A103,I102)</f>
        <v/>
      </c>
      <c r="J103" s="0" t="str">
        <f aca="false">IF(AND($B103="D01",$C103="G6"),J102&amp;IF(J102="","",CHAR(10))&amp;$A103,J102)</f>
        <v/>
      </c>
      <c r="K103" s="0" t="str">
        <f aca="false">IF(AND($B103="D02",$C103="G0"),K102&amp;IF(K102="","",CHAR(10))&amp;$A103,K102)</f>
        <v/>
      </c>
      <c r="L103" s="363" t="str">
        <f aca="false">IF(AND($B103="D02",$C103="G1"),L102&amp;IF(L102="","",CHAR(10))&amp;$A103,L102)</f>
        <v>◐ 007 人口需求與病例量預測
◐ 008 醫院定位與服務組合
◐ 009 重點專科優先化
◐ 010 病人流程與容量設計
◐ 011 轉診與區域照護網絡
◐ 012 臨床治理與責任架構</v>
      </c>
      <c r="M103" s="0" t="str">
        <f aca="false">IF(AND($B103="D02",$C103="G2"),M102&amp;IF(M102="","",CHAR(10))&amp;$A103,M102)</f>
        <v/>
      </c>
      <c r="N103" s="0" t="str">
        <f aca="false">IF(AND($B103="D02",$C103="G3"),N102&amp;IF(N102="","",CHAR(10))&amp;$A103,N102)</f>
        <v/>
      </c>
      <c r="O103" s="0" t="str">
        <f aca="false">IF(AND($B103="D02",$C103="G4"),O102&amp;IF(O102="","",CHAR(10))&amp;$A103,O102)</f>
        <v/>
      </c>
      <c r="P103" s="0" t="str">
        <f aca="false">IF(AND($B103="D02",$C103="G5"),P102&amp;IF(P102="","",CHAR(10))&amp;$A103,P102)</f>
        <v/>
      </c>
      <c r="Q103" s="0" t="str">
        <f aca="false">IF(AND($B103="D02",$C103="G6"),Q102&amp;IF(Q102="","",CHAR(10))&amp;$A103,Q102)</f>
        <v/>
      </c>
      <c r="R103" s="0" t="str">
        <f aca="false">IF(AND($B103="D03",$C103="G0"),R102&amp;IF(R102="","",CHAR(10))&amp;$A103,R102)</f>
        <v/>
      </c>
      <c r="S103" s="0" t="str">
        <f aca="false">IF(AND($B103="D03",$C103="G1"),S102&amp;IF(S102="","",CHAR(10))&amp;$A103,S102)</f>
        <v>◐ 013 場址與醫院總體規劃</v>
      </c>
      <c r="T103" s="363" t="str">
        <f aca="false">IF(AND($B103="D03",$C103="G2"),T102&amp;IF(T102="","",CHAR(10))&amp;$A103,T102)</f>
        <v>◐ 014 醫療建築功能計畫
◐ 015 感染控制與潔污動線
◐ 019 綠色與氣候韌性醫院</v>
      </c>
      <c r="U103" s="363" t="str">
        <f aca="false">IF(AND($B103="D03",$C103="G3"),U102&amp;IF(U102="","",CHAR(10))&amp;$A103,U102)</f>
        <v>● 016 電力、備援與微電網
◐ 017 醫療氣體與關鍵公用系統
◐ 018 醫療廢棄物與水資源</v>
      </c>
      <c r="V103" s="0" t="str">
        <f aca="false">IF(AND($B103="D03",$C103="G4"),V102&amp;IF(V102="","",CHAR(10))&amp;$A103,V102)</f>
        <v/>
      </c>
      <c r="W103" s="0" t="str">
        <f aca="false">IF(AND($B103="D03",$C103="G5"),W102&amp;IF(W102="","",CHAR(10))&amp;$A103,W102)</f>
        <v/>
      </c>
      <c r="X103" s="0" t="str">
        <f aca="false">IF(AND($B103="D03",$C103="G6"),X102&amp;IF(X102="","",CHAR(10))&amp;$A103,X102)</f>
        <v/>
      </c>
      <c r="Y103" s="0" t="str">
        <f aca="false">IF(AND($B103="D04",$C103="G0"),Y102&amp;IF(Y102="","",CHAR(10))&amp;$A103,Y102)</f>
        <v/>
      </c>
      <c r="Z103" s="0" t="str">
        <f aca="false">IF(AND($B103="D04",$C103="G1"),Z102&amp;IF(Z102="","",CHAR(10))&amp;$A103,Z102)</f>
        <v/>
      </c>
      <c r="AA103" s="0" t="str">
        <f aca="false">IF(AND($B103="D04",$C103="G2"),AA102&amp;IF(AA102="","",CHAR(10))&amp;$A103,AA102)</f>
        <v/>
      </c>
      <c r="AB103" s="0" t="str">
        <f aca="false">IF(AND($B103="D04",$C103="G3"),AB102&amp;IF(AB102="","",CHAR(10))&amp;$A103,AB102)</f>
        <v>● 020 IDC與邊緣運算底座</v>
      </c>
      <c r="AC103" s="363" t="str">
        <f aca="false">IF(AND($B103="D04",$C103="G4"),AC102&amp;IF(AC102="","",CHAR(10))&amp;$A103,AC102)</f>
        <v>● 021 有線無線網路與分區
◐ 022 資安營運與零信任
● 023 BMS與能源管理
● 024 RTLS與資產／人員定位
● 025 智慧病房、護理呼叫與感測
● 026 災難復原與營運持續</v>
      </c>
      <c r="AD103" s="0" t="str">
        <f aca="false">IF(AND($B103="D04",$C103="G5"),AD102&amp;IF(AD102="","",CHAR(10))&amp;$A103,AD102)</f>
        <v/>
      </c>
      <c r="AE103" s="0" t="str">
        <f aca="false">IF(AND($B103="D04",$C103="G6"),AE102&amp;IF(AE102="","",CHAR(10))&amp;$A103,AE102)</f>
        <v/>
      </c>
      <c r="AF103" s="0" t="str">
        <f aca="false">IF(AND($B103="D05",$C103="G0"),AF102&amp;IF(AF102="","",CHAR(10))&amp;$A103,AF102)</f>
        <v/>
      </c>
      <c r="AG103" s="0" t="str">
        <f aca="false">IF(AND($B103="D05",$C103="G1"),AG102&amp;IF(AG102="","",CHAR(10))&amp;$A103,AG102)</f>
        <v/>
      </c>
      <c r="AH103" s="0" t="str">
        <f aca="false">IF(AND($B103="D05",$C103="G2"),AH102&amp;IF(AH102="","",CHAR(10))&amp;$A103,AH102)</f>
        <v>◐ 027 醫材需求與設備計畫</v>
      </c>
      <c r="AI103" s="0" t="str">
        <f aca="false">IF(AND($B103="D05",$C103="G3"),AI102&amp;IF(AI102="","",CHAR(10))&amp;$A103,AI102)</f>
        <v/>
      </c>
      <c r="AJ103" s="363" t="str">
        <f aca="false">IF(AND($B103="D05",$C103="G4"),AJ102&amp;IF(AJ102="","",CHAR(10))&amp;$A103,AJ102)</f>
        <v>○ 028 影像設備、PACS與報告流程
○ 029 實驗室自動化與LIS
○ 030 手術室與重症整合
◐ 031 醫材介接與裝置身分
◐ 032 醫療工程與設備生命週期</v>
      </c>
      <c r="AK103" s="0" t="str">
        <f aca="false">IF(AND($B103="D05",$C103="G5"),AK102&amp;IF(AK102="","",CHAR(10))&amp;$A103,AK102)</f>
        <v/>
      </c>
      <c r="AL103" s="0" t="str">
        <f aca="false">IF(AND($B103="D05",$C103="G6"),AL102&amp;IF(AL102="","",CHAR(10))&amp;$A103,AL102)</f>
        <v/>
      </c>
      <c r="AM103" s="0" t="str">
        <f aca="false">IF(AND($B103="D06",$C103="G0"),AM102&amp;IF(AM102="","",CHAR(10))&amp;$A103,AM102)</f>
        <v/>
      </c>
      <c r="AN103" s="0" t="str">
        <f aca="false">IF(AND($B103="D06",$C103="G1"),AN102&amp;IF(AN102="","",CHAR(10))&amp;$A103,AN102)</f>
        <v/>
      </c>
      <c r="AO103" s="0" t="str">
        <f aca="false">IF(AND($B103="D06",$C103="G2"),AO102&amp;IF(AO102="","",CHAR(10))&amp;$A103,AO102)</f>
        <v/>
      </c>
      <c r="AP103" s="363" t="str">
        <f aca="false">IF(AND($B103="D06",$C103="G3"),AP102&amp;IF(AP102="","",CHAR(10))&amp;$A103,AP102)</f>
        <v>◐ 033 HIS／EMR核心平台
◐ 036 臨床術語與主資料治理</v>
      </c>
      <c r="AQ103" s="363" t="str">
        <f aca="false">IF(AND($B103="D06",$C103="G4"),AQ102&amp;IF(AQ102="","",CHAR(10))&amp;$A103,AQ102)</f>
        <v>◐ 034 FHIR介接與API管理
○ 035 主病人索引與身分整合
◐ 037 電子醫囑、用藥與決策支援
◐ 038 資料平台、BI與營運指揮</v>
      </c>
      <c r="AR103" s="0" t="str">
        <f aca="false">IF(AND($B103="D06",$C103="G5"),AR102&amp;IF(AR102="","",CHAR(10))&amp;$A103,AR102)</f>
        <v>○ 039 病人入口、行動服務與VNeID準備</v>
      </c>
      <c r="AS103" s="0" t="str">
        <f aca="false">IF(AND($B103="D06",$C103="G6"),AS102&amp;IF(AS102="","",CHAR(10))&amp;$A103,AS102)</f>
        <v/>
      </c>
      <c r="AT103" s="0" t="str">
        <f aca="false">IF(AND($B103="D07",$C103="G0"),AT102&amp;IF(AT102="","",CHAR(10))&amp;$A103,AT102)</f>
        <v/>
      </c>
      <c r="AU103" s="0" t="str">
        <f aca="false">IF(AND($B103="D07",$C103="G1"),AU102&amp;IF(AU102="","",CHAR(10))&amp;$A103,AU102)</f>
        <v/>
      </c>
      <c r="AV103" s="0" t="str">
        <f aca="false">IF(AND($B103="D07",$C103="G2"),AV102&amp;IF(AV102="","",CHAR(10))&amp;$A103,AV102)</f>
        <v>◐ 040 品質管理與JCI路線圖</v>
      </c>
      <c r="AW103" s="363" t="str">
        <f aca="false">IF(AND($B103="D07",$C103="G3"),AW102&amp;IF(AW102="","",CHAR(10))&amp;$A103,AW102)</f>
        <v>◐ 041 感染預防與控制制度
◐ 043 事件通報與根因改善</v>
      </c>
      <c r="AX103" s="0" t="str">
        <f aca="false">IF(AND($B103="D07",$C103="G4"),AX102&amp;IF(AX102="","",CHAR(10))&amp;$A103,AX102)</f>
        <v>◐ 042 用藥安全閉環</v>
      </c>
      <c r="AY103" s="0" t="str">
        <f aca="false">IF(AND($B103="D07",$C103="G5"),AY102&amp;IF(AY102="","",CHAR(10))&amp;$A103,AY102)</f>
        <v>◐ 044 開院臨床安全驗證</v>
      </c>
      <c r="AZ103" s="0" t="str">
        <f aca="false">IF(AND($B103="D07",$C103="G6"),AZ102&amp;IF(AZ102="","",CHAR(10))&amp;$A103,AZ102)</f>
        <v/>
      </c>
      <c r="BA103" s="0" t="str">
        <f aca="false">IF(AND($B103="D08",$C103="G0"),BA102&amp;IF(BA102="","",CHAR(10))&amp;$A103,BA102)</f>
        <v/>
      </c>
      <c r="BB103" s="0" t="str">
        <f aca="false">IF(AND($B103="D08",$C103="G1"),BB102&amp;IF(BB102="","",CHAR(10))&amp;$A103,BB102)</f>
        <v/>
      </c>
      <c r="BC103" s="0" t="str">
        <f aca="false">IF(AND($B103="D08",$C103="G2"),BC102&amp;IF(BC102="","",CHAR(10))&amp;$A103,BC102)</f>
        <v>○ 045 人力與輪班模型</v>
      </c>
      <c r="BD103" s="0" t="str">
        <f aca="false">IF(AND($B103="D08",$C103="G3"),BD102&amp;IF(BD102="","",CHAR(10))&amp;$A103,BD102)</f>
        <v>◐ 046 職能矩陣與授權</v>
      </c>
      <c r="BE103" s="363" t="str">
        <f aca="false">IF(AND($B103="D08",$C103="G4"),BE102&amp;IF(BE102="","",CHAR(10))&amp;$A103,BE102)</f>
        <v>◐ 047 種子教師與技術移轉
◐ 049 變革管理與使用者採納</v>
      </c>
      <c r="BF103" s="0" t="str">
        <f aca="false">IF(AND($B103="D08",$C103="G5"),BF102&amp;IF(BF102="","",CHAR(10))&amp;$A103,BF102)</f>
        <v>◐ 048 模擬中心與開院演練</v>
      </c>
      <c r="BG103" s="0" t="str">
        <f aca="false">IF(AND($B103="D08",$C103="G6"),BG102&amp;IF(BG102="","",CHAR(10))&amp;$A103,BG102)</f>
        <v/>
      </c>
      <c r="BH103" s="0" t="str">
        <f aca="false">IF(AND($B103="D09",$C103="G0"),BH102&amp;IF(BH102="","",CHAR(10))&amp;$A103,BH102)</f>
        <v/>
      </c>
      <c r="BI103" s="0" t="str">
        <f aca="false">IF(AND($B103="D09",$C103="G1"),BI102&amp;IF(BI102="","",CHAR(10))&amp;$A103,BI102)</f>
        <v/>
      </c>
      <c r="BJ103" s="0" t="str">
        <f aca="false">IF(AND($B103="D09",$C103="G2"),BJ102&amp;IF(BJ102="","",CHAR(10))&amp;$A103,BJ102)</f>
        <v>◐ 050 整合採購與供應商治理</v>
      </c>
      <c r="BK103" s="0" t="str">
        <f aca="false">IF(AND($B103="D09",$C103="G3"),BK102&amp;IF(BK102="","",CHAR(10))&amp;$A103,BK102)</f>
        <v/>
      </c>
      <c r="BL103" s="363" t="str">
        <f aca="false">IF(AND($B103="D09",$C103="G4"),BL102&amp;IF(BL102="","",CHAR(10))&amp;$A103,BL102)</f>
        <v>◐ 051 藥品耗材與SPD物流
◐ 052 冷鏈與特殊物料
● 053 CMMS與設施維運</v>
      </c>
      <c r="BM103" s="0" t="str">
        <f aca="false">IF(AND($B103="D09",$C103="G5"),BM102&amp;IF(BM102="","",CHAR(10))&amp;$A103,BM102)</f>
        <v>◐ 054 在地備品、維修與汰換</v>
      </c>
      <c r="BN103" s="0" t="str">
        <f aca="false">IF(AND($B103="D09",$C103="G6"),BN102&amp;IF(BN102="","",CHAR(10))&amp;$A103,BN102)</f>
        <v/>
      </c>
      <c r="BO103" s="0" t="str">
        <f aca="false">IF(AND($B103="D10",$C103="G0"),BO102&amp;IF(BO102="","",CHAR(10))&amp;$A103,BO102)</f>
        <v/>
      </c>
      <c r="BP103" s="0" t="str">
        <f aca="false">IF(AND($B103="D10",$C103="G1"),BP102&amp;IF(BP102="","",CHAR(10))&amp;$A103,BP102)</f>
        <v>◐ 055 全生命週期成本模型</v>
      </c>
      <c r="BQ103" s="0" t="str">
        <f aca="false">IF(AND($B103="D10",$C103="G2"),BQ102&amp;IF(BQ102="","",CHAR(10))&amp;$A103,BQ102)</f>
        <v>◐ 059 PPP／JV財務與風險分配</v>
      </c>
      <c r="BR103" s="0" t="str">
        <f aca="false">IF(AND($B103="D10",$C103="G3"),BR102&amp;IF(BR102="","",CHAR(10))&amp;$A103,BR102)</f>
        <v/>
      </c>
      <c r="BS103" s="363" t="str">
        <f aca="false">IF(AND($B103="D10",$C103="G4"),BS102&amp;IF(BS102="","",CHAR(10))&amp;$A103,BS102)</f>
        <v>○ 056 健保申報與數位理賠
○ 057 現金流、支付與收入週期</v>
      </c>
      <c r="BT103" s="0" t="str">
        <f aca="false">IF(AND($B103="D10",$C103="G5"),BT102&amp;IF(BT102="","",CHAR(10))&amp;$A103,BT102)</f>
        <v>○ 058 國際醫療與高價值服務</v>
      </c>
      <c r="BU103" s="0" t="str">
        <f aca="false">IF(AND($B103="D10",$C103="G6"),BU102&amp;IF(BU102="","",CHAR(10))&amp;$A103,BU102)</f>
        <v>◐ 060 效益實現與複製藍圖</v>
      </c>
      <c r="BX103" s="0" t="str">
        <f aca="false">IF(AND(03_能力總表_Master!$A103&lt;&gt;"",LEFT(03_能力總表_Master!$H103,2)="缺口"),MAX($BX$4:BX102)+1,"")</f>
        <v/>
      </c>
      <c r="BY103" s="0" t="str">
        <f aca="false">IF(AND(03_能力總表_Master!$A103&lt;&gt;"",03_能力總表_Master!$J103=12_夥伴視角_PartnerView!$C$4),MAX($BY$4:BY102)+1,"")</f>
        <v/>
      </c>
      <c r="CC103" s="0" t="str">
        <f aca="false">IF(AND(03_能力總表_Master!$A103&lt;&gt;"",IFERROR(INDEX(16_能力商機矩陣_CapOppMap!$D103:$CO103,MATCH(LEFT(17_商機作戰卡_OppView!$C$4,6),16_能力商機矩陣_CapOppMap!$D$4:$CO$4,0)),"")="✓"),MAX($CC$4:CC102)+1,"")</f>
        <v/>
      </c>
    </row>
    <row r="104" customFormat="false" ht="95.5" hidden="false" customHeight="false" outlineLevel="0" collapsed="false">
      <c r="A104" s="0" t="str">
        <f aca="false">IF(03_能力總表_Master!$A104="","",IF(LEFT(03_能力總表_Master!$H104,2)="群晶","● ",IF(ISNUMBER(SEARCH("已確認",03_能力總表_Master!$H104)),"◆ ",IF(ISNUMBER(SEARCH("缺口",03_能力總表_Master!$H104)),"○ ","◐ ")))&amp;RIGHT(03_能力總表_Master!$A104,3)&amp;" "&amp;03_能力總表_Master!$E104)</f>
        <v/>
      </c>
      <c r="B104" s="0" t="str">
        <f aca="false">IF(03_能力總表_Master!$A104="","",LEFT(03_能力總表_Master!$B104,3))</f>
        <v/>
      </c>
      <c r="C104" s="0" t="str">
        <f aca="false">IF(03_能力總表_Master!$A104="","",03_能力總表_Master!$C104)</f>
        <v/>
      </c>
      <c r="D104" s="363" t="str">
        <f aca="false">IF(AND($B104="D01",$C104="G0"),D103&amp;IF(D103="","",CHAR(10))&amp;$A104,D103)</f>
        <v>◐ 001 政府授權與計畫章程
◐ 002 利害關係人與權力地圖
◐ 005 聯盟治理與利益衝突</v>
      </c>
      <c r="E104" s="363" t="str">
        <f aca="false">IF(AND($B104="D01",$C104="G1"),E103&amp;IF(E103="","",CHAR(10))&amp;$A104,E103)</f>
        <v>◐ 003 交易模式選擇
◐ 004 法規與執照路徑</v>
      </c>
      <c r="F104" s="0" t="str">
        <f aca="false">IF(AND($B104="D01",$C104="G2"),F103&amp;IF(F103="","",CHAR(10))&amp;$A104,F103)</f>
        <v>◐ 006 績效契約與變更控制</v>
      </c>
      <c r="G104" s="0" t="str">
        <f aca="false">IF(AND($B104="D01",$C104="G3"),G103&amp;IF(G103="","",CHAR(10))&amp;$A104,G103)</f>
        <v/>
      </c>
      <c r="H104" s="0" t="str">
        <f aca="false">IF(AND($B104="D01",$C104="G4"),H103&amp;IF(H103="","",CHAR(10))&amp;$A104,H103)</f>
        <v/>
      </c>
      <c r="I104" s="0" t="str">
        <f aca="false">IF(AND($B104="D01",$C104="G5"),I103&amp;IF(I103="","",CHAR(10))&amp;$A104,I103)</f>
        <v/>
      </c>
      <c r="J104" s="0" t="str">
        <f aca="false">IF(AND($B104="D01",$C104="G6"),J103&amp;IF(J103="","",CHAR(10))&amp;$A104,J103)</f>
        <v/>
      </c>
      <c r="K104" s="0" t="str">
        <f aca="false">IF(AND($B104="D02",$C104="G0"),K103&amp;IF(K103="","",CHAR(10))&amp;$A104,K103)</f>
        <v/>
      </c>
      <c r="L104" s="363" t="str">
        <f aca="false">IF(AND($B104="D02",$C104="G1"),L103&amp;IF(L103="","",CHAR(10))&amp;$A104,L103)</f>
        <v>◐ 007 人口需求與病例量預測
◐ 008 醫院定位與服務組合
◐ 009 重點專科優先化
◐ 010 病人流程與容量設計
◐ 011 轉診與區域照護網絡
◐ 012 臨床治理與責任架構</v>
      </c>
      <c r="M104" s="0" t="str">
        <f aca="false">IF(AND($B104="D02",$C104="G2"),M103&amp;IF(M103="","",CHAR(10))&amp;$A104,M103)</f>
        <v/>
      </c>
      <c r="N104" s="0" t="str">
        <f aca="false">IF(AND($B104="D02",$C104="G3"),N103&amp;IF(N103="","",CHAR(10))&amp;$A104,N103)</f>
        <v/>
      </c>
      <c r="O104" s="0" t="str">
        <f aca="false">IF(AND($B104="D02",$C104="G4"),O103&amp;IF(O103="","",CHAR(10))&amp;$A104,O103)</f>
        <v/>
      </c>
      <c r="P104" s="0" t="str">
        <f aca="false">IF(AND($B104="D02",$C104="G5"),P103&amp;IF(P103="","",CHAR(10))&amp;$A104,P103)</f>
        <v/>
      </c>
      <c r="Q104" s="0" t="str">
        <f aca="false">IF(AND($B104="D02",$C104="G6"),Q103&amp;IF(Q103="","",CHAR(10))&amp;$A104,Q103)</f>
        <v/>
      </c>
      <c r="R104" s="0" t="str">
        <f aca="false">IF(AND($B104="D03",$C104="G0"),R103&amp;IF(R103="","",CHAR(10))&amp;$A104,R103)</f>
        <v/>
      </c>
      <c r="S104" s="0" t="str">
        <f aca="false">IF(AND($B104="D03",$C104="G1"),S103&amp;IF(S103="","",CHAR(10))&amp;$A104,S103)</f>
        <v>◐ 013 場址與醫院總體規劃</v>
      </c>
      <c r="T104" s="363" t="str">
        <f aca="false">IF(AND($B104="D03",$C104="G2"),T103&amp;IF(T103="","",CHAR(10))&amp;$A104,T103)</f>
        <v>◐ 014 醫療建築功能計畫
◐ 015 感染控制與潔污動線
◐ 019 綠色與氣候韌性醫院</v>
      </c>
      <c r="U104" s="363" t="str">
        <f aca="false">IF(AND($B104="D03",$C104="G3"),U103&amp;IF(U103="","",CHAR(10))&amp;$A104,U103)</f>
        <v>● 016 電力、備援與微電網
◐ 017 醫療氣體與關鍵公用系統
◐ 018 醫療廢棄物與水資源</v>
      </c>
      <c r="V104" s="0" t="str">
        <f aca="false">IF(AND($B104="D03",$C104="G4"),V103&amp;IF(V103="","",CHAR(10))&amp;$A104,V103)</f>
        <v/>
      </c>
      <c r="W104" s="0" t="str">
        <f aca="false">IF(AND($B104="D03",$C104="G5"),W103&amp;IF(W103="","",CHAR(10))&amp;$A104,W103)</f>
        <v/>
      </c>
      <c r="X104" s="0" t="str">
        <f aca="false">IF(AND($B104="D03",$C104="G6"),X103&amp;IF(X103="","",CHAR(10))&amp;$A104,X103)</f>
        <v/>
      </c>
      <c r="Y104" s="0" t="str">
        <f aca="false">IF(AND($B104="D04",$C104="G0"),Y103&amp;IF(Y103="","",CHAR(10))&amp;$A104,Y103)</f>
        <v/>
      </c>
      <c r="Z104" s="0" t="str">
        <f aca="false">IF(AND($B104="D04",$C104="G1"),Z103&amp;IF(Z103="","",CHAR(10))&amp;$A104,Z103)</f>
        <v/>
      </c>
      <c r="AA104" s="0" t="str">
        <f aca="false">IF(AND($B104="D04",$C104="G2"),AA103&amp;IF(AA103="","",CHAR(10))&amp;$A104,AA103)</f>
        <v/>
      </c>
      <c r="AB104" s="0" t="str">
        <f aca="false">IF(AND($B104="D04",$C104="G3"),AB103&amp;IF(AB103="","",CHAR(10))&amp;$A104,AB103)</f>
        <v>● 020 IDC與邊緣運算底座</v>
      </c>
      <c r="AC104" s="363" t="str">
        <f aca="false">IF(AND($B104="D04",$C104="G4"),AC103&amp;IF(AC103="","",CHAR(10))&amp;$A104,AC103)</f>
        <v>● 021 有線無線網路與分區
◐ 022 資安營運與零信任
● 023 BMS與能源管理
● 024 RTLS與資產／人員定位
● 025 智慧病房、護理呼叫與感測
● 026 災難復原與營運持續</v>
      </c>
      <c r="AD104" s="0" t="str">
        <f aca="false">IF(AND($B104="D04",$C104="G5"),AD103&amp;IF(AD103="","",CHAR(10))&amp;$A104,AD103)</f>
        <v/>
      </c>
      <c r="AE104" s="0" t="str">
        <f aca="false">IF(AND($B104="D04",$C104="G6"),AE103&amp;IF(AE103="","",CHAR(10))&amp;$A104,AE103)</f>
        <v/>
      </c>
      <c r="AF104" s="0" t="str">
        <f aca="false">IF(AND($B104="D05",$C104="G0"),AF103&amp;IF(AF103="","",CHAR(10))&amp;$A104,AF103)</f>
        <v/>
      </c>
      <c r="AG104" s="0" t="str">
        <f aca="false">IF(AND($B104="D05",$C104="G1"),AG103&amp;IF(AG103="","",CHAR(10))&amp;$A104,AG103)</f>
        <v/>
      </c>
      <c r="AH104" s="0" t="str">
        <f aca="false">IF(AND($B104="D05",$C104="G2"),AH103&amp;IF(AH103="","",CHAR(10))&amp;$A104,AH103)</f>
        <v>◐ 027 醫材需求與設備計畫</v>
      </c>
      <c r="AI104" s="0" t="str">
        <f aca="false">IF(AND($B104="D05",$C104="G3"),AI103&amp;IF(AI103="","",CHAR(10))&amp;$A104,AI103)</f>
        <v/>
      </c>
      <c r="AJ104" s="363" t="str">
        <f aca="false">IF(AND($B104="D05",$C104="G4"),AJ103&amp;IF(AJ103="","",CHAR(10))&amp;$A104,AJ103)</f>
        <v>○ 028 影像設備、PACS與報告流程
○ 029 實驗室自動化與LIS
○ 030 手術室與重症整合
◐ 031 醫材介接與裝置身分
◐ 032 醫療工程與設備生命週期</v>
      </c>
      <c r="AK104" s="0" t="str">
        <f aca="false">IF(AND($B104="D05",$C104="G5"),AK103&amp;IF(AK103="","",CHAR(10))&amp;$A104,AK103)</f>
        <v/>
      </c>
      <c r="AL104" s="0" t="str">
        <f aca="false">IF(AND($B104="D05",$C104="G6"),AL103&amp;IF(AL103="","",CHAR(10))&amp;$A104,AL103)</f>
        <v/>
      </c>
      <c r="AM104" s="0" t="str">
        <f aca="false">IF(AND($B104="D06",$C104="G0"),AM103&amp;IF(AM103="","",CHAR(10))&amp;$A104,AM103)</f>
        <v/>
      </c>
      <c r="AN104" s="0" t="str">
        <f aca="false">IF(AND($B104="D06",$C104="G1"),AN103&amp;IF(AN103="","",CHAR(10))&amp;$A104,AN103)</f>
        <v/>
      </c>
      <c r="AO104" s="0" t="str">
        <f aca="false">IF(AND($B104="D06",$C104="G2"),AO103&amp;IF(AO103="","",CHAR(10))&amp;$A104,AO103)</f>
        <v/>
      </c>
      <c r="AP104" s="363" t="str">
        <f aca="false">IF(AND($B104="D06",$C104="G3"),AP103&amp;IF(AP103="","",CHAR(10))&amp;$A104,AP103)</f>
        <v>◐ 033 HIS／EMR核心平台
◐ 036 臨床術語與主資料治理</v>
      </c>
      <c r="AQ104" s="363" t="str">
        <f aca="false">IF(AND($B104="D06",$C104="G4"),AQ103&amp;IF(AQ103="","",CHAR(10))&amp;$A104,AQ103)</f>
        <v>◐ 034 FHIR介接與API管理
○ 035 主病人索引與身分整合
◐ 037 電子醫囑、用藥與決策支援
◐ 038 資料平台、BI與營運指揮</v>
      </c>
      <c r="AR104" s="0" t="str">
        <f aca="false">IF(AND($B104="D06",$C104="G5"),AR103&amp;IF(AR103="","",CHAR(10))&amp;$A104,AR103)</f>
        <v>○ 039 病人入口、行動服務與VNeID準備</v>
      </c>
      <c r="AS104" s="0" t="str">
        <f aca="false">IF(AND($B104="D06",$C104="G6"),AS103&amp;IF(AS103="","",CHAR(10))&amp;$A104,AS103)</f>
        <v/>
      </c>
      <c r="AT104" s="0" t="str">
        <f aca="false">IF(AND($B104="D07",$C104="G0"),AT103&amp;IF(AT103="","",CHAR(10))&amp;$A104,AT103)</f>
        <v/>
      </c>
      <c r="AU104" s="0" t="str">
        <f aca="false">IF(AND($B104="D07",$C104="G1"),AU103&amp;IF(AU103="","",CHAR(10))&amp;$A104,AU103)</f>
        <v/>
      </c>
      <c r="AV104" s="0" t="str">
        <f aca="false">IF(AND($B104="D07",$C104="G2"),AV103&amp;IF(AV103="","",CHAR(10))&amp;$A104,AV103)</f>
        <v>◐ 040 品質管理與JCI路線圖</v>
      </c>
      <c r="AW104" s="363" t="str">
        <f aca="false">IF(AND($B104="D07",$C104="G3"),AW103&amp;IF(AW103="","",CHAR(10))&amp;$A104,AW103)</f>
        <v>◐ 041 感染預防與控制制度
◐ 043 事件通報與根因改善</v>
      </c>
      <c r="AX104" s="0" t="str">
        <f aca="false">IF(AND($B104="D07",$C104="G4"),AX103&amp;IF(AX103="","",CHAR(10))&amp;$A104,AX103)</f>
        <v>◐ 042 用藥安全閉環</v>
      </c>
      <c r="AY104" s="0" t="str">
        <f aca="false">IF(AND($B104="D07",$C104="G5"),AY103&amp;IF(AY103="","",CHAR(10))&amp;$A104,AY103)</f>
        <v>◐ 044 開院臨床安全驗證</v>
      </c>
      <c r="AZ104" s="0" t="str">
        <f aca="false">IF(AND($B104="D07",$C104="G6"),AZ103&amp;IF(AZ103="","",CHAR(10))&amp;$A104,AZ103)</f>
        <v/>
      </c>
      <c r="BA104" s="0" t="str">
        <f aca="false">IF(AND($B104="D08",$C104="G0"),BA103&amp;IF(BA103="","",CHAR(10))&amp;$A104,BA103)</f>
        <v/>
      </c>
      <c r="BB104" s="0" t="str">
        <f aca="false">IF(AND($B104="D08",$C104="G1"),BB103&amp;IF(BB103="","",CHAR(10))&amp;$A104,BB103)</f>
        <v/>
      </c>
      <c r="BC104" s="0" t="str">
        <f aca="false">IF(AND($B104="D08",$C104="G2"),BC103&amp;IF(BC103="","",CHAR(10))&amp;$A104,BC103)</f>
        <v>○ 045 人力與輪班模型</v>
      </c>
      <c r="BD104" s="0" t="str">
        <f aca="false">IF(AND($B104="D08",$C104="G3"),BD103&amp;IF(BD103="","",CHAR(10))&amp;$A104,BD103)</f>
        <v>◐ 046 職能矩陣與授權</v>
      </c>
      <c r="BE104" s="363" t="str">
        <f aca="false">IF(AND($B104="D08",$C104="G4"),BE103&amp;IF(BE103="","",CHAR(10))&amp;$A104,BE103)</f>
        <v>◐ 047 種子教師與技術移轉
◐ 049 變革管理與使用者採納</v>
      </c>
      <c r="BF104" s="0" t="str">
        <f aca="false">IF(AND($B104="D08",$C104="G5"),BF103&amp;IF(BF103="","",CHAR(10))&amp;$A104,BF103)</f>
        <v>◐ 048 模擬中心與開院演練</v>
      </c>
      <c r="BG104" s="0" t="str">
        <f aca="false">IF(AND($B104="D08",$C104="G6"),BG103&amp;IF(BG103="","",CHAR(10))&amp;$A104,BG103)</f>
        <v/>
      </c>
      <c r="BH104" s="0" t="str">
        <f aca="false">IF(AND($B104="D09",$C104="G0"),BH103&amp;IF(BH103="","",CHAR(10))&amp;$A104,BH103)</f>
        <v/>
      </c>
      <c r="BI104" s="0" t="str">
        <f aca="false">IF(AND($B104="D09",$C104="G1"),BI103&amp;IF(BI103="","",CHAR(10))&amp;$A104,BI103)</f>
        <v/>
      </c>
      <c r="BJ104" s="0" t="str">
        <f aca="false">IF(AND($B104="D09",$C104="G2"),BJ103&amp;IF(BJ103="","",CHAR(10))&amp;$A104,BJ103)</f>
        <v>◐ 050 整合採購與供應商治理</v>
      </c>
      <c r="BK104" s="0" t="str">
        <f aca="false">IF(AND($B104="D09",$C104="G3"),BK103&amp;IF(BK103="","",CHAR(10))&amp;$A104,BK103)</f>
        <v/>
      </c>
      <c r="BL104" s="363" t="str">
        <f aca="false">IF(AND($B104="D09",$C104="G4"),BL103&amp;IF(BL103="","",CHAR(10))&amp;$A104,BL103)</f>
        <v>◐ 051 藥品耗材與SPD物流
◐ 052 冷鏈與特殊物料
● 053 CMMS與設施維運</v>
      </c>
      <c r="BM104" s="0" t="str">
        <f aca="false">IF(AND($B104="D09",$C104="G5"),BM103&amp;IF(BM103="","",CHAR(10))&amp;$A104,BM103)</f>
        <v>◐ 054 在地備品、維修與汰換</v>
      </c>
      <c r="BN104" s="0" t="str">
        <f aca="false">IF(AND($B104="D09",$C104="G6"),BN103&amp;IF(BN103="","",CHAR(10))&amp;$A104,BN103)</f>
        <v/>
      </c>
      <c r="BO104" s="0" t="str">
        <f aca="false">IF(AND($B104="D10",$C104="G0"),BO103&amp;IF(BO103="","",CHAR(10))&amp;$A104,BO103)</f>
        <v/>
      </c>
      <c r="BP104" s="0" t="str">
        <f aca="false">IF(AND($B104="D10",$C104="G1"),BP103&amp;IF(BP103="","",CHAR(10))&amp;$A104,BP103)</f>
        <v>◐ 055 全生命週期成本模型</v>
      </c>
      <c r="BQ104" s="0" t="str">
        <f aca="false">IF(AND($B104="D10",$C104="G2"),BQ103&amp;IF(BQ103="","",CHAR(10))&amp;$A104,BQ103)</f>
        <v>◐ 059 PPP／JV財務與風險分配</v>
      </c>
      <c r="BR104" s="0" t="str">
        <f aca="false">IF(AND($B104="D10",$C104="G3"),BR103&amp;IF(BR103="","",CHAR(10))&amp;$A104,BR103)</f>
        <v/>
      </c>
      <c r="BS104" s="363" t="str">
        <f aca="false">IF(AND($B104="D10",$C104="G4"),BS103&amp;IF(BS103="","",CHAR(10))&amp;$A104,BS103)</f>
        <v>○ 056 健保申報與數位理賠
○ 057 現金流、支付與收入週期</v>
      </c>
      <c r="BT104" s="0" t="str">
        <f aca="false">IF(AND($B104="D10",$C104="G5"),BT103&amp;IF(BT103="","",CHAR(10))&amp;$A104,BT103)</f>
        <v>○ 058 國際醫療與高價值服務</v>
      </c>
      <c r="BU104" s="0" t="str">
        <f aca="false">IF(AND($B104="D10",$C104="G6"),BU103&amp;IF(BU103="","",CHAR(10))&amp;$A104,BU103)</f>
        <v>◐ 060 效益實現與複製藍圖</v>
      </c>
      <c r="BX104" s="0" t="str">
        <f aca="false">IF(AND(03_能力總表_Master!$A104&lt;&gt;"",LEFT(03_能力總表_Master!$H104,2)="缺口"),MAX($BX$4:BX103)+1,"")</f>
        <v/>
      </c>
      <c r="BY104" s="0" t="str">
        <f aca="false">IF(AND(03_能力總表_Master!$A104&lt;&gt;"",03_能力總表_Master!$J104=12_夥伴視角_PartnerView!$C$4),MAX($BY$4:BY103)+1,"")</f>
        <v/>
      </c>
      <c r="CC104" s="0" t="str">
        <f aca="false">IF(AND(03_能力總表_Master!$A104&lt;&gt;"",IFERROR(INDEX(16_能力商機矩陣_CapOppMap!$D104:$CO104,MATCH(LEFT(17_商機作戰卡_OppView!$C$4,6),16_能力商機矩陣_CapOppMap!$D$4:$CO$4,0)),"")="✓"),MAX($CC$4:CC103)+1,"")</f>
        <v/>
      </c>
    </row>
    <row r="105" customFormat="false" ht="95.5" hidden="false" customHeight="false" outlineLevel="0" collapsed="false">
      <c r="A105" s="0" t="str">
        <f aca="false">IF(03_能力總表_Master!$A105="","",IF(LEFT(03_能力總表_Master!$H105,2)="群晶","● ",IF(ISNUMBER(SEARCH("已確認",03_能力總表_Master!$H105)),"◆ ",IF(ISNUMBER(SEARCH("缺口",03_能力總表_Master!$H105)),"○ ","◐ ")))&amp;RIGHT(03_能力總表_Master!$A105,3)&amp;" "&amp;03_能力總表_Master!$E105)</f>
        <v/>
      </c>
      <c r="B105" s="0" t="str">
        <f aca="false">IF(03_能力總表_Master!$A105="","",LEFT(03_能力總表_Master!$B105,3))</f>
        <v/>
      </c>
      <c r="C105" s="0" t="str">
        <f aca="false">IF(03_能力總表_Master!$A105="","",03_能力總表_Master!$C105)</f>
        <v/>
      </c>
      <c r="D105" s="363" t="str">
        <f aca="false">IF(AND($B105="D01",$C105="G0"),D104&amp;IF(D104="","",CHAR(10))&amp;$A105,D104)</f>
        <v>◐ 001 政府授權與計畫章程
◐ 002 利害關係人與權力地圖
◐ 005 聯盟治理與利益衝突</v>
      </c>
      <c r="E105" s="363" t="str">
        <f aca="false">IF(AND($B105="D01",$C105="G1"),E104&amp;IF(E104="","",CHAR(10))&amp;$A105,E104)</f>
        <v>◐ 003 交易模式選擇
◐ 004 法規與執照路徑</v>
      </c>
      <c r="F105" s="0" t="str">
        <f aca="false">IF(AND($B105="D01",$C105="G2"),F104&amp;IF(F104="","",CHAR(10))&amp;$A105,F104)</f>
        <v>◐ 006 績效契約與變更控制</v>
      </c>
      <c r="G105" s="0" t="str">
        <f aca="false">IF(AND($B105="D01",$C105="G3"),G104&amp;IF(G104="","",CHAR(10))&amp;$A105,G104)</f>
        <v/>
      </c>
      <c r="H105" s="0" t="str">
        <f aca="false">IF(AND($B105="D01",$C105="G4"),H104&amp;IF(H104="","",CHAR(10))&amp;$A105,H104)</f>
        <v/>
      </c>
      <c r="I105" s="0" t="str">
        <f aca="false">IF(AND($B105="D01",$C105="G5"),I104&amp;IF(I104="","",CHAR(10))&amp;$A105,I104)</f>
        <v/>
      </c>
      <c r="J105" s="0" t="str">
        <f aca="false">IF(AND($B105="D01",$C105="G6"),J104&amp;IF(J104="","",CHAR(10))&amp;$A105,J104)</f>
        <v/>
      </c>
      <c r="K105" s="0" t="str">
        <f aca="false">IF(AND($B105="D02",$C105="G0"),K104&amp;IF(K104="","",CHAR(10))&amp;$A105,K104)</f>
        <v/>
      </c>
      <c r="L105" s="363" t="str">
        <f aca="false">IF(AND($B105="D02",$C105="G1"),L104&amp;IF(L104="","",CHAR(10))&amp;$A105,L104)</f>
        <v>◐ 007 人口需求與病例量預測
◐ 008 醫院定位與服務組合
◐ 009 重點專科優先化
◐ 010 病人流程與容量設計
◐ 011 轉診與區域照護網絡
◐ 012 臨床治理與責任架構</v>
      </c>
      <c r="M105" s="0" t="str">
        <f aca="false">IF(AND($B105="D02",$C105="G2"),M104&amp;IF(M104="","",CHAR(10))&amp;$A105,M104)</f>
        <v/>
      </c>
      <c r="N105" s="0" t="str">
        <f aca="false">IF(AND($B105="D02",$C105="G3"),N104&amp;IF(N104="","",CHAR(10))&amp;$A105,N104)</f>
        <v/>
      </c>
      <c r="O105" s="0" t="str">
        <f aca="false">IF(AND($B105="D02",$C105="G4"),O104&amp;IF(O104="","",CHAR(10))&amp;$A105,O104)</f>
        <v/>
      </c>
      <c r="P105" s="0" t="str">
        <f aca="false">IF(AND($B105="D02",$C105="G5"),P104&amp;IF(P104="","",CHAR(10))&amp;$A105,P104)</f>
        <v/>
      </c>
      <c r="Q105" s="0" t="str">
        <f aca="false">IF(AND($B105="D02",$C105="G6"),Q104&amp;IF(Q104="","",CHAR(10))&amp;$A105,Q104)</f>
        <v/>
      </c>
      <c r="R105" s="0" t="str">
        <f aca="false">IF(AND($B105="D03",$C105="G0"),R104&amp;IF(R104="","",CHAR(10))&amp;$A105,R104)</f>
        <v/>
      </c>
      <c r="S105" s="0" t="str">
        <f aca="false">IF(AND($B105="D03",$C105="G1"),S104&amp;IF(S104="","",CHAR(10))&amp;$A105,S104)</f>
        <v>◐ 013 場址與醫院總體規劃</v>
      </c>
      <c r="T105" s="363" t="str">
        <f aca="false">IF(AND($B105="D03",$C105="G2"),T104&amp;IF(T104="","",CHAR(10))&amp;$A105,T104)</f>
        <v>◐ 014 醫療建築功能計畫
◐ 015 感染控制與潔污動線
◐ 019 綠色與氣候韌性醫院</v>
      </c>
      <c r="U105" s="363" t="str">
        <f aca="false">IF(AND($B105="D03",$C105="G3"),U104&amp;IF(U104="","",CHAR(10))&amp;$A105,U104)</f>
        <v>● 016 電力、備援與微電網
◐ 017 醫療氣體與關鍵公用系統
◐ 018 醫療廢棄物與水資源</v>
      </c>
      <c r="V105" s="0" t="str">
        <f aca="false">IF(AND($B105="D03",$C105="G4"),V104&amp;IF(V104="","",CHAR(10))&amp;$A105,V104)</f>
        <v/>
      </c>
      <c r="W105" s="0" t="str">
        <f aca="false">IF(AND($B105="D03",$C105="G5"),W104&amp;IF(W104="","",CHAR(10))&amp;$A105,W104)</f>
        <v/>
      </c>
      <c r="X105" s="0" t="str">
        <f aca="false">IF(AND($B105="D03",$C105="G6"),X104&amp;IF(X104="","",CHAR(10))&amp;$A105,X104)</f>
        <v/>
      </c>
      <c r="Y105" s="0" t="str">
        <f aca="false">IF(AND($B105="D04",$C105="G0"),Y104&amp;IF(Y104="","",CHAR(10))&amp;$A105,Y104)</f>
        <v/>
      </c>
      <c r="Z105" s="0" t="str">
        <f aca="false">IF(AND($B105="D04",$C105="G1"),Z104&amp;IF(Z104="","",CHAR(10))&amp;$A105,Z104)</f>
        <v/>
      </c>
      <c r="AA105" s="0" t="str">
        <f aca="false">IF(AND($B105="D04",$C105="G2"),AA104&amp;IF(AA104="","",CHAR(10))&amp;$A105,AA104)</f>
        <v/>
      </c>
      <c r="AB105" s="0" t="str">
        <f aca="false">IF(AND($B105="D04",$C105="G3"),AB104&amp;IF(AB104="","",CHAR(10))&amp;$A105,AB104)</f>
        <v>● 020 IDC與邊緣運算底座</v>
      </c>
      <c r="AC105" s="363" t="str">
        <f aca="false">IF(AND($B105="D04",$C105="G4"),AC104&amp;IF(AC104="","",CHAR(10))&amp;$A105,AC104)</f>
        <v>● 021 有線無線網路與分區
◐ 022 資安營運與零信任
● 023 BMS與能源管理
● 024 RTLS與資產／人員定位
● 025 智慧病房、護理呼叫與感測
● 026 災難復原與營運持續</v>
      </c>
      <c r="AD105" s="0" t="str">
        <f aca="false">IF(AND($B105="D04",$C105="G5"),AD104&amp;IF(AD104="","",CHAR(10))&amp;$A105,AD104)</f>
        <v/>
      </c>
      <c r="AE105" s="0" t="str">
        <f aca="false">IF(AND($B105="D04",$C105="G6"),AE104&amp;IF(AE104="","",CHAR(10))&amp;$A105,AE104)</f>
        <v/>
      </c>
      <c r="AF105" s="0" t="str">
        <f aca="false">IF(AND($B105="D05",$C105="G0"),AF104&amp;IF(AF104="","",CHAR(10))&amp;$A105,AF104)</f>
        <v/>
      </c>
      <c r="AG105" s="0" t="str">
        <f aca="false">IF(AND($B105="D05",$C105="G1"),AG104&amp;IF(AG104="","",CHAR(10))&amp;$A105,AG104)</f>
        <v/>
      </c>
      <c r="AH105" s="0" t="str">
        <f aca="false">IF(AND($B105="D05",$C105="G2"),AH104&amp;IF(AH104="","",CHAR(10))&amp;$A105,AH104)</f>
        <v>◐ 027 醫材需求與設備計畫</v>
      </c>
      <c r="AI105" s="0" t="str">
        <f aca="false">IF(AND($B105="D05",$C105="G3"),AI104&amp;IF(AI104="","",CHAR(10))&amp;$A105,AI104)</f>
        <v/>
      </c>
      <c r="AJ105" s="363" t="str">
        <f aca="false">IF(AND($B105="D05",$C105="G4"),AJ104&amp;IF(AJ104="","",CHAR(10))&amp;$A105,AJ104)</f>
        <v>○ 028 影像設備、PACS與報告流程
○ 029 實驗室自動化與LIS
○ 030 手術室與重症整合
◐ 031 醫材介接與裝置身分
◐ 032 醫療工程與設備生命週期</v>
      </c>
      <c r="AK105" s="0" t="str">
        <f aca="false">IF(AND($B105="D05",$C105="G5"),AK104&amp;IF(AK104="","",CHAR(10))&amp;$A105,AK104)</f>
        <v/>
      </c>
      <c r="AL105" s="0" t="str">
        <f aca="false">IF(AND($B105="D05",$C105="G6"),AL104&amp;IF(AL104="","",CHAR(10))&amp;$A105,AL104)</f>
        <v/>
      </c>
      <c r="AM105" s="0" t="str">
        <f aca="false">IF(AND($B105="D06",$C105="G0"),AM104&amp;IF(AM104="","",CHAR(10))&amp;$A105,AM104)</f>
        <v/>
      </c>
      <c r="AN105" s="0" t="str">
        <f aca="false">IF(AND($B105="D06",$C105="G1"),AN104&amp;IF(AN104="","",CHAR(10))&amp;$A105,AN104)</f>
        <v/>
      </c>
      <c r="AO105" s="0" t="str">
        <f aca="false">IF(AND($B105="D06",$C105="G2"),AO104&amp;IF(AO104="","",CHAR(10))&amp;$A105,AO104)</f>
        <v/>
      </c>
      <c r="AP105" s="363" t="str">
        <f aca="false">IF(AND($B105="D06",$C105="G3"),AP104&amp;IF(AP104="","",CHAR(10))&amp;$A105,AP104)</f>
        <v>◐ 033 HIS／EMR核心平台
◐ 036 臨床術語與主資料治理</v>
      </c>
      <c r="AQ105" s="363" t="str">
        <f aca="false">IF(AND($B105="D06",$C105="G4"),AQ104&amp;IF(AQ104="","",CHAR(10))&amp;$A105,AQ104)</f>
        <v>◐ 034 FHIR介接與API管理
○ 035 主病人索引與身分整合
◐ 037 電子醫囑、用藥與決策支援
◐ 038 資料平台、BI與營運指揮</v>
      </c>
      <c r="AR105" s="0" t="str">
        <f aca="false">IF(AND($B105="D06",$C105="G5"),AR104&amp;IF(AR104="","",CHAR(10))&amp;$A105,AR104)</f>
        <v>○ 039 病人入口、行動服務與VNeID準備</v>
      </c>
      <c r="AS105" s="0" t="str">
        <f aca="false">IF(AND($B105="D06",$C105="G6"),AS104&amp;IF(AS104="","",CHAR(10))&amp;$A105,AS104)</f>
        <v/>
      </c>
      <c r="AT105" s="0" t="str">
        <f aca="false">IF(AND($B105="D07",$C105="G0"),AT104&amp;IF(AT104="","",CHAR(10))&amp;$A105,AT104)</f>
        <v/>
      </c>
      <c r="AU105" s="0" t="str">
        <f aca="false">IF(AND($B105="D07",$C105="G1"),AU104&amp;IF(AU104="","",CHAR(10))&amp;$A105,AU104)</f>
        <v/>
      </c>
      <c r="AV105" s="0" t="str">
        <f aca="false">IF(AND($B105="D07",$C105="G2"),AV104&amp;IF(AV104="","",CHAR(10))&amp;$A105,AV104)</f>
        <v>◐ 040 品質管理與JCI路線圖</v>
      </c>
      <c r="AW105" s="363" t="str">
        <f aca="false">IF(AND($B105="D07",$C105="G3"),AW104&amp;IF(AW104="","",CHAR(10))&amp;$A105,AW104)</f>
        <v>◐ 041 感染預防與控制制度
◐ 043 事件通報與根因改善</v>
      </c>
      <c r="AX105" s="0" t="str">
        <f aca="false">IF(AND($B105="D07",$C105="G4"),AX104&amp;IF(AX104="","",CHAR(10))&amp;$A105,AX104)</f>
        <v>◐ 042 用藥安全閉環</v>
      </c>
      <c r="AY105" s="0" t="str">
        <f aca="false">IF(AND($B105="D07",$C105="G5"),AY104&amp;IF(AY104="","",CHAR(10))&amp;$A105,AY104)</f>
        <v>◐ 044 開院臨床安全驗證</v>
      </c>
      <c r="AZ105" s="0" t="str">
        <f aca="false">IF(AND($B105="D07",$C105="G6"),AZ104&amp;IF(AZ104="","",CHAR(10))&amp;$A105,AZ104)</f>
        <v/>
      </c>
      <c r="BA105" s="0" t="str">
        <f aca="false">IF(AND($B105="D08",$C105="G0"),BA104&amp;IF(BA104="","",CHAR(10))&amp;$A105,BA104)</f>
        <v/>
      </c>
      <c r="BB105" s="0" t="str">
        <f aca="false">IF(AND($B105="D08",$C105="G1"),BB104&amp;IF(BB104="","",CHAR(10))&amp;$A105,BB104)</f>
        <v/>
      </c>
      <c r="BC105" s="0" t="str">
        <f aca="false">IF(AND($B105="D08",$C105="G2"),BC104&amp;IF(BC104="","",CHAR(10))&amp;$A105,BC104)</f>
        <v>○ 045 人力與輪班模型</v>
      </c>
      <c r="BD105" s="0" t="str">
        <f aca="false">IF(AND($B105="D08",$C105="G3"),BD104&amp;IF(BD104="","",CHAR(10))&amp;$A105,BD104)</f>
        <v>◐ 046 職能矩陣與授權</v>
      </c>
      <c r="BE105" s="363" t="str">
        <f aca="false">IF(AND($B105="D08",$C105="G4"),BE104&amp;IF(BE104="","",CHAR(10))&amp;$A105,BE104)</f>
        <v>◐ 047 種子教師與技術移轉
◐ 049 變革管理與使用者採納</v>
      </c>
      <c r="BF105" s="0" t="str">
        <f aca="false">IF(AND($B105="D08",$C105="G5"),BF104&amp;IF(BF104="","",CHAR(10))&amp;$A105,BF104)</f>
        <v>◐ 048 模擬中心與開院演練</v>
      </c>
      <c r="BG105" s="0" t="str">
        <f aca="false">IF(AND($B105="D08",$C105="G6"),BG104&amp;IF(BG104="","",CHAR(10))&amp;$A105,BG104)</f>
        <v/>
      </c>
      <c r="BH105" s="0" t="str">
        <f aca="false">IF(AND($B105="D09",$C105="G0"),BH104&amp;IF(BH104="","",CHAR(10))&amp;$A105,BH104)</f>
        <v/>
      </c>
      <c r="BI105" s="0" t="str">
        <f aca="false">IF(AND($B105="D09",$C105="G1"),BI104&amp;IF(BI104="","",CHAR(10))&amp;$A105,BI104)</f>
        <v/>
      </c>
      <c r="BJ105" s="0" t="str">
        <f aca="false">IF(AND($B105="D09",$C105="G2"),BJ104&amp;IF(BJ104="","",CHAR(10))&amp;$A105,BJ104)</f>
        <v>◐ 050 整合採購與供應商治理</v>
      </c>
      <c r="BK105" s="0" t="str">
        <f aca="false">IF(AND($B105="D09",$C105="G3"),BK104&amp;IF(BK104="","",CHAR(10))&amp;$A105,BK104)</f>
        <v/>
      </c>
      <c r="BL105" s="363" t="str">
        <f aca="false">IF(AND($B105="D09",$C105="G4"),BL104&amp;IF(BL104="","",CHAR(10))&amp;$A105,BL104)</f>
        <v>◐ 051 藥品耗材與SPD物流
◐ 052 冷鏈與特殊物料
● 053 CMMS與設施維運</v>
      </c>
      <c r="BM105" s="0" t="str">
        <f aca="false">IF(AND($B105="D09",$C105="G5"),BM104&amp;IF(BM104="","",CHAR(10))&amp;$A105,BM104)</f>
        <v>◐ 054 在地備品、維修與汰換</v>
      </c>
      <c r="BN105" s="0" t="str">
        <f aca="false">IF(AND($B105="D09",$C105="G6"),BN104&amp;IF(BN104="","",CHAR(10))&amp;$A105,BN104)</f>
        <v/>
      </c>
      <c r="BO105" s="0" t="str">
        <f aca="false">IF(AND($B105="D10",$C105="G0"),BO104&amp;IF(BO104="","",CHAR(10))&amp;$A105,BO104)</f>
        <v/>
      </c>
      <c r="BP105" s="0" t="str">
        <f aca="false">IF(AND($B105="D10",$C105="G1"),BP104&amp;IF(BP104="","",CHAR(10))&amp;$A105,BP104)</f>
        <v>◐ 055 全生命週期成本模型</v>
      </c>
      <c r="BQ105" s="0" t="str">
        <f aca="false">IF(AND($B105="D10",$C105="G2"),BQ104&amp;IF(BQ104="","",CHAR(10))&amp;$A105,BQ104)</f>
        <v>◐ 059 PPP／JV財務與風險分配</v>
      </c>
      <c r="BR105" s="0" t="str">
        <f aca="false">IF(AND($B105="D10",$C105="G3"),BR104&amp;IF(BR104="","",CHAR(10))&amp;$A105,BR104)</f>
        <v/>
      </c>
      <c r="BS105" s="363" t="str">
        <f aca="false">IF(AND($B105="D10",$C105="G4"),BS104&amp;IF(BS104="","",CHAR(10))&amp;$A105,BS104)</f>
        <v>○ 056 健保申報與數位理賠
○ 057 現金流、支付與收入週期</v>
      </c>
      <c r="BT105" s="0" t="str">
        <f aca="false">IF(AND($B105="D10",$C105="G5"),BT104&amp;IF(BT104="","",CHAR(10))&amp;$A105,BT104)</f>
        <v>○ 058 國際醫療與高價值服務</v>
      </c>
      <c r="BU105" s="0" t="str">
        <f aca="false">IF(AND($B105="D10",$C105="G6"),BU104&amp;IF(BU104="","",CHAR(10))&amp;$A105,BU104)</f>
        <v>◐ 060 效益實現與複製藍圖</v>
      </c>
      <c r="BX105" s="0" t="str">
        <f aca="false">IF(AND(03_能力總表_Master!$A105&lt;&gt;"",LEFT(03_能力總表_Master!$H105,2)="缺口"),MAX($BX$4:BX104)+1,"")</f>
        <v/>
      </c>
      <c r="BY105" s="0" t="str">
        <f aca="false">IF(AND(03_能力總表_Master!$A105&lt;&gt;"",03_能力總表_Master!$J105=12_夥伴視角_PartnerView!$C$4),MAX($BY$4:BY104)+1,"")</f>
        <v/>
      </c>
      <c r="CC105" s="0" t="str">
        <f aca="false">IF(AND(03_能力總表_Master!$A105&lt;&gt;"",IFERROR(INDEX(16_能力商機矩陣_CapOppMap!$D105:$CO105,MATCH(LEFT(17_商機作戰卡_OppView!$C$4,6),16_能力商機矩陣_CapOppMap!$D$4:$CO$4,0)),"")="✓"),MAX($CC$4:CC104)+1,"")</f>
        <v/>
      </c>
    </row>
    <row r="106" customFormat="false" ht="95.5" hidden="false" customHeight="false" outlineLevel="0" collapsed="false">
      <c r="A106" s="0" t="str">
        <f aca="false">IF(03_能力總表_Master!$A106="","",IF(LEFT(03_能力總表_Master!$H106,2)="群晶","● ",IF(ISNUMBER(SEARCH("已確認",03_能力總表_Master!$H106)),"◆ ",IF(ISNUMBER(SEARCH("缺口",03_能力總表_Master!$H106)),"○ ","◐ ")))&amp;RIGHT(03_能力總表_Master!$A106,3)&amp;" "&amp;03_能力總表_Master!$E106)</f>
        <v/>
      </c>
      <c r="B106" s="0" t="str">
        <f aca="false">IF(03_能力總表_Master!$A106="","",LEFT(03_能力總表_Master!$B106,3))</f>
        <v/>
      </c>
      <c r="C106" s="0" t="str">
        <f aca="false">IF(03_能力總表_Master!$A106="","",03_能力總表_Master!$C106)</f>
        <v/>
      </c>
      <c r="D106" s="363" t="str">
        <f aca="false">IF(AND($B106="D01",$C106="G0"),D105&amp;IF(D105="","",CHAR(10))&amp;$A106,D105)</f>
        <v>◐ 001 政府授權與計畫章程
◐ 002 利害關係人與權力地圖
◐ 005 聯盟治理與利益衝突</v>
      </c>
      <c r="E106" s="363" t="str">
        <f aca="false">IF(AND($B106="D01",$C106="G1"),E105&amp;IF(E105="","",CHAR(10))&amp;$A106,E105)</f>
        <v>◐ 003 交易模式選擇
◐ 004 法規與執照路徑</v>
      </c>
      <c r="F106" s="0" t="str">
        <f aca="false">IF(AND($B106="D01",$C106="G2"),F105&amp;IF(F105="","",CHAR(10))&amp;$A106,F105)</f>
        <v>◐ 006 績效契約與變更控制</v>
      </c>
      <c r="G106" s="0" t="str">
        <f aca="false">IF(AND($B106="D01",$C106="G3"),G105&amp;IF(G105="","",CHAR(10))&amp;$A106,G105)</f>
        <v/>
      </c>
      <c r="H106" s="0" t="str">
        <f aca="false">IF(AND($B106="D01",$C106="G4"),H105&amp;IF(H105="","",CHAR(10))&amp;$A106,H105)</f>
        <v/>
      </c>
      <c r="I106" s="0" t="str">
        <f aca="false">IF(AND($B106="D01",$C106="G5"),I105&amp;IF(I105="","",CHAR(10))&amp;$A106,I105)</f>
        <v/>
      </c>
      <c r="J106" s="0" t="str">
        <f aca="false">IF(AND($B106="D01",$C106="G6"),J105&amp;IF(J105="","",CHAR(10))&amp;$A106,J105)</f>
        <v/>
      </c>
      <c r="K106" s="0" t="str">
        <f aca="false">IF(AND($B106="D02",$C106="G0"),K105&amp;IF(K105="","",CHAR(10))&amp;$A106,K105)</f>
        <v/>
      </c>
      <c r="L106" s="363" t="str">
        <f aca="false">IF(AND($B106="D02",$C106="G1"),L105&amp;IF(L105="","",CHAR(10))&amp;$A106,L105)</f>
        <v>◐ 007 人口需求與病例量預測
◐ 008 醫院定位與服務組合
◐ 009 重點專科優先化
◐ 010 病人流程與容量設計
◐ 011 轉診與區域照護網絡
◐ 012 臨床治理與責任架構</v>
      </c>
      <c r="M106" s="0" t="str">
        <f aca="false">IF(AND($B106="D02",$C106="G2"),M105&amp;IF(M105="","",CHAR(10))&amp;$A106,M105)</f>
        <v/>
      </c>
      <c r="N106" s="0" t="str">
        <f aca="false">IF(AND($B106="D02",$C106="G3"),N105&amp;IF(N105="","",CHAR(10))&amp;$A106,N105)</f>
        <v/>
      </c>
      <c r="O106" s="0" t="str">
        <f aca="false">IF(AND($B106="D02",$C106="G4"),O105&amp;IF(O105="","",CHAR(10))&amp;$A106,O105)</f>
        <v/>
      </c>
      <c r="P106" s="0" t="str">
        <f aca="false">IF(AND($B106="D02",$C106="G5"),P105&amp;IF(P105="","",CHAR(10))&amp;$A106,P105)</f>
        <v/>
      </c>
      <c r="Q106" s="0" t="str">
        <f aca="false">IF(AND($B106="D02",$C106="G6"),Q105&amp;IF(Q105="","",CHAR(10))&amp;$A106,Q105)</f>
        <v/>
      </c>
      <c r="R106" s="0" t="str">
        <f aca="false">IF(AND($B106="D03",$C106="G0"),R105&amp;IF(R105="","",CHAR(10))&amp;$A106,R105)</f>
        <v/>
      </c>
      <c r="S106" s="0" t="str">
        <f aca="false">IF(AND($B106="D03",$C106="G1"),S105&amp;IF(S105="","",CHAR(10))&amp;$A106,S105)</f>
        <v>◐ 013 場址與醫院總體規劃</v>
      </c>
      <c r="T106" s="363" t="str">
        <f aca="false">IF(AND($B106="D03",$C106="G2"),T105&amp;IF(T105="","",CHAR(10))&amp;$A106,T105)</f>
        <v>◐ 014 醫療建築功能計畫
◐ 015 感染控制與潔污動線
◐ 019 綠色與氣候韌性醫院</v>
      </c>
      <c r="U106" s="363" t="str">
        <f aca="false">IF(AND($B106="D03",$C106="G3"),U105&amp;IF(U105="","",CHAR(10))&amp;$A106,U105)</f>
        <v>● 016 電力、備援與微電網
◐ 017 醫療氣體與關鍵公用系統
◐ 018 醫療廢棄物與水資源</v>
      </c>
      <c r="V106" s="0" t="str">
        <f aca="false">IF(AND($B106="D03",$C106="G4"),V105&amp;IF(V105="","",CHAR(10))&amp;$A106,V105)</f>
        <v/>
      </c>
      <c r="W106" s="0" t="str">
        <f aca="false">IF(AND($B106="D03",$C106="G5"),W105&amp;IF(W105="","",CHAR(10))&amp;$A106,W105)</f>
        <v/>
      </c>
      <c r="X106" s="0" t="str">
        <f aca="false">IF(AND($B106="D03",$C106="G6"),X105&amp;IF(X105="","",CHAR(10))&amp;$A106,X105)</f>
        <v/>
      </c>
      <c r="Y106" s="0" t="str">
        <f aca="false">IF(AND($B106="D04",$C106="G0"),Y105&amp;IF(Y105="","",CHAR(10))&amp;$A106,Y105)</f>
        <v/>
      </c>
      <c r="Z106" s="0" t="str">
        <f aca="false">IF(AND($B106="D04",$C106="G1"),Z105&amp;IF(Z105="","",CHAR(10))&amp;$A106,Z105)</f>
        <v/>
      </c>
      <c r="AA106" s="0" t="str">
        <f aca="false">IF(AND($B106="D04",$C106="G2"),AA105&amp;IF(AA105="","",CHAR(10))&amp;$A106,AA105)</f>
        <v/>
      </c>
      <c r="AB106" s="0" t="str">
        <f aca="false">IF(AND($B106="D04",$C106="G3"),AB105&amp;IF(AB105="","",CHAR(10))&amp;$A106,AB105)</f>
        <v>● 020 IDC與邊緣運算底座</v>
      </c>
      <c r="AC106" s="363" t="str">
        <f aca="false">IF(AND($B106="D04",$C106="G4"),AC105&amp;IF(AC105="","",CHAR(10))&amp;$A106,AC105)</f>
        <v>● 021 有線無線網路與分區
◐ 022 資安營運與零信任
● 023 BMS與能源管理
● 024 RTLS與資產／人員定位
● 025 智慧病房、護理呼叫與感測
● 026 災難復原與營運持續</v>
      </c>
      <c r="AD106" s="0" t="str">
        <f aca="false">IF(AND($B106="D04",$C106="G5"),AD105&amp;IF(AD105="","",CHAR(10))&amp;$A106,AD105)</f>
        <v/>
      </c>
      <c r="AE106" s="0" t="str">
        <f aca="false">IF(AND($B106="D04",$C106="G6"),AE105&amp;IF(AE105="","",CHAR(10))&amp;$A106,AE105)</f>
        <v/>
      </c>
      <c r="AF106" s="0" t="str">
        <f aca="false">IF(AND($B106="D05",$C106="G0"),AF105&amp;IF(AF105="","",CHAR(10))&amp;$A106,AF105)</f>
        <v/>
      </c>
      <c r="AG106" s="0" t="str">
        <f aca="false">IF(AND($B106="D05",$C106="G1"),AG105&amp;IF(AG105="","",CHAR(10))&amp;$A106,AG105)</f>
        <v/>
      </c>
      <c r="AH106" s="0" t="str">
        <f aca="false">IF(AND($B106="D05",$C106="G2"),AH105&amp;IF(AH105="","",CHAR(10))&amp;$A106,AH105)</f>
        <v>◐ 027 醫材需求與設備計畫</v>
      </c>
      <c r="AI106" s="0" t="str">
        <f aca="false">IF(AND($B106="D05",$C106="G3"),AI105&amp;IF(AI105="","",CHAR(10))&amp;$A106,AI105)</f>
        <v/>
      </c>
      <c r="AJ106" s="363" t="str">
        <f aca="false">IF(AND($B106="D05",$C106="G4"),AJ105&amp;IF(AJ105="","",CHAR(10))&amp;$A106,AJ105)</f>
        <v>○ 028 影像設備、PACS與報告流程
○ 029 實驗室自動化與LIS
○ 030 手術室與重症整合
◐ 031 醫材介接與裝置身分
◐ 032 醫療工程與設備生命週期</v>
      </c>
      <c r="AK106" s="0" t="str">
        <f aca="false">IF(AND($B106="D05",$C106="G5"),AK105&amp;IF(AK105="","",CHAR(10))&amp;$A106,AK105)</f>
        <v/>
      </c>
      <c r="AL106" s="0" t="str">
        <f aca="false">IF(AND($B106="D05",$C106="G6"),AL105&amp;IF(AL105="","",CHAR(10))&amp;$A106,AL105)</f>
        <v/>
      </c>
      <c r="AM106" s="0" t="str">
        <f aca="false">IF(AND($B106="D06",$C106="G0"),AM105&amp;IF(AM105="","",CHAR(10))&amp;$A106,AM105)</f>
        <v/>
      </c>
      <c r="AN106" s="0" t="str">
        <f aca="false">IF(AND($B106="D06",$C106="G1"),AN105&amp;IF(AN105="","",CHAR(10))&amp;$A106,AN105)</f>
        <v/>
      </c>
      <c r="AO106" s="0" t="str">
        <f aca="false">IF(AND($B106="D06",$C106="G2"),AO105&amp;IF(AO105="","",CHAR(10))&amp;$A106,AO105)</f>
        <v/>
      </c>
      <c r="AP106" s="363" t="str">
        <f aca="false">IF(AND($B106="D06",$C106="G3"),AP105&amp;IF(AP105="","",CHAR(10))&amp;$A106,AP105)</f>
        <v>◐ 033 HIS／EMR核心平台
◐ 036 臨床術語與主資料治理</v>
      </c>
      <c r="AQ106" s="363" t="str">
        <f aca="false">IF(AND($B106="D06",$C106="G4"),AQ105&amp;IF(AQ105="","",CHAR(10))&amp;$A106,AQ105)</f>
        <v>◐ 034 FHIR介接與API管理
○ 035 主病人索引與身分整合
◐ 037 電子醫囑、用藥與決策支援
◐ 038 資料平台、BI與營運指揮</v>
      </c>
      <c r="AR106" s="0" t="str">
        <f aca="false">IF(AND($B106="D06",$C106="G5"),AR105&amp;IF(AR105="","",CHAR(10))&amp;$A106,AR105)</f>
        <v>○ 039 病人入口、行動服務與VNeID準備</v>
      </c>
      <c r="AS106" s="0" t="str">
        <f aca="false">IF(AND($B106="D06",$C106="G6"),AS105&amp;IF(AS105="","",CHAR(10))&amp;$A106,AS105)</f>
        <v/>
      </c>
      <c r="AT106" s="0" t="str">
        <f aca="false">IF(AND($B106="D07",$C106="G0"),AT105&amp;IF(AT105="","",CHAR(10))&amp;$A106,AT105)</f>
        <v/>
      </c>
      <c r="AU106" s="0" t="str">
        <f aca="false">IF(AND($B106="D07",$C106="G1"),AU105&amp;IF(AU105="","",CHAR(10))&amp;$A106,AU105)</f>
        <v/>
      </c>
      <c r="AV106" s="0" t="str">
        <f aca="false">IF(AND($B106="D07",$C106="G2"),AV105&amp;IF(AV105="","",CHAR(10))&amp;$A106,AV105)</f>
        <v>◐ 040 品質管理與JCI路線圖</v>
      </c>
      <c r="AW106" s="363" t="str">
        <f aca="false">IF(AND($B106="D07",$C106="G3"),AW105&amp;IF(AW105="","",CHAR(10))&amp;$A106,AW105)</f>
        <v>◐ 041 感染預防與控制制度
◐ 043 事件通報與根因改善</v>
      </c>
      <c r="AX106" s="0" t="str">
        <f aca="false">IF(AND($B106="D07",$C106="G4"),AX105&amp;IF(AX105="","",CHAR(10))&amp;$A106,AX105)</f>
        <v>◐ 042 用藥安全閉環</v>
      </c>
      <c r="AY106" s="0" t="str">
        <f aca="false">IF(AND($B106="D07",$C106="G5"),AY105&amp;IF(AY105="","",CHAR(10))&amp;$A106,AY105)</f>
        <v>◐ 044 開院臨床安全驗證</v>
      </c>
      <c r="AZ106" s="0" t="str">
        <f aca="false">IF(AND($B106="D07",$C106="G6"),AZ105&amp;IF(AZ105="","",CHAR(10))&amp;$A106,AZ105)</f>
        <v/>
      </c>
      <c r="BA106" s="0" t="str">
        <f aca="false">IF(AND($B106="D08",$C106="G0"),BA105&amp;IF(BA105="","",CHAR(10))&amp;$A106,BA105)</f>
        <v/>
      </c>
      <c r="BB106" s="0" t="str">
        <f aca="false">IF(AND($B106="D08",$C106="G1"),BB105&amp;IF(BB105="","",CHAR(10))&amp;$A106,BB105)</f>
        <v/>
      </c>
      <c r="BC106" s="0" t="str">
        <f aca="false">IF(AND($B106="D08",$C106="G2"),BC105&amp;IF(BC105="","",CHAR(10))&amp;$A106,BC105)</f>
        <v>○ 045 人力與輪班模型</v>
      </c>
      <c r="BD106" s="0" t="str">
        <f aca="false">IF(AND($B106="D08",$C106="G3"),BD105&amp;IF(BD105="","",CHAR(10))&amp;$A106,BD105)</f>
        <v>◐ 046 職能矩陣與授權</v>
      </c>
      <c r="BE106" s="363" t="str">
        <f aca="false">IF(AND($B106="D08",$C106="G4"),BE105&amp;IF(BE105="","",CHAR(10))&amp;$A106,BE105)</f>
        <v>◐ 047 種子教師與技術移轉
◐ 049 變革管理與使用者採納</v>
      </c>
      <c r="BF106" s="0" t="str">
        <f aca="false">IF(AND($B106="D08",$C106="G5"),BF105&amp;IF(BF105="","",CHAR(10))&amp;$A106,BF105)</f>
        <v>◐ 048 模擬中心與開院演練</v>
      </c>
      <c r="BG106" s="0" t="str">
        <f aca="false">IF(AND($B106="D08",$C106="G6"),BG105&amp;IF(BG105="","",CHAR(10))&amp;$A106,BG105)</f>
        <v/>
      </c>
      <c r="BH106" s="0" t="str">
        <f aca="false">IF(AND($B106="D09",$C106="G0"),BH105&amp;IF(BH105="","",CHAR(10))&amp;$A106,BH105)</f>
        <v/>
      </c>
      <c r="BI106" s="0" t="str">
        <f aca="false">IF(AND($B106="D09",$C106="G1"),BI105&amp;IF(BI105="","",CHAR(10))&amp;$A106,BI105)</f>
        <v/>
      </c>
      <c r="BJ106" s="0" t="str">
        <f aca="false">IF(AND($B106="D09",$C106="G2"),BJ105&amp;IF(BJ105="","",CHAR(10))&amp;$A106,BJ105)</f>
        <v>◐ 050 整合採購與供應商治理</v>
      </c>
      <c r="BK106" s="0" t="str">
        <f aca="false">IF(AND($B106="D09",$C106="G3"),BK105&amp;IF(BK105="","",CHAR(10))&amp;$A106,BK105)</f>
        <v/>
      </c>
      <c r="BL106" s="363" t="str">
        <f aca="false">IF(AND($B106="D09",$C106="G4"),BL105&amp;IF(BL105="","",CHAR(10))&amp;$A106,BL105)</f>
        <v>◐ 051 藥品耗材與SPD物流
◐ 052 冷鏈與特殊物料
● 053 CMMS與設施維運</v>
      </c>
      <c r="BM106" s="0" t="str">
        <f aca="false">IF(AND($B106="D09",$C106="G5"),BM105&amp;IF(BM105="","",CHAR(10))&amp;$A106,BM105)</f>
        <v>◐ 054 在地備品、維修與汰換</v>
      </c>
      <c r="BN106" s="0" t="str">
        <f aca="false">IF(AND($B106="D09",$C106="G6"),BN105&amp;IF(BN105="","",CHAR(10))&amp;$A106,BN105)</f>
        <v/>
      </c>
      <c r="BO106" s="0" t="str">
        <f aca="false">IF(AND($B106="D10",$C106="G0"),BO105&amp;IF(BO105="","",CHAR(10))&amp;$A106,BO105)</f>
        <v/>
      </c>
      <c r="BP106" s="0" t="str">
        <f aca="false">IF(AND($B106="D10",$C106="G1"),BP105&amp;IF(BP105="","",CHAR(10))&amp;$A106,BP105)</f>
        <v>◐ 055 全生命週期成本模型</v>
      </c>
      <c r="BQ106" s="0" t="str">
        <f aca="false">IF(AND($B106="D10",$C106="G2"),BQ105&amp;IF(BQ105="","",CHAR(10))&amp;$A106,BQ105)</f>
        <v>◐ 059 PPP／JV財務與風險分配</v>
      </c>
      <c r="BR106" s="0" t="str">
        <f aca="false">IF(AND($B106="D10",$C106="G3"),BR105&amp;IF(BR105="","",CHAR(10))&amp;$A106,BR105)</f>
        <v/>
      </c>
      <c r="BS106" s="363" t="str">
        <f aca="false">IF(AND($B106="D10",$C106="G4"),BS105&amp;IF(BS105="","",CHAR(10))&amp;$A106,BS105)</f>
        <v>○ 056 健保申報與數位理賠
○ 057 現金流、支付與收入週期</v>
      </c>
      <c r="BT106" s="0" t="str">
        <f aca="false">IF(AND($B106="D10",$C106="G5"),BT105&amp;IF(BT105="","",CHAR(10))&amp;$A106,BT105)</f>
        <v>○ 058 國際醫療與高價值服務</v>
      </c>
      <c r="BU106" s="0" t="str">
        <f aca="false">IF(AND($B106="D10",$C106="G6"),BU105&amp;IF(BU105="","",CHAR(10))&amp;$A106,BU105)</f>
        <v>◐ 060 效益實現與複製藍圖</v>
      </c>
      <c r="BX106" s="0" t="str">
        <f aca="false">IF(AND(03_能力總表_Master!$A106&lt;&gt;"",LEFT(03_能力總表_Master!$H106,2)="缺口"),MAX($BX$4:BX105)+1,"")</f>
        <v/>
      </c>
      <c r="BY106" s="0" t="str">
        <f aca="false">IF(AND(03_能力總表_Master!$A106&lt;&gt;"",03_能力總表_Master!$J106=12_夥伴視角_PartnerView!$C$4),MAX($BY$4:BY105)+1,"")</f>
        <v/>
      </c>
      <c r="CC106" s="0" t="str">
        <f aca="false">IF(AND(03_能力總表_Master!$A106&lt;&gt;"",IFERROR(INDEX(16_能力商機矩陣_CapOppMap!$D106:$CO106,MATCH(LEFT(17_商機作戰卡_OppView!$C$4,6),16_能力商機矩陣_CapOppMap!$D$4:$CO$4,0)),"")="✓"),MAX($CC$4:CC105)+1,"")</f>
        <v/>
      </c>
    </row>
    <row r="107" customFormat="false" ht="95.5" hidden="false" customHeight="false" outlineLevel="0" collapsed="false">
      <c r="A107" s="0" t="str">
        <f aca="false">IF(03_能力總表_Master!$A107="","",IF(LEFT(03_能力總表_Master!$H107,2)="群晶","● ",IF(ISNUMBER(SEARCH("已確認",03_能力總表_Master!$H107)),"◆ ",IF(ISNUMBER(SEARCH("缺口",03_能力總表_Master!$H107)),"○ ","◐ ")))&amp;RIGHT(03_能力總表_Master!$A107,3)&amp;" "&amp;03_能力總表_Master!$E107)</f>
        <v/>
      </c>
      <c r="B107" s="0" t="str">
        <f aca="false">IF(03_能力總表_Master!$A107="","",LEFT(03_能力總表_Master!$B107,3))</f>
        <v/>
      </c>
      <c r="C107" s="0" t="str">
        <f aca="false">IF(03_能力總表_Master!$A107="","",03_能力總表_Master!$C107)</f>
        <v/>
      </c>
      <c r="D107" s="363" t="str">
        <f aca="false">IF(AND($B107="D01",$C107="G0"),D106&amp;IF(D106="","",CHAR(10))&amp;$A107,D106)</f>
        <v>◐ 001 政府授權與計畫章程
◐ 002 利害關係人與權力地圖
◐ 005 聯盟治理與利益衝突</v>
      </c>
      <c r="E107" s="363" t="str">
        <f aca="false">IF(AND($B107="D01",$C107="G1"),E106&amp;IF(E106="","",CHAR(10))&amp;$A107,E106)</f>
        <v>◐ 003 交易模式選擇
◐ 004 法規與執照路徑</v>
      </c>
      <c r="F107" s="0" t="str">
        <f aca="false">IF(AND($B107="D01",$C107="G2"),F106&amp;IF(F106="","",CHAR(10))&amp;$A107,F106)</f>
        <v>◐ 006 績效契約與變更控制</v>
      </c>
      <c r="G107" s="0" t="str">
        <f aca="false">IF(AND($B107="D01",$C107="G3"),G106&amp;IF(G106="","",CHAR(10))&amp;$A107,G106)</f>
        <v/>
      </c>
      <c r="H107" s="0" t="str">
        <f aca="false">IF(AND($B107="D01",$C107="G4"),H106&amp;IF(H106="","",CHAR(10))&amp;$A107,H106)</f>
        <v/>
      </c>
      <c r="I107" s="0" t="str">
        <f aca="false">IF(AND($B107="D01",$C107="G5"),I106&amp;IF(I106="","",CHAR(10))&amp;$A107,I106)</f>
        <v/>
      </c>
      <c r="J107" s="0" t="str">
        <f aca="false">IF(AND($B107="D01",$C107="G6"),J106&amp;IF(J106="","",CHAR(10))&amp;$A107,J106)</f>
        <v/>
      </c>
      <c r="K107" s="0" t="str">
        <f aca="false">IF(AND($B107="D02",$C107="G0"),K106&amp;IF(K106="","",CHAR(10))&amp;$A107,K106)</f>
        <v/>
      </c>
      <c r="L107" s="363" t="str">
        <f aca="false">IF(AND($B107="D02",$C107="G1"),L106&amp;IF(L106="","",CHAR(10))&amp;$A107,L106)</f>
        <v>◐ 007 人口需求與病例量預測
◐ 008 醫院定位與服務組合
◐ 009 重點專科優先化
◐ 010 病人流程與容量設計
◐ 011 轉診與區域照護網絡
◐ 012 臨床治理與責任架構</v>
      </c>
      <c r="M107" s="0" t="str">
        <f aca="false">IF(AND($B107="D02",$C107="G2"),M106&amp;IF(M106="","",CHAR(10))&amp;$A107,M106)</f>
        <v/>
      </c>
      <c r="N107" s="0" t="str">
        <f aca="false">IF(AND($B107="D02",$C107="G3"),N106&amp;IF(N106="","",CHAR(10))&amp;$A107,N106)</f>
        <v/>
      </c>
      <c r="O107" s="0" t="str">
        <f aca="false">IF(AND($B107="D02",$C107="G4"),O106&amp;IF(O106="","",CHAR(10))&amp;$A107,O106)</f>
        <v/>
      </c>
      <c r="P107" s="0" t="str">
        <f aca="false">IF(AND($B107="D02",$C107="G5"),P106&amp;IF(P106="","",CHAR(10))&amp;$A107,P106)</f>
        <v/>
      </c>
      <c r="Q107" s="0" t="str">
        <f aca="false">IF(AND($B107="D02",$C107="G6"),Q106&amp;IF(Q106="","",CHAR(10))&amp;$A107,Q106)</f>
        <v/>
      </c>
      <c r="R107" s="0" t="str">
        <f aca="false">IF(AND($B107="D03",$C107="G0"),R106&amp;IF(R106="","",CHAR(10))&amp;$A107,R106)</f>
        <v/>
      </c>
      <c r="S107" s="0" t="str">
        <f aca="false">IF(AND($B107="D03",$C107="G1"),S106&amp;IF(S106="","",CHAR(10))&amp;$A107,S106)</f>
        <v>◐ 013 場址與醫院總體規劃</v>
      </c>
      <c r="T107" s="363" t="str">
        <f aca="false">IF(AND($B107="D03",$C107="G2"),T106&amp;IF(T106="","",CHAR(10))&amp;$A107,T106)</f>
        <v>◐ 014 醫療建築功能計畫
◐ 015 感染控制與潔污動線
◐ 019 綠色與氣候韌性醫院</v>
      </c>
      <c r="U107" s="363" t="str">
        <f aca="false">IF(AND($B107="D03",$C107="G3"),U106&amp;IF(U106="","",CHAR(10))&amp;$A107,U106)</f>
        <v>● 016 電力、備援與微電網
◐ 017 醫療氣體與關鍵公用系統
◐ 018 醫療廢棄物與水資源</v>
      </c>
      <c r="V107" s="0" t="str">
        <f aca="false">IF(AND($B107="D03",$C107="G4"),V106&amp;IF(V106="","",CHAR(10))&amp;$A107,V106)</f>
        <v/>
      </c>
      <c r="W107" s="0" t="str">
        <f aca="false">IF(AND($B107="D03",$C107="G5"),W106&amp;IF(W106="","",CHAR(10))&amp;$A107,W106)</f>
        <v/>
      </c>
      <c r="X107" s="0" t="str">
        <f aca="false">IF(AND($B107="D03",$C107="G6"),X106&amp;IF(X106="","",CHAR(10))&amp;$A107,X106)</f>
        <v/>
      </c>
      <c r="Y107" s="0" t="str">
        <f aca="false">IF(AND($B107="D04",$C107="G0"),Y106&amp;IF(Y106="","",CHAR(10))&amp;$A107,Y106)</f>
        <v/>
      </c>
      <c r="Z107" s="0" t="str">
        <f aca="false">IF(AND($B107="D04",$C107="G1"),Z106&amp;IF(Z106="","",CHAR(10))&amp;$A107,Z106)</f>
        <v/>
      </c>
      <c r="AA107" s="0" t="str">
        <f aca="false">IF(AND($B107="D04",$C107="G2"),AA106&amp;IF(AA106="","",CHAR(10))&amp;$A107,AA106)</f>
        <v/>
      </c>
      <c r="AB107" s="0" t="str">
        <f aca="false">IF(AND($B107="D04",$C107="G3"),AB106&amp;IF(AB106="","",CHAR(10))&amp;$A107,AB106)</f>
        <v>● 020 IDC與邊緣運算底座</v>
      </c>
      <c r="AC107" s="363" t="str">
        <f aca="false">IF(AND($B107="D04",$C107="G4"),AC106&amp;IF(AC106="","",CHAR(10))&amp;$A107,AC106)</f>
        <v>● 021 有線無線網路與分區
◐ 022 資安營運與零信任
● 023 BMS與能源管理
● 024 RTLS與資產／人員定位
● 025 智慧病房、護理呼叫與感測
● 026 災難復原與營運持續</v>
      </c>
      <c r="AD107" s="0" t="str">
        <f aca="false">IF(AND($B107="D04",$C107="G5"),AD106&amp;IF(AD106="","",CHAR(10))&amp;$A107,AD106)</f>
        <v/>
      </c>
      <c r="AE107" s="0" t="str">
        <f aca="false">IF(AND($B107="D04",$C107="G6"),AE106&amp;IF(AE106="","",CHAR(10))&amp;$A107,AE106)</f>
        <v/>
      </c>
      <c r="AF107" s="0" t="str">
        <f aca="false">IF(AND($B107="D05",$C107="G0"),AF106&amp;IF(AF106="","",CHAR(10))&amp;$A107,AF106)</f>
        <v/>
      </c>
      <c r="AG107" s="0" t="str">
        <f aca="false">IF(AND($B107="D05",$C107="G1"),AG106&amp;IF(AG106="","",CHAR(10))&amp;$A107,AG106)</f>
        <v/>
      </c>
      <c r="AH107" s="0" t="str">
        <f aca="false">IF(AND($B107="D05",$C107="G2"),AH106&amp;IF(AH106="","",CHAR(10))&amp;$A107,AH106)</f>
        <v>◐ 027 醫材需求與設備計畫</v>
      </c>
      <c r="AI107" s="0" t="str">
        <f aca="false">IF(AND($B107="D05",$C107="G3"),AI106&amp;IF(AI106="","",CHAR(10))&amp;$A107,AI106)</f>
        <v/>
      </c>
      <c r="AJ107" s="363" t="str">
        <f aca="false">IF(AND($B107="D05",$C107="G4"),AJ106&amp;IF(AJ106="","",CHAR(10))&amp;$A107,AJ106)</f>
        <v>○ 028 影像設備、PACS與報告流程
○ 029 實驗室自動化與LIS
○ 030 手術室與重症整合
◐ 031 醫材介接與裝置身分
◐ 032 醫療工程與設備生命週期</v>
      </c>
      <c r="AK107" s="0" t="str">
        <f aca="false">IF(AND($B107="D05",$C107="G5"),AK106&amp;IF(AK106="","",CHAR(10))&amp;$A107,AK106)</f>
        <v/>
      </c>
      <c r="AL107" s="0" t="str">
        <f aca="false">IF(AND($B107="D05",$C107="G6"),AL106&amp;IF(AL106="","",CHAR(10))&amp;$A107,AL106)</f>
        <v/>
      </c>
      <c r="AM107" s="0" t="str">
        <f aca="false">IF(AND($B107="D06",$C107="G0"),AM106&amp;IF(AM106="","",CHAR(10))&amp;$A107,AM106)</f>
        <v/>
      </c>
      <c r="AN107" s="0" t="str">
        <f aca="false">IF(AND($B107="D06",$C107="G1"),AN106&amp;IF(AN106="","",CHAR(10))&amp;$A107,AN106)</f>
        <v/>
      </c>
      <c r="AO107" s="0" t="str">
        <f aca="false">IF(AND($B107="D06",$C107="G2"),AO106&amp;IF(AO106="","",CHAR(10))&amp;$A107,AO106)</f>
        <v/>
      </c>
      <c r="AP107" s="363" t="str">
        <f aca="false">IF(AND($B107="D06",$C107="G3"),AP106&amp;IF(AP106="","",CHAR(10))&amp;$A107,AP106)</f>
        <v>◐ 033 HIS／EMR核心平台
◐ 036 臨床術語與主資料治理</v>
      </c>
      <c r="AQ107" s="363" t="str">
        <f aca="false">IF(AND($B107="D06",$C107="G4"),AQ106&amp;IF(AQ106="","",CHAR(10))&amp;$A107,AQ106)</f>
        <v>◐ 034 FHIR介接與API管理
○ 035 主病人索引與身分整合
◐ 037 電子醫囑、用藥與決策支援
◐ 038 資料平台、BI與營運指揮</v>
      </c>
      <c r="AR107" s="0" t="str">
        <f aca="false">IF(AND($B107="D06",$C107="G5"),AR106&amp;IF(AR106="","",CHAR(10))&amp;$A107,AR106)</f>
        <v>○ 039 病人入口、行動服務與VNeID準備</v>
      </c>
      <c r="AS107" s="0" t="str">
        <f aca="false">IF(AND($B107="D06",$C107="G6"),AS106&amp;IF(AS106="","",CHAR(10))&amp;$A107,AS106)</f>
        <v/>
      </c>
      <c r="AT107" s="0" t="str">
        <f aca="false">IF(AND($B107="D07",$C107="G0"),AT106&amp;IF(AT106="","",CHAR(10))&amp;$A107,AT106)</f>
        <v/>
      </c>
      <c r="AU107" s="0" t="str">
        <f aca="false">IF(AND($B107="D07",$C107="G1"),AU106&amp;IF(AU106="","",CHAR(10))&amp;$A107,AU106)</f>
        <v/>
      </c>
      <c r="AV107" s="0" t="str">
        <f aca="false">IF(AND($B107="D07",$C107="G2"),AV106&amp;IF(AV106="","",CHAR(10))&amp;$A107,AV106)</f>
        <v>◐ 040 品質管理與JCI路線圖</v>
      </c>
      <c r="AW107" s="363" t="str">
        <f aca="false">IF(AND($B107="D07",$C107="G3"),AW106&amp;IF(AW106="","",CHAR(10))&amp;$A107,AW106)</f>
        <v>◐ 041 感染預防與控制制度
◐ 043 事件通報與根因改善</v>
      </c>
      <c r="AX107" s="0" t="str">
        <f aca="false">IF(AND($B107="D07",$C107="G4"),AX106&amp;IF(AX106="","",CHAR(10))&amp;$A107,AX106)</f>
        <v>◐ 042 用藥安全閉環</v>
      </c>
      <c r="AY107" s="0" t="str">
        <f aca="false">IF(AND($B107="D07",$C107="G5"),AY106&amp;IF(AY106="","",CHAR(10))&amp;$A107,AY106)</f>
        <v>◐ 044 開院臨床安全驗證</v>
      </c>
      <c r="AZ107" s="0" t="str">
        <f aca="false">IF(AND($B107="D07",$C107="G6"),AZ106&amp;IF(AZ106="","",CHAR(10))&amp;$A107,AZ106)</f>
        <v/>
      </c>
      <c r="BA107" s="0" t="str">
        <f aca="false">IF(AND($B107="D08",$C107="G0"),BA106&amp;IF(BA106="","",CHAR(10))&amp;$A107,BA106)</f>
        <v/>
      </c>
      <c r="BB107" s="0" t="str">
        <f aca="false">IF(AND($B107="D08",$C107="G1"),BB106&amp;IF(BB106="","",CHAR(10))&amp;$A107,BB106)</f>
        <v/>
      </c>
      <c r="BC107" s="0" t="str">
        <f aca="false">IF(AND($B107="D08",$C107="G2"),BC106&amp;IF(BC106="","",CHAR(10))&amp;$A107,BC106)</f>
        <v>○ 045 人力與輪班模型</v>
      </c>
      <c r="BD107" s="0" t="str">
        <f aca="false">IF(AND($B107="D08",$C107="G3"),BD106&amp;IF(BD106="","",CHAR(10))&amp;$A107,BD106)</f>
        <v>◐ 046 職能矩陣與授權</v>
      </c>
      <c r="BE107" s="363" t="str">
        <f aca="false">IF(AND($B107="D08",$C107="G4"),BE106&amp;IF(BE106="","",CHAR(10))&amp;$A107,BE106)</f>
        <v>◐ 047 種子教師與技術移轉
◐ 049 變革管理與使用者採納</v>
      </c>
      <c r="BF107" s="0" t="str">
        <f aca="false">IF(AND($B107="D08",$C107="G5"),BF106&amp;IF(BF106="","",CHAR(10))&amp;$A107,BF106)</f>
        <v>◐ 048 模擬中心與開院演練</v>
      </c>
      <c r="BG107" s="0" t="str">
        <f aca="false">IF(AND($B107="D08",$C107="G6"),BG106&amp;IF(BG106="","",CHAR(10))&amp;$A107,BG106)</f>
        <v/>
      </c>
      <c r="BH107" s="0" t="str">
        <f aca="false">IF(AND($B107="D09",$C107="G0"),BH106&amp;IF(BH106="","",CHAR(10))&amp;$A107,BH106)</f>
        <v/>
      </c>
      <c r="BI107" s="0" t="str">
        <f aca="false">IF(AND($B107="D09",$C107="G1"),BI106&amp;IF(BI106="","",CHAR(10))&amp;$A107,BI106)</f>
        <v/>
      </c>
      <c r="BJ107" s="0" t="str">
        <f aca="false">IF(AND($B107="D09",$C107="G2"),BJ106&amp;IF(BJ106="","",CHAR(10))&amp;$A107,BJ106)</f>
        <v>◐ 050 整合採購與供應商治理</v>
      </c>
      <c r="BK107" s="0" t="str">
        <f aca="false">IF(AND($B107="D09",$C107="G3"),BK106&amp;IF(BK106="","",CHAR(10))&amp;$A107,BK106)</f>
        <v/>
      </c>
      <c r="BL107" s="363" t="str">
        <f aca="false">IF(AND($B107="D09",$C107="G4"),BL106&amp;IF(BL106="","",CHAR(10))&amp;$A107,BL106)</f>
        <v>◐ 051 藥品耗材與SPD物流
◐ 052 冷鏈與特殊物料
● 053 CMMS與設施維運</v>
      </c>
      <c r="BM107" s="0" t="str">
        <f aca="false">IF(AND($B107="D09",$C107="G5"),BM106&amp;IF(BM106="","",CHAR(10))&amp;$A107,BM106)</f>
        <v>◐ 054 在地備品、維修與汰換</v>
      </c>
      <c r="BN107" s="0" t="str">
        <f aca="false">IF(AND($B107="D09",$C107="G6"),BN106&amp;IF(BN106="","",CHAR(10))&amp;$A107,BN106)</f>
        <v/>
      </c>
      <c r="BO107" s="0" t="str">
        <f aca="false">IF(AND($B107="D10",$C107="G0"),BO106&amp;IF(BO106="","",CHAR(10))&amp;$A107,BO106)</f>
        <v/>
      </c>
      <c r="BP107" s="0" t="str">
        <f aca="false">IF(AND($B107="D10",$C107="G1"),BP106&amp;IF(BP106="","",CHAR(10))&amp;$A107,BP106)</f>
        <v>◐ 055 全生命週期成本模型</v>
      </c>
      <c r="BQ107" s="0" t="str">
        <f aca="false">IF(AND($B107="D10",$C107="G2"),BQ106&amp;IF(BQ106="","",CHAR(10))&amp;$A107,BQ106)</f>
        <v>◐ 059 PPP／JV財務與風險分配</v>
      </c>
      <c r="BR107" s="0" t="str">
        <f aca="false">IF(AND($B107="D10",$C107="G3"),BR106&amp;IF(BR106="","",CHAR(10))&amp;$A107,BR106)</f>
        <v/>
      </c>
      <c r="BS107" s="363" t="str">
        <f aca="false">IF(AND($B107="D10",$C107="G4"),BS106&amp;IF(BS106="","",CHAR(10))&amp;$A107,BS106)</f>
        <v>○ 056 健保申報與數位理賠
○ 057 現金流、支付與收入週期</v>
      </c>
      <c r="BT107" s="0" t="str">
        <f aca="false">IF(AND($B107="D10",$C107="G5"),BT106&amp;IF(BT106="","",CHAR(10))&amp;$A107,BT106)</f>
        <v>○ 058 國際醫療與高價值服務</v>
      </c>
      <c r="BU107" s="0" t="str">
        <f aca="false">IF(AND($B107="D10",$C107="G6"),BU106&amp;IF(BU106="","",CHAR(10))&amp;$A107,BU106)</f>
        <v>◐ 060 效益實現與複製藍圖</v>
      </c>
      <c r="BX107" s="0" t="str">
        <f aca="false">IF(AND(03_能力總表_Master!$A107&lt;&gt;"",LEFT(03_能力總表_Master!$H107,2)="缺口"),MAX($BX$4:BX106)+1,"")</f>
        <v/>
      </c>
      <c r="BY107" s="0" t="str">
        <f aca="false">IF(AND(03_能力總表_Master!$A107&lt;&gt;"",03_能力總表_Master!$J107=12_夥伴視角_PartnerView!$C$4),MAX($BY$4:BY106)+1,"")</f>
        <v/>
      </c>
      <c r="CC107" s="0" t="str">
        <f aca="false">IF(AND(03_能力總表_Master!$A107&lt;&gt;"",IFERROR(INDEX(16_能力商機矩陣_CapOppMap!$D107:$CO107,MATCH(LEFT(17_商機作戰卡_OppView!$C$4,6),16_能力商機矩陣_CapOppMap!$D$4:$CO$4,0)),"")="✓"),MAX($CC$4:CC106)+1,"")</f>
        <v/>
      </c>
    </row>
    <row r="108" customFormat="false" ht="95.5" hidden="false" customHeight="false" outlineLevel="0" collapsed="false">
      <c r="A108" s="0" t="str">
        <f aca="false">IF(03_能力總表_Master!$A108="","",IF(LEFT(03_能力總表_Master!$H108,2)="群晶","● ",IF(ISNUMBER(SEARCH("已確認",03_能力總表_Master!$H108)),"◆ ",IF(ISNUMBER(SEARCH("缺口",03_能力總表_Master!$H108)),"○ ","◐ ")))&amp;RIGHT(03_能力總表_Master!$A108,3)&amp;" "&amp;03_能力總表_Master!$E108)</f>
        <v/>
      </c>
      <c r="B108" s="0" t="str">
        <f aca="false">IF(03_能力總表_Master!$A108="","",LEFT(03_能力總表_Master!$B108,3))</f>
        <v/>
      </c>
      <c r="C108" s="0" t="str">
        <f aca="false">IF(03_能力總表_Master!$A108="","",03_能力總表_Master!$C108)</f>
        <v/>
      </c>
      <c r="D108" s="363" t="str">
        <f aca="false">IF(AND($B108="D01",$C108="G0"),D107&amp;IF(D107="","",CHAR(10))&amp;$A108,D107)</f>
        <v>◐ 001 政府授權與計畫章程
◐ 002 利害關係人與權力地圖
◐ 005 聯盟治理與利益衝突</v>
      </c>
      <c r="E108" s="363" t="str">
        <f aca="false">IF(AND($B108="D01",$C108="G1"),E107&amp;IF(E107="","",CHAR(10))&amp;$A108,E107)</f>
        <v>◐ 003 交易模式選擇
◐ 004 法規與執照路徑</v>
      </c>
      <c r="F108" s="0" t="str">
        <f aca="false">IF(AND($B108="D01",$C108="G2"),F107&amp;IF(F107="","",CHAR(10))&amp;$A108,F107)</f>
        <v>◐ 006 績效契約與變更控制</v>
      </c>
      <c r="G108" s="0" t="str">
        <f aca="false">IF(AND($B108="D01",$C108="G3"),G107&amp;IF(G107="","",CHAR(10))&amp;$A108,G107)</f>
        <v/>
      </c>
      <c r="H108" s="0" t="str">
        <f aca="false">IF(AND($B108="D01",$C108="G4"),H107&amp;IF(H107="","",CHAR(10))&amp;$A108,H107)</f>
        <v/>
      </c>
      <c r="I108" s="0" t="str">
        <f aca="false">IF(AND($B108="D01",$C108="G5"),I107&amp;IF(I107="","",CHAR(10))&amp;$A108,I107)</f>
        <v/>
      </c>
      <c r="J108" s="0" t="str">
        <f aca="false">IF(AND($B108="D01",$C108="G6"),J107&amp;IF(J107="","",CHAR(10))&amp;$A108,J107)</f>
        <v/>
      </c>
      <c r="K108" s="0" t="str">
        <f aca="false">IF(AND($B108="D02",$C108="G0"),K107&amp;IF(K107="","",CHAR(10))&amp;$A108,K107)</f>
        <v/>
      </c>
      <c r="L108" s="363" t="str">
        <f aca="false">IF(AND($B108="D02",$C108="G1"),L107&amp;IF(L107="","",CHAR(10))&amp;$A108,L107)</f>
        <v>◐ 007 人口需求與病例量預測
◐ 008 醫院定位與服務組合
◐ 009 重點專科優先化
◐ 010 病人流程與容量設計
◐ 011 轉診與區域照護網絡
◐ 012 臨床治理與責任架構</v>
      </c>
      <c r="M108" s="0" t="str">
        <f aca="false">IF(AND($B108="D02",$C108="G2"),M107&amp;IF(M107="","",CHAR(10))&amp;$A108,M107)</f>
        <v/>
      </c>
      <c r="N108" s="0" t="str">
        <f aca="false">IF(AND($B108="D02",$C108="G3"),N107&amp;IF(N107="","",CHAR(10))&amp;$A108,N107)</f>
        <v/>
      </c>
      <c r="O108" s="0" t="str">
        <f aca="false">IF(AND($B108="D02",$C108="G4"),O107&amp;IF(O107="","",CHAR(10))&amp;$A108,O107)</f>
        <v/>
      </c>
      <c r="P108" s="0" t="str">
        <f aca="false">IF(AND($B108="D02",$C108="G5"),P107&amp;IF(P107="","",CHAR(10))&amp;$A108,P107)</f>
        <v/>
      </c>
      <c r="Q108" s="0" t="str">
        <f aca="false">IF(AND($B108="D02",$C108="G6"),Q107&amp;IF(Q107="","",CHAR(10))&amp;$A108,Q107)</f>
        <v/>
      </c>
      <c r="R108" s="0" t="str">
        <f aca="false">IF(AND($B108="D03",$C108="G0"),R107&amp;IF(R107="","",CHAR(10))&amp;$A108,R107)</f>
        <v/>
      </c>
      <c r="S108" s="0" t="str">
        <f aca="false">IF(AND($B108="D03",$C108="G1"),S107&amp;IF(S107="","",CHAR(10))&amp;$A108,S107)</f>
        <v>◐ 013 場址與醫院總體規劃</v>
      </c>
      <c r="T108" s="363" t="str">
        <f aca="false">IF(AND($B108="D03",$C108="G2"),T107&amp;IF(T107="","",CHAR(10))&amp;$A108,T107)</f>
        <v>◐ 014 醫療建築功能計畫
◐ 015 感染控制與潔污動線
◐ 019 綠色與氣候韌性醫院</v>
      </c>
      <c r="U108" s="363" t="str">
        <f aca="false">IF(AND($B108="D03",$C108="G3"),U107&amp;IF(U107="","",CHAR(10))&amp;$A108,U107)</f>
        <v>● 016 電力、備援與微電網
◐ 017 醫療氣體與關鍵公用系統
◐ 018 醫療廢棄物與水資源</v>
      </c>
      <c r="V108" s="0" t="str">
        <f aca="false">IF(AND($B108="D03",$C108="G4"),V107&amp;IF(V107="","",CHAR(10))&amp;$A108,V107)</f>
        <v/>
      </c>
      <c r="W108" s="0" t="str">
        <f aca="false">IF(AND($B108="D03",$C108="G5"),W107&amp;IF(W107="","",CHAR(10))&amp;$A108,W107)</f>
        <v/>
      </c>
      <c r="X108" s="0" t="str">
        <f aca="false">IF(AND($B108="D03",$C108="G6"),X107&amp;IF(X107="","",CHAR(10))&amp;$A108,X107)</f>
        <v/>
      </c>
      <c r="Y108" s="0" t="str">
        <f aca="false">IF(AND($B108="D04",$C108="G0"),Y107&amp;IF(Y107="","",CHAR(10))&amp;$A108,Y107)</f>
        <v/>
      </c>
      <c r="Z108" s="0" t="str">
        <f aca="false">IF(AND($B108="D04",$C108="G1"),Z107&amp;IF(Z107="","",CHAR(10))&amp;$A108,Z107)</f>
        <v/>
      </c>
      <c r="AA108" s="0" t="str">
        <f aca="false">IF(AND($B108="D04",$C108="G2"),AA107&amp;IF(AA107="","",CHAR(10))&amp;$A108,AA107)</f>
        <v/>
      </c>
      <c r="AB108" s="0" t="str">
        <f aca="false">IF(AND($B108="D04",$C108="G3"),AB107&amp;IF(AB107="","",CHAR(10))&amp;$A108,AB107)</f>
        <v>● 020 IDC與邊緣運算底座</v>
      </c>
      <c r="AC108" s="363" t="str">
        <f aca="false">IF(AND($B108="D04",$C108="G4"),AC107&amp;IF(AC107="","",CHAR(10))&amp;$A108,AC107)</f>
        <v>● 021 有線無線網路與分區
◐ 022 資安營運與零信任
● 023 BMS與能源管理
● 024 RTLS與資產／人員定位
● 025 智慧病房、護理呼叫與感測
● 026 災難復原與營運持續</v>
      </c>
      <c r="AD108" s="0" t="str">
        <f aca="false">IF(AND($B108="D04",$C108="G5"),AD107&amp;IF(AD107="","",CHAR(10))&amp;$A108,AD107)</f>
        <v/>
      </c>
      <c r="AE108" s="0" t="str">
        <f aca="false">IF(AND($B108="D04",$C108="G6"),AE107&amp;IF(AE107="","",CHAR(10))&amp;$A108,AE107)</f>
        <v/>
      </c>
      <c r="AF108" s="0" t="str">
        <f aca="false">IF(AND($B108="D05",$C108="G0"),AF107&amp;IF(AF107="","",CHAR(10))&amp;$A108,AF107)</f>
        <v/>
      </c>
      <c r="AG108" s="0" t="str">
        <f aca="false">IF(AND($B108="D05",$C108="G1"),AG107&amp;IF(AG107="","",CHAR(10))&amp;$A108,AG107)</f>
        <v/>
      </c>
      <c r="AH108" s="0" t="str">
        <f aca="false">IF(AND($B108="D05",$C108="G2"),AH107&amp;IF(AH107="","",CHAR(10))&amp;$A108,AH107)</f>
        <v>◐ 027 醫材需求與設備計畫</v>
      </c>
      <c r="AI108" s="0" t="str">
        <f aca="false">IF(AND($B108="D05",$C108="G3"),AI107&amp;IF(AI107="","",CHAR(10))&amp;$A108,AI107)</f>
        <v/>
      </c>
      <c r="AJ108" s="363" t="str">
        <f aca="false">IF(AND($B108="D05",$C108="G4"),AJ107&amp;IF(AJ107="","",CHAR(10))&amp;$A108,AJ107)</f>
        <v>○ 028 影像設備、PACS與報告流程
○ 029 實驗室自動化與LIS
○ 030 手術室與重症整合
◐ 031 醫材介接與裝置身分
◐ 032 醫療工程與設備生命週期</v>
      </c>
      <c r="AK108" s="0" t="str">
        <f aca="false">IF(AND($B108="D05",$C108="G5"),AK107&amp;IF(AK107="","",CHAR(10))&amp;$A108,AK107)</f>
        <v/>
      </c>
      <c r="AL108" s="0" t="str">
        <f aca="false">IF(AND($B108="D05",$C108="G6"),AL107&amp;IF(AL107="","",CHAR(10))&amp;$A108,AL107)</f>
        <v/>
      </c>
      <c r="AM108" s="0" t="str">
        <f aca="false">IF(AND($B108="D06",$C108="G0"),AM107&amp;IF(AM107="","",CHAR(10))&amp;$A108,AM107)</f>
        <v/>
      </c>
      <c r="AN108" s="0" t="str">
        <f aca="false">IF(AND($B108="D06",$C108="G1"),AN107&amp;IF(AN107="","",CHAR(10))&amp;$A108,AN107)</f>
        <v/>
      </c>
      <c r="AO108" s="0" t="str">
        <f aca="false">IF(AND($B108="D06",$C108="G2"),AO107&amp;IF(AO107="","",CHAR(10))&amp;$A108,AO107)</f>
        <v/>
      </c>
      <c r="AP108" s="363" t="str">
        <f aca="false">IF(AND($B108="D06",$C108="G3"),AP107&amp;IF(AP107="","",CHAR(10))&amp;$A108,AP107)</f>
        <v>◐ 033 HIS／EMR核心平台
◐ 036 臨床術語與主資料治理</v>
      </c>
      <c r="AQ108" s="363" t="str">
        <f aca="false">IF(AND($B108="D06",$C108="G4"),AQ107&amp;IF(AQ107="","",CHAR(10))&amp;$A108,AQ107)</f>
        <v>◐ 034 FHIR介接與API管理
○ 035 主病人索引與身分整合
◐ 037 電子醫囑、用藥與決策支援
◐ 038 資料平台、BI與營運指揮</v>
      </c>
      <c r="AR108" s="0" t="str">
        <f aca="false">IF(AND($B108="D06",$C108="G5"),AR107&amp;IF(AR107="","",CHAR(10))&amp;$A108,AR107)</f>
        <v>○ 039 病人入口、行動服務與VNeID準備</v>
      </c>
      <c r="AS108" s="0" t="str">
        <f aca="false">IF(AND($B108="D06",$C108="G6"),AS107&amp;IF(AS107="","",CHAR(10))&amp;$A108,AS107)</f>
        <v/>
      </c>
      <c r="AT108" s="0" t="str">
        <f aca="false">IF(AND($B108="D07",$C108="G0"),AT107&amp;IF(AT107="","",CHAR(10))&amp;$A108,AT107)</f>
        <v/>
      </c>
      <c r="AU108" s="0" t="str">
        <f aca="false">IF(AND($B108="D07",$C108="G1"),AU107&amp;IF(AU107="","",CHAR(10))&amp;$A108,AU107)</f>
        <v/>
      </c>
      <c r="AV108" s="0" t="str">
        <f aca="false">IF(AND($B108="D07",$C108="G2"),AV107&amp;IF(AV107="","",CHAR(10))&amp;$A108,AV107)</f>
        <v>◐ 040 品質管理與JCI路線圖</v>
      </c>
      <c r="AW108" s="363" t="str">
        <f aca="false">IF(AND($B108="D07",$C108="G3"),AW107&amp;IF(AW107="","",CHAR(10))&amp;$A108,AW107)</f>
        <v>◐ 041 感染預防與控制制度
◐ 043 事件通報與根因改善</v>
      </c>
      <c r="AX108" s="0" t="str">
        <f aca="false">IF(AND($B108="D07",$C108="G4"),AX107&amp;IF(AX107="","",CHAR(10))&amp;$A108,AX107)</f>
        <v>◐ 042 用藥安全閉環</v>
      </c>
      <c r="AY108" s="0" t="str">
        <f aca="false">IF(AND($B108="D07",$C108="G5"),AY107&amp;IF(AY107="","",CHAR(10))&amp;$A108,AY107)</f>
        <v>◐ 044 開院臨床安全驗證</v>
      </c>
      <c r="AZ108" s="0" t="str">
        <f aca="false">IF(AND($B108="D07",$C108="G6"),AZ107&amp;IF(AZ107="","",CHAR(10))&amp;$A108,AZ107)</f>
        <v/>
      </c>
      <c r="BA108" s="0" t="str">
        <f aca="false">IF(AND($B108="D08",$C108="G0"),BA107&amp;IF(BA107="","",CHAR(10))&amp;$A108,BA107)</f>
        <v/>
      </c>
      <c r="BB108" s="0" t="str">
        <f aca="false">IF(AND($B108="D08",$C108="G1"),BB107&amp;IF(BB107="","",CHAR(10))&amp;$A108,BB107)</f>
        <v/>
      </c>
      <c r="BC108" s="0" t="str">
        <f aca="false">IF(AND($B108="D08",$C108="G2"),BC107&amp;IF(BC107="","",CHAR(10))&amp;$A108,BC107)</f>
        <v>○ 045 人力與輪班模型</v>
      </c>
      <c r="BD108" s="0" t="str">
        <f aca="false">IF(AND($B108="D08",$C108="G3"),BD107&amp;IF(BD107="","",CHAR(10))&amp;$A108,BD107)</f>
        <v>◐ 046 職能矩陣與授權</v>
      </c>
      <c r="BE108" s="363" t="str">
        <f aca="false">IF(AND($B108="D08",$C108="G4"),BE107&amp;IF(BE107="","",CHAR(10))&amp;$A108,BE107)</f>
        <v>◐ 047 種子教師與技術移轉
◐ 049 變革管理與使用者採納</v>
      </c>
      <c r="BF108" s="0" t="str">
        <f aca="false">IF(AND($B108="D08",$C108="G5"),BF107&amp;IF(BF107="","",CHAR(10))&amp;$A108,BF107)</f>
        <v>◐ 048 模擬中心與開院演練</v>
      </c>
      <c r="BG108" s="0" t="str">
        <f aca="false">IF(AND($B108="D08",$C108="G6"),BG107&amp;IF(BG107="","",CHAR(10))&amp;$A108,BG107)</f>
        <v/>
      </c>
      <c r="BH108" s="0" t="str">
        <f aca="false">IF(AND($B108="D09",$C108="G0"),BH107&amp;IF(BH107="","",CHAR(10))&amp;$A108,BH107)</f>
        <v/>
      </c>
      <c r="BI108" s="0" t="str">
        <f aca="false">IF(AND($B108="D09",$C108="G1"),BI107&amp;IF(BI107="","",CHAR(10))&amp;$A108,BI107)</f>
        <v/>
      </c>
      <c r="BJ108" s="0" t="str">
        <f aca="false">IF(AND($B108="D09",$C108="G2"),BJ107&amp;IF(BJ107="","",CHAR(10))&amp;$A108,BJ107)</f>
        <v>◐ 050 整合採購與供應商治理</v>
      </c>
      <c r="BK108" s="0" t="str">
        <f aca="false">IF(AND($B108="D09",$C108="G3"),BK107&amp;IF(BK107="","",CHAR(10))&amp;$A108,BK107)</f>
        <v/>
      </c>
      <c r="BL108" s="363" t="str">
        <f aca="false">IF(AND($B108="D09",$C108="G4"),BL107&amp;IF(BL107="","",CHAR(10))&amp;$A108,BL107)</f>
        <v>◐ 051 藥品耗材與SPD物流
◐ 052 冷鏈與特殊物料
● 053 CMMS與設施維運</v>
      </c>
      <c r="BM108" s="0" t="str">
        <f aca="false">IF(AND($B108="D09",$C108="G5"),BM107&amp;IF(BM107="","",CHAR(10))&amp;$A108,BM107)</f>
        <v>◐ 054 在地備品、維修與汰換</v>
      </c>
      <c r="BN108" s="0" t="str">
        <f aca="false">IF(AND($B108="D09",$C108="G6"),BN107&amp;IF(BN107="","",CHAR(10))&amp;$A108,BN107)</f>
        <v/>
      </c>
      <c r="BO108" s="0" t="str">
        <f aca="false">IF(AND($B108="D10",$C108="G0"),BO107&amp;IF(BO107="","",CHAR(10))&amp;$A108,BO107)</f>
        <v/>
      </c>
      <c r="BP108" s="0" t="str">
        <f aca="false">IF(AND($B108="D10",$C108="G1"),BP107&amp;IF(BP107="","",CHAR(10))&amp;$A108,BP107)</f>
        <v>◐ 055 全生命週期成本模型</v>
      </c>
      <c r="BQ108" s="0" t="str">
        <f aca="false">IF(AND($B108="D10",$C108="G2"),BQ107&amp;IF(BQ107="","",CHAR(10))&amp;$A108,BQ107)</f>
        <v>◐ 059 PPP／JV財務與風險分配</v>
      </c>
      <c r="BR108" s="0" t="str">
        <f aca="false">IF(AND($B108="D10",$C108="G3"),BR107&amp;IF(BR107="","",CHAR(10))&amp;$A108,BR107)</f>
        <v/>
      </c>
      <c r="BS108" s="363" t="str">
        <f aca="false">IF(AND($B108="D10",$C108="G4"),BS107&amp;IF(BS107="","",CHAR(10))&amp;$A108,BS107)</f>
        <v>○ 056 健保申報與數位理賠
○ 057 現金流、支付與收入週期</v>
      </c>
      <c r="BT108" s="0" t="str">
        <f aca="false">IF(AND($B108="D10",$C108="G5"),BT107&amp;IF(BT107="","",CHAR(10))&amp;$A108,BT107)</f>
        <v>○ 058 國際醫療與高價值服務</v>
      </c>
      <c r="BU108" s="0" t="str">
        <f aca="false">IF(AND($B108="D10",$C108="G6"),BU107&amp;IF(BU107="","",CHAR(10))&amp;$A108,BU107)</f>
        <v>◐ 060 效益實現與複製藍圖</v>
      </c>
      <c r="BX108" s="0" t="str">
        <f aca="false">IF(AND(03_能力總表_Master!$A108&lt;&gt;"",LEFT(03_能力總表_Master!$H108,2)="缺口"),MAX($BX$4:BX107)+1,"")</f>
        <v/>
      </c>
      <c r="BY108" s="0" t="str">
        <f aca="false">IF(AND(03_能力總表_Master!$A108&lt;&gt;"",03_能力總表_Master!$J108=12_夥伴視角_PartnerView!$C$4),MAX($BY$4:BY107)+1,"")</f>
        <v/>
      </c>
      <c r="CC108" s="0" t="str">
        <f aca="false">IF(AND(03_能力總表_Master!$A108&lt;&gt;"",IFERROR(INDEX(16_能力商機矩陣_CapOppMap!$D108:$CO108,MATCH(LEFT(17_商機作戰卡_OppView!$C$4,6),16_能力商機矩陣_CapOppMap!$D$4:$CO$4,0)),"")="✓"),MAX($CC$4:CC107)+1,"")</f>
        <v/>
      </c>
    </row>
    <row r="109" customFormat="false" ht="95.5" hidden="false" customHeight="false" outlineLevel="0" collapsed="false">
      <c r="A109" s="0" t="str">
        <f aca="false">IF(03_能力總表_Master!$A109="","",IF(LEFT(03_能力總表_Master!$H109,2)="群晶","● ",IF(ISNUMBER(SEARCH("已確認",03_能力總表_Master!$H109)),"◆ ",IF(ISNUMBER(SEARCH("缺口",03_能力總表_Master!$H109)),"○ ","◐ ")))&amp;RIGHT(03_能力總表_Master!$A109,3)&amp;" "&amp;03_能力總表_Master!$E109)</f>
        <v/>
      </c>
      <c r="B109" s="0" t="str">
        <f aca="false">IF(03_能力總表_Master!$A109="","",LEFT(03_能力總表_Master!$B109,3))</f>
        <v/>
      </c>
      <c r="C109" s="0" t="str">
        <f aca="false">IF(03_能力總表_Master!$A109="","",03_能力總表_Master!$C109)</f>
        <v/>
      </c>
      <c r="D109" s="363" t="str">
        <f aca="false">IF(AND($B109="D01",$C109="G0"),D108&amp;IF(D108="","",CHAR(10))&amp;$A109,D108)</f>
        <v>◐ 001 政府授權與計畫章程
◐ 002 利害關係人與權力地圖
◐ 005 聯盟治理與利益衝突</v>
      </c>
      <c r="E109" s="363" t="str">
        <f aca="false">IF(AND($B109="D01",$C109="G1"),E108&amp;IF(E108="","",CHAR(10))&amp;$A109,E108)</f>
        <v>◐ 003 交易模式選擇
◐ 004 法規與執照路徑</v>
      </c>
      <c r="F109" s="0" t="str">
        <f aca="false">IF(AND($B109="D01",$C109="G2"),F108&amp;IF(F108="","",CHAR(10))&amp;$A109,F108)</f>
        <v>◐ 006 績效契約與變更控制</v>
      </c>
      <c r="G109" s="0" t="str">
        <f aca="false">IF(AND($B109="D01",$C109="G3"),G108&amp;IF(G108="","",CHAR(10))&amp;$A109,G108)</f>
        <v/>
      </c>
      <c r="H109" s="0" t="str">
        <f aca="false">IF(AND($B109="D01",$C109="G4"),H108&amp;IF(H108="","",CHAR(10))&amp;$A109,H108)</f>
        <v/>
      </c>
      <c r="I109" s="0" t="str">
        <f aca="false">IF(AND($B109="D01",$C109="G5"),I108&amp;IF(I108="","",CHAR(10))&amp;$A109,I108)</f>
        <v/>
      </c>
      <c r="J109" s="0" t="str">
        <f aca="false">IF(AND($B109="D01",$C109="G6"),J108&amp;IF(J108="","",CHAR(10))&amp;$A109,J108)</f>
        <v/>
      </c>
      <c r="K109" s="0" t="str">
        <f aca="false">IF(AND($B109="D02",$C109="G0"),K108&amp;IF(K108="","",CHAR(10))&amp;$A109,K108)</f>
        <v/>
      </c>
      <c r="L109" s="363" t="str">
        <f aca="false">IF(AND($B109="D02",$C109="G1"),L108&amp;IF(L108="","",CHAR(10))&amp;$A109,L108)</f>
        <v>◐ 007 人口需求與病例量預測
◐ 008 醫院定位與服務組合
◐ 009 重點專科優先化
◐ 010 病人流程與容量設計
◐ 011 轉診與區域照護網絡
◐ 012 臨床治理與責任架構</v>
      </c>
      <c r="M109" s="0" t="str">
        <f aca="false">IF(AND($B109="D02",$C109="G2"),M108&amp;IF(M108="","",CHAR(10))&amp;$A109,M108)</f>
        <v/>
      </c>
      <c r="N109" s="0" t="str">
        <f aca="false">IF(AND($B109="D02",$C109="G3"),N108&amp;IF(N108="","",CHAR(10))&amp;$A109,N108)</f>
        <v/>
      </c>
      <c r="O109" s="0" t="str">
        <f aca="false">IF(AND($B109="D02",$C109="G4"),O108&amp;IF(O108="","",CHAR(10))&amp;$A109,O108)</f>
        <v/>
      </c>
      <c r="P109" s="0" t="str">
        <f aca="false">IF(AND($B109="D02",$C109="G5"),P108&amp;IF(P108="","",CHAR(10))&amp;$A109,P108)</f>
        <v/>
      </c>
      <c r="Q109" s="0" t="str">
        <f aca="false">IF(AND($B109="D02",$C109="G6"),Q108&amp;IF(Q108="","",CHAR(10))&amp;$A109,Q108)</f>
        <v/>
      </c>
      <c r="R109" s="0" t="str">
        <f aca="false">IF(AND($B109="D03",$C109="G0"),R108&amp;IF(R108="","",CHAR(10))&amp;$A109,R108)</f>
        <v/>
      </c>
      <c r="S109" s="0" t="str">
        <f aca="false">IF(AND($B109="D03",$C109="G1"),S108&amp;IF(S108="","",CHAR(10))&amp;$A109,S108)</f>
        <v>◐ 013 場址與醫院總體規劃</v>
      </c>
      <c r="T109" s="363" t="str">
        <f aca="false">IF(AND($B109="D03",$C109="G2"),T108&amp;IF(T108="","",CHAR(10))&amp;$A109,T108)</f>
        <v>◐ 014 醫療建築功能計畫
◐ 015 感染控制與潔污動線
◐ 019 綠色與氣候韌性醫院</v>
      </c>
      <c r="U109" s="363" t="str">
        <f aca="false">IF(AND($B109="D03",$C109="G3"),U108&amp;IF(U108="","",CHAR(10))&amp;$A109,U108)</f>
        <v>● 016 電力、備援與微電網
◐ 017 醫療氣體與關鍵公用系統
◐ 018 醫療廢棄物與水資源</v>
      </c>
      <c r="V109" s="0" t="str">
        <f aca="false">IF(AND($B109="D03",$C109="G4"),V108&amp;IF(V108="","",CHAR(10))&amp;$A109,V108)</f>
        <v/>
      </c>
      <c r="W109" s="0" t="str">
        <f aca="false">IF(AND($B109="D03",$C109="G5"),W108&amp;IF(W108="","",CHAR(10))&amp;$A109,W108)</f>
        <v/>
      </c>
      <c r="X109" s="0" t="str">
        <f aca="false">IF(AND($B109="D03",$C109="G6"),X108&amp;IF(X108="","",CHAR(10))&amp;$A109,X108)</f>
        <v/>
      </c>
      <c r="Y109" s="0" t="str">
        <f aca="false">IF(AND($B109="D04",$C109="G0"),Y108&amp;IF(Y108="","",CHAR(10))&amp;$A109,Y108)</f>
        <v/>
      </c>
      <c r="Z109" s="0" t="str">
        <f aca="false">IF(AND($B109="D04",$C109="G1"),Z108&amp;IF(Z108="","",CHAR(10))&amp;$A109,Z108)</f>
        <v/>
      </c>
      <c r="AA109" s="0" t="str">
        <f aca="false">IF(AND($B109="D04",$C109="G2"),AA108&amp;IF(AA108="","",CHAR(10))&amp;$A109,AA108)</f>
        <v/>
      </c>
      <c r="AB109" s="0" t="str">
        <f aca="false">IF(AND($B109="D04",$C109="G3"),AB108&amp;IF(AB108="","",CHAR(10))&amp;$A109,AB108)</f>
        <v>● 020 IDC與邊緣運算底座</v>
      </c>
      <c r="AC109" s="363" t="str">
        <f aca="false">IF(AND($B109="D04",$C109="G4"),AC108&amp;IF(AC108="","",CHAR(10))&amp;$A109,AC108)</f>
        <v>● 021 有線無線網路與分區
◐ 022 資安營運與零信任
● 023 BMS與能源管理
● 024 RTLS與資產／人員定位
● 025 智慧病房、護理呼叫與感測
● 026 災難復原與營運持續</v>
      </c>
      <c r="AD109" s="0" t="str">
        <f aca="false">IF(AND($B109="D04",$C109="G5"),AD108&amp;IF(AD108="","",CHAR(10))&amp;$A109,AD108)</f>
        <v/>
      </c>
      <c r="AE109" s="0" t="str">
        <f aca="false">IF(AND($B109="D04",$C109="G6"),AE108&amp;IF(AE108="","",CHAR(10))&amp;$A109,AE108)</f>
        <v/>
      </c>
      <c r="AF109" s="0" t="str">
        <f aca="false">IF(AND($B109="D05",$C109="G0"),AF108&amp;IF(AF108="","",CHAR(10))&amp;$A109,AF108)</f>
        <v/>
      </c>
      <c r="AG109" s="0" t="str">
        <f aca="false">IF(AND($B109="D05",$C109="G1"),AG108&amp;IF(AG108="","",CHAR(10))&amp;$A109,AG108)</f>
        <v/>
      </c>
      <c r="AH109" s="0" t="str">
        <f aca="false">IF(AND($B109="D05",$C109="G2"),AH108&amp;IF(AH108="","",CHAR(10))&amp;$A109,AH108)</f>
        <v>◐ 027 醫材需求與設備計畫</v>
      </c>
      <c r="AI109" s="0" t="str">
        <f aca="false">IF(AND($B109="D05",$C109="G3"),AI108&amp;IF(AI108="","",CHAR(10))&amp;$A109,AI108)</f>
        <v/>
      </c>
      <c r="AJ109" s="363" t="str">
        <f aca="false">IF(AND($B109="D05",$C109="G4"),AJ108&amp;IF(AJ108="","",CHAR(10))&amp;$A109,AJ108)</f>
        <v>○ 028 影像設備、PACS與報告流程
○ 029 實驗室自動化與LIS
○ 030 手術室與重症整合
◐ 031 醫材介接與裝置身分
◐ 032 醫療工程與設備生命週期</v>
      </c>
      <c r="AK109" s="0" t="str">
        <f aca="false">IF(AND($B109="D05",$C109="G5"),AK108&amp;IF(AK108="","",CHAR(10))&amp;$A109,AK108)</f>
        <v/>
      </c>
      <c r="AL109" s="0" t="str">
        <f aca="false">IF(AND($B109="D05",$C109="G6"),AL108&amp;IF(AL108="","",CHAR(10))&amp;$A109,AL108)</f>
        <v/>
      </c>
      <c r="AM109" s="0" t="str">
        <f aca="false">IF(AND($B109="D06",$C109="G0"),AM108&amp;IF(AM108="","",CHAR(10))&amp;$A109,AM108)</f>
        <v/>
      </c>
      <c r="AN109" s="0" t="str">
        <f aca="false">IF(AND($B109="D06",$C109="G1"),AN108&amp;IF(AN108="","",CHAR(10))&amp;$A109,AN108)</f>
        <v/>
      </c>
      <c r="AO109" s="0" t="str">
        <f aca="false">IF(AND($B109="D06",$C109="G2"),AO108&amp;IF(AO108="","",CHAR(10))&amp;$A109,AO108)</f>
        <v/>
      </c>
      <c r="AP109" s="363" t="str">
        <f aca="false">IF(AND($B109="D06",$C109="G3"),AP108&amp;IF(AP108="","",CHAR(10))&amp;$A109,AP108)</f>
        <v>◐ 033 HIS／EMR核心平台
◐ 036 臨床術語與主資料治理</v>
      </c>
      <c r="AQ109" s="363" t="str">
        <f aca="false">IF(AND($B109="D06",$C109="G4"),AQ108&amp;IF(AQ108="","",CHAR(10))&amp;$A109,AQ108)</f>
        <v>◐ 034 FHIR介接與API管理
○ 035 主病人索引與身分整合
◐ 037 電子醫囑、用藥與決策支援
◐ 038 資料平台、BI與營運指揮</v>
      </c>
      <c r="AR109" s="0" t="str">
        <f aca="false">IF(AND($B109="D06",$C109="G5"),AR108&amp;IF(AR108="","",CHAR(10))&amp;$A109,AR108)</f>
        <v>○ 039 病人入口、行動服務與VNeID準備</v>
      </c>
      <c r="AS109" s="0" t="str">
        <f aca="false">IF(AND($B109="D06",$C109="G6"),AS108&amp;IF(AS108="","",CHAR(10))&amp;$A109,AS108)</f>
        <v/>
      </c>
      <c r="AT109" s="0" t="str">
        <f aca="false">IF(AND($B109="D07",$C109="G0"),AT108&amp;IF(AT108="","",CHAR(10))&amp;$A109,AT108)</f>
        <v/>
      </c>
      <c r="AU109" s="0" t="str">
        <f aca="false">IF(AND($B109="D07",$C109="G1"),AU108&amp;IF(AU108="","",CHAR(10))&amp;$A109,AU108)</f>
        <v/>
      </c>
      <c r="AV109" s="0" t="str">
        <f aca="false">IF(AND($B109="D07",$C109="G2"),AV108&amp;IF(AV108="","",CHAR(10))&amp;$A109,AV108)</f>
        <v>◐ 040 品質管理與JCI路線圖</v>
      </c>
      <c r="AW109" s="363" t="str">
        <f aca="false">IF(AND($B109="D07",$C109="G3"),AW108&amp;IF(AW108="","",CHAR(10))&amp;$A109,AW108)</f>
        <v>◐ 041 感染預防與控制制度
◐ 043 事件通報與根因改善</v>
      </c>
      <c r="AX109" s="0" t="str">
        <f aca="false">IF(AND($B109="D07",$C109="G4"),AX108&amp;IF(AX108="","",CHAR(10))&amp;$A109,AX108)</f>
        <v>◐ 042 用藥安全閉環</v>
      </c>
      <c r="AY109" s="0" t="str">
        <f aca="false">IF(AND($B109="D07",$C109="G5"),AY108&amp;IF(AY108="","",CHAR(10))&amp;$A109,AY108)</f>
        <v>◐ 044 開院臨床安全驗證</v>
      </c>
      <c r="AZ109" s="0" t="str">
        <f aca="false">IF(AND($B109="D07",$C109="G6"),AZ108&amp;IF(AZ108="","",CHAR(10))&amp;$A109,AZ108)</f>
        <v/>
      </c>
      <c r="BA109" s="0" t="str">
        <f aca="false">IF(AND($B109="D08",$C109="G0"),BA108&amp;IF(BA108="","",CHAR(10))&amp;$A109,BA108)</f>
        <v/>
      </c>
      <c r="BB109" s="0" t="str">
        <f aca="false">IF(AND($B109="D08",$C109="G1"),BB108&amp;IF(BB108="","",CHAR(10))&amp;$A109,BB108)</f>
        <v/>
      </c>
      <c r="BC109" s="0" t="str">
        <f aca="false">IF(AND($B109="D08",$C109="G2"),BC108&amp;IF(BC108="","",CHAR(10))&amp;$A109,BC108)</f>
        <v>○ 045 人力與輪班模型</v>
      </c>
      <c r="BD109" s="0" t="str">
        <f aca="false">IF(AND($B109="D08",$C109="G3"),BD108&amp;IF(BD108="","",CHAR(10))&amp;$A109,BD108)</f>
        <v>◐ 046 職能矩陣與授權</v>
      </c>
      <c r="BE109" s="363" t="str">
        <f aca="false">IF(AND($B109="D08",$C109="G4"),BE108&amp;IF(BE108="","",CHAR(10))&amp;$A109,BE108)</f>
        <v>◐ 047 種子教師與技術移轉
◐ 049 變革管理與使用者採納</v>
      </c>
      <c r="BF109" s="0" t="str">
        <f aca="false">IF(AND($B109="D08",$C109="G5"),BF108&amp;IF(BF108="","",CHAR(10))&amp;$A109,BF108)</f>
        <v>◐ 048 模擬中心與開院演練</v>
      </c>
      <c r="BG109" s="0" t="str">
        <f aca="false">IF(AND($B109="D08",$C109="G6"),BG108&amp;IF(BG108="","",CHAR(10))&amp;$A109,BG108)</f>
        <v/>
      </c>
      <c r="BH109" s="0" t="str">
        <f aca="false">IF(AND($B109="D09",$C109="G0"),BH108&amp;IF(BH108="","",CHAR(10))&amp;$A109,BH108)</f>
        <v/>
      </c>
      <c r="BI109" s="0" t="str">
        <f aca="false">IF(AND($B109="D09",$C109="G1"),BI108&amp;IF(BI108="","",CHAR(10))&amp;$A109,BI108)</f>
        <v/>
      </c>
      <c r="BJ109" s="0" t="str">
        <f aca="false">IF(AND($B109="D09",$C109="G2"),BJ108&amp;IF(BJ108="","",CHAR(10))&amp;$A109,BJ108)</f>
        <v>◐ 050 整合採購與供應商治理</v>
      </c>
      <c r="BK109" s="0" t="str">
        <f aca="false">IF(AND($B109="D09",$C109="G3"),BK108&amp;IF(BK108="","",CHAR(10))&amp;$A109,BK108)</f>
        <v/>
      </c>
      <c r="BL109" s="363" t="str">
        <f aca="false">IF(AND($B109="D09",$C109="G4"),BL108&amp;IF(BL108="","",CHAR(10))&amp;$A109,BL108)</f>
        <v>◐ 051 藥品耗材與SPD物流
◐ 052 冷鏈與特殊物料
● 053 CMMS與設施維運</v>
      </c>
      <c r="BM109" s="0" t="str">
        <f aca="false">IF(AND($B109="D09",$C109="G5"),BM108&amp;IF(BM108="","",CHAR(10))&amp;$A109,BM108)</f>
        <v>◐ 054 在地備品、維修與汰換</v>
      </c>
      <c r="BN109" s="0" t="str">
        <f aca="false">IF(AND($B109="D09",$C109="G6"),BN108&amp;IF(BN108="","",CHAR(10))&amp;$A109,BN108)</f>
        <v/>
      </c>
      <c r="BO109" s="0" t="str">
        <f aca="false">IF(AND($B109="D10",$C109="G0"),BO108&amp;IF(BO108="","",CHAR(10))&amp;$A109,BO108)</f>
        <v/>
      </c>
      <c r="BP109" s="0" t="str">
        <f aca="false">IF(AND($B109="D10",$C109="G1"),BP108&amp;IF(BP108="","",CHAR(10))&amp;$A109,BP108)</f>
        <v>◐ 055 全生命週期成本模型</v>
      </c>
      <c r="BQ109" s="0" t="str">
        <f aca="false">IF(AND($B109="D10",$C109="G2"),BQ108&amp;IF(BQ108="","",CHAR(10))&amp;$A109,BQ108)</f>
        <v>◐ 059 PPP／JV財務與風險分配</v>
      </c>
      <c r="BR109" s="0" t="str">
        <f aca="false">IF(AND($B109="D10",$C109="G3"),BR108&amp;IF(BR108="","",CHAR(10))&amp;$A109,BR108)</f>
        <v/>
      </c>
      <c r="BS109" s="363" t="str">
        <f aca="false">IF(AND($B109="D10",$C109="G4"),BS108&amp;IF(BS108="","",CHAR(10))&amp;$A109,BS108)</f>
        <v>○ 056 健保申報與數位理賠
○ 057 現金流、支付與收入週期</v>
      </c>
      <c r="BT109" s="0" t="str">
        <f aca="false">IF(AND($B109="D10",$C109="G5"),BT108&amp;IF(BT108="","",CHAR(10))&amp;$A109,BT108)</f>
        <v>○ 058 國際醫療與高價值服務</v>
      </c>
      <c r="BU109" s="0" t="str">
        <f aca="false">IF(AND($B109="D10",$C109="G6"),BU108&amp;IF(BU108="","",CHAR(10))&amp;$A109,BU108)</f>
        <v>◐ 060 效益實現與複製藍圖</v>
      </c>
      <c r="BX109" s="0" t="str">
        <f aca="false">IF(AND(03_能力總表_Master!$A109&lt;&gt;"",LEFT(03_能力總表_Master!$H109,2)="缺口"),MAX($BX$4:BX108)+1,"")</f>
        <v/>
      </c>
      <c r="BY109" s="0" t="str">
        <f aca="false">IF(AND(03_能力總表_Master!$A109&lt;&gt;"",03_能力總表_Master!$J109=12_夥伴視角_PartnerView!$C$4),MAX($BY$4:BY108)+1,"")</f>
        <v/>
      </c>
      <c r="CC109" s="0" t="str">
        <f aca="false">IF(AND(03_能力總表_Master!$A109&lt;&gt;"",IFERROR(INDEX(16_能力商機矩陣_CapOppMap!$D109:$CO109,MATCH(LEFT(17_商機作戰卡_OppView!$C$4,6),16_能力商機矩陣_CapOppMap!$D$4:$CO$4,0)),"")="✓"),MAX($CC$4:CC108)+1,"")</f>
        <v/>
      </c>
    </row>
    <row r="110" customFormat="false" ht="95.5" hidden="false" customHeight="false" outlineLevel="0" collapsed="false">
      <c r="A110" s="0" t="str">
        <f aca="false">IF(03_能力總表_Master!$A110="","",IF(LEFT(03_能力總表_Master!$H110,2)="群晶","● ",IF(ISNUMBER(SEARCH("已確認",03_能力總表_Master!$H110)),"◆ ",IF(ISNUMBER(SEARCH("缺口",03_能力總表_Master!$H110)),"○ ","◐ ")))&amp;RIGHT(03_能力總表_Master!$A110,3)&amp;" "&amp;03_能力總表_Master!$E110)</f>
        <v/>
      </c>
      <c r="B110" s="0" t="str">
        <f aca="false">IF(03_能力總表_Master!$A110="","",LEFT(03_能力總表_Master!$B110,3))</f>
        <v/>
      </c>
      <c r="C110" s="0" t="str">
        <f aca="false">IF(03_能力總表_Master!$A110="","",03_能力總表_Master!$C110)</f>
        <v/>
      </c>
      <c r="D110" s="363" t="str">
        <f aca="false">IF(AND($B110="D01",$C110="G0"),D109&amp;IF(D109="","",CHAR(10))&amp;$A110,D109)</f>
        <v>◐ 001 政府授權與計畫章程
◐ 002 利害關係人與權力地圖
◐ 005 聯盟治理與利益衝突</v>
      </c>
      <c r="E110" s="363" t="str">
        <f aca="false">IF(AND($B110="D01",$C110="G1"),E109&amp;IF(E109="","",CHAR(10))&amp;$A110,E109)</f>
        <v>◐ 003 交易模式選擇
◐ 004 法規與執照路徑</v>
      </c>
      <c r="F110" s="0" t="str">
        <f aca="false">IF(AND($B110="D01",$C110="G2"),F109&amp;IF(F109="","",CHAR(10))&amp;$A110,F109)</f>
        <v>◐ 006 績效契約與變更控制</v>
      </c>
      <c r="G110" s="0" t="str">
        <f aca="false">IF(AND($B110="D01",$C110="G3"),G109&amp;IF(G109="","",CHAR(10))&amp;$A110,G109)</f>
        <v/>
      </c>
      <c r="H110" s="0" t="str">
        <f aca="false">IF(AND($B110="D01",$C110="G4"),H109&amp;IF(H109="","",CHAR(10))&amp;$A110,H109)</f>
        <v/>
      </c>
      <c r="I110" s="0" t="str">
        <f aca="false">IF(AND($B110="D01",$C110="G5"),I109&amp;IF(I109="","",CHAR(10))&amp;$A110,I109)</f>
        <v/>
      </c>
      <c r="J110" s="0" t="str">
        <f aca="false">IF(AND($B110="D01",$C110="G6"),J109&amp;IF(J109="","",CHAR(10))&amp;$A110,J109)</f>
        <v/>
      </c>
      <c r="K110" s="0" t="str">
        <f aca="false">IF(AND($B110="D02",$C110="G0"),K109&amp;IF(K109="","",CHAR(10))&amp;$A110,K109)</f>
        <v/>
      </c>
      <c r="L110" s="363" t="str">
        <f aca="false">IF(AND($B110="D02",$C110="G1"),L109&amp;IF(L109="","",CHAR(10))&amp;$A110,L109)</f>
        <v>◐ 007 人口需求與病例量預測
◐ 008 醫院定位與服務組合
◐ 009 重點專科優先化
◐ 010 病人流程與容量設計
◐ 011 轉診與區域照護網絡
◐ 012 臨床治理與責任架構</v>
      </c>
      <c r="M110" s="0" t="str">
        <f aca="false">IF(AND($B110="D02",$C110="G2"),M109&amp;IF(M109="","",CHAR(10))&amp;$A110,M109)</f>
        <v/>
      </c>
      <c r="N110" s="0" t="str">
        <f aca="false">IF(AND($B110="D02",$C110="G3"),N109&amp;IF(N109="","",CHAR(10))&amp;$A110,N109)</f>
        <v/>
      </c>
      <c r="O110" s="0" t="str">
        <f aca="false">IF(AND($B110="D02",$C110="G4"),O109&amp;IF(O109="","",CHAR(10))&amp;$A110,O109)</f>
        <v/>
      </c>
      <c r="P110" s="0" t="str">
        <f aca="false">IF(AND($B110="D02",$C110="G5"),P109&amp;IF(P109="","",CHAR(10))&amp;$A110,P109)</f>
        <v/>
      </c>
      <c r="Q110" s="0" t="str">
        <f aca="false">IF(AND($B110="D02",$C110="G6"),Q109&amp;IF(Q109="","",CHAR(10))&amp;$A110,Q109)</f>
        <v/>
      </c>
      <c r="R110" s="0" t="str">
        <f aca="false">IF(AND($B110="D03",$C110="G0"),R109&amp;IF(R109="","",CHAR(10))&amp;$A110,R109)</f>
        <v/>
      </c>
      <c r="S110" s="0" t="str">
        <f aca="false">IF(AND($B110="D03",$C110="G1"),S109&amp;IF(S109="","",CHAR(10))&amp;$A110,S109)</f>
        <v>◐ 013 場址與醫院總體規劃</v>
      </c>
      <c r="T110" s="363" t="str">
        <f aca="false">IF(AND($B110="D03",$C110="G2"),T109&amp;IF(T109="","",CHAR(10))&amp;$A110,T109)</f>
        <v>◐ 014 醫療建築功能計畫
◐ 015 感染控制與潔污動線
◐ 019 綠色與氣候韌性醫院</v>
      </c>
      <c r="U110" s="363" t="str">
        <f aca="false">IF(AND($B110="D03",$C110="G3"),U109&amp;IF(U109="","",CHAR(10))&amp;$A110,U109)</f>
        <v>● 016 電力、備援與微電網
◐ 017 醫療氣體與關鍵公用系統
◐ 018 醫療廢棄物與水資源</v>
      </c>
      <c r="V110" s="0" t="str">
        <f aca="false">IF(AND($B110="D03",$C110="G4"),V109&amp;IF(V109="","",CHAR(10))&amp;$A110,V109)</f>
        <v/>
      </c>
      <c r="W110" s="0" t="str">
        <f aca="false">IF(AND($B110="D03",$C110="G5"),W109&amp;IF(W109="","",CHAR(10))&amp;$A110,W109)</f>
        <v/>
      </c>
      <c r="X110" s="0" t="str">
        <f aca="false">IF(AND($B110="D03",$C110="G6"),X109&amp;IF(X109="","",CHAR(10))&amp;$A110,X109)</f>
        <v/>
      </c>
      <c r="Y110" s="0" t="str">
        <f aca="false">IF(AND($B110="D04",$C110="G0"),Y109&amp;IF(Y109="","",CHAR(10))&amp;$A110,Y109)</f>
        <v/>
      </c>
      <c r="Z110" s="0" t="str">
        <f aca="false">IF(AND($B110="D04",$C110="G1"),Z109&amp;IF(Z109="","",CHAR(10))&amp;$A110,Z109)</f>
        <v/>
      </c>
      <c r="AA110" s="0" t="str">
        <f aca="false">IF(AND($B110="D04",$C110="G2"),AA109&amp;IF(AA109="","",CHAR(10))&amp;$A110,AA109)</f>
        <v/>
      </c>
      <c r="AB110" s="0" t="str">
        <f aca="false">IF(AND($B110="D04",$C110="G3"),AB109&amp;IF(AB109="","",CHAR(10))&amp;$A110,AB109)</f>
        <v>● 020 IDC與邊緣運算底座</v>
      </c>
      <c r="AC110" s="363" t="str">
        <f aca="false">IF(AND($B110="D04",$C110="G4"),AC109&amp;IF(AC109="","",CHAR(10))&amp;$A110,AC109)</f>
        <v>● 021 有線無線網路與分區
◐ 022 資安營運與零信任
● 023 BMS與能源管理
● 024 RTLS與資產／人員定位
● 025 智慧病房、護理呼叫與感測
● 026 災難復原與營運持續</v>
      </c>
      <c r="AD110" s="0" t="str">
        <f aca="false">IF(AND($B110="D04",$C110="G5"),AD109&amp;IF(AD109="","",CHAR(10))&amp;$A110,AD109)</f>
        <v/>
      </c>
      <c r="AE110" s="0" t="str">
        <f aca="false">IF(AND($B110="D04",$C110="G6"),AE109&amp;IF(AE109="","",CHAR(10))&amp;$A110,AE109)</f>
        <v/>
      </c>
      <c r="AF110" s="0" t="str">
        <f aca="false">IF(AND($B110="D05",$C110="G0"),AF109&amp;IF(AF109="","",CHAR(10))&amp;$A110,AF109)</f>
        <v/>
      </c>
      <c r="AG110" s="0" t="str">
        <f aca="false">IF(AND($B110="D05",$C110="G1"),AG109&amp;IF(AG109="","",CHAR(10))&amp;$A110,AG109)</f>
        <v/>
      </c>
      <c r="AH110" s="0" t="str">
        <f aca="false">IF(AND($B110="D05",$C110="G2"),AH109&amp;IF(AH109="","",CHAR(10))&amp;$A110,AH109)</f>
        <v>◐ 027 醫材需求與設備計畫</v>
      </c>
      <c r="AI110" s="0" t="str">
        <f aca="false">IF(AND($B110="D05",$C110="G3"),AI109&amp;IF(AI109="","",CHAR(10))&amp;$A110,AI109)</f>
        <v/>
      </c>
      <c r="AJ110" s="363" t="str">
        <f aca="false">IF(AND($B110="D05",$C110="G4"),AJ109&amp;IF(AJ109="","",CHAR(10))&amp;$A110,AJ109)</f>
        <v>○ 028 影像設備、PACS與報告流程
○ 029 實驗室自動化與LIS
○ 030 手術室與重症整合
◐ 031 醫材介接與裝置身分
◐ 032 醫療工程與設備生命週期</v>
      </c>
      <c r="AK110" s="0" t="str">
        <f aca="false">IF(AND($B110="D05",$C110="G5"),AK109&amp;IF(AK109="","",CHAR(10))&amp;$A110,AK109)</f>
        <v/>
      </c>
      <c r="AL110" s="0" t="str">
        <f aca="false">IF(AND($B110="D05",$C110="G6"),AL109&amp;IF(AL109="","",CHAR(10))&amp;$A110,AL109)</f>
        <v/>
      </c>
      <c r="AM110" s="0" t="str">
        <f aca="false">IF(AND($B110="D06",$C110="G0"),AM109&amp;IF(AM109="","",CHAR(10))&amp;$A110,AM109)</f>
        <v/>
      </c>
      <c r="AN110" s="0" t="str">
        <f aca="false">IF(AND($B110="D06",$C110="G1"),AN109&amp;IF(AN109="","",CHAR(10))&amp;$A110,AN109)</f>
        <v/>
      </c>
      <c r="AO110" s="0" t="str">
        <f aca="false">IF(AND($B110="D06",$C110="G2"),AO109&amp;IF(AO109="","",CHAR(10))&amp;$A110,AO109)</f>
        <v/>
      </c>
      <c r="AP110" s="363" t="str">
        <f aca="false">IF(AND($B110="D06",$C110="G3"),AP109&amp;IF(AP109="","",CHAR(10))&amp;$A110,AP109)</f>
        <v>◐ 033 HIS／EMR核心平台
◐ 036 臨床術語與主資料治理</v>
      </c>
      <c r="AQ110" s="363" t="str">
        <f aca="false">IF(AND($B110="D06",$C110="G4"),AQ109&amp;IF(AQ109="","",CHAR(10))&amp;$A110,AQ109)</f>
        <v>◐ 034 FHIR介接與API管理
○ 035 主病人索引與身分整合
◐ 037 電子醫囑、用藥與決策支援
◐ 038 資料平台、BI與營運指揮</v>
      </c>
      <c r="AR110" s="0" t="str">
        <f aca="false">IF(AND($B110="D06",$C110="G5"),AR109&amp;IF(AR109="","",CHAR(10))&amp;$A110,AR109)</f>
        <v>○ 039 病人入口、行動服務與VNeID準備</v>
      </c>
      <c r="AS110" s="0" t="str">
        <f aca="false">IF(AND($B110="D06",$C110="G6"),AS109&amp;IF(AS109="","",CHAR(10))&amp;$A110,AS109)</f>
        <v/>
      </c>
      <c r="AT110" s="0" t="str">
        <f aca="false">IF(AND($B110="D07",$C110="G0"),AT109&amp;IF(AT109="","",CHAR(10))&amp;$A110,AT109)</f>
        <v/>
      </c>
      <c r="AU110" s="0" t="str">
        <f aca="false">IF(AND($B110="D07",$C110="G1"),AU109&amp;IF(AU109="","",CHAR(10))&amp;$A110,AU109)</f>
        <v/>
      </c>
      <c r="AV110" s="0" t="str">
        <f aca="false">IF(AND($B110="D07",$C110="G2"),AV109&amp;IF(AV109="","",CHAR(10))&amp;$A110,AV109)</f>
        <v>◐ 040 品質管理與JCI路線圖</v>
      </c>
      <c r="AW110" s="363" t="str">
        <f aca="false">IF(AND($B110="D07",$C110="G3"),AW109&amp;IF(AW109="","",CHAR(10))&amp;$A110,AW109)</f>
        <v>◐ 041 感染預防與控制制度
◐ 043 事件通報與根因改善</v>
      </c>
      <c r="AX110" s="0" t="str">
        <f aca="false">IF(AND($B110="D07",$C110="G4"),AX109&amp;IF(AX109="","",CHAR(10))&amp;$A110,AX109)</f>
        <v>◐ 042 用藥安全閉環</v>
      </c>
      <c r="AY110" s="0" t="str">
        <f aca="false">IF(AND($B110="D07",$C110="G5"),AY109&amp;IF(AY109="","",CHAR(10))&amp;$A110,AY109)</f>
        <v>◐ 044 開院臨床安全驗證</v>
      </c>
      <c r="AZ110" s="0" t="str">
        <f aca="false">IF(AND($B110="D07",$C110="G6"),AZ109&amp;IF(AZ109="","",CHAR(10))&amp;$A110,AZ109)</f>
        <v/>
      </c>
      <c r="BA110" s="0" t="str">
        <f aca="false">IF(AND($B110="D08",$C110="G0"),BA109&amp;IF(BA109="","",CHAR(10))&amp;$A110,BA109)</f>
        <v/>
      </c>
      <c r="BB110" s="0" t="str">
        <f aca="false">IF(AND($B110="D08",$C110="G1"),BB109&amp;IF(BB109="","",CHAR(10))&amp;$A110,BB109)</f>
        <v/>
      </c>
      <c r="BC110" s="0" t="str">
        <f aca="false">IF(AND($B110="D08",$C110="G2"),BC109&amp;IF(BC109="","",CHAR(10))&amp;$A110,BC109)</f>
        <v>○ 045 人力與輪班模型</v>
      </c>
      <c r="BD110" s="0" t="str">
        <f aca="false">IF(AND($B110="D08",$C110="G3"),BD109&amp;IF(BD109="","",CHAR(10))&amp;$A110,BD109)</f>
        <v>◐ 046 職能矩陣與授權</v>
      </c>
      <c r="BE110" s="363" t="str">
        <f aca="false">IF(AND($B110="D08",$C110="G4"),BE109&amp;IF(BE109="","",CHAR(10))&amp;$A110,BE109)</f>
        <v>◐ 047 種子教師與技術移轉
◐ 049 變革管理與使用者採納</v>
      </c>
      <c r="BF110" s="0" t="str">
        <f aca="false">IF(AND($B110="D08",$C110="G5"),BF109&amp;IF(BF109="","",CHAR(10))&amp;$A110,BF109)</f>
        <v>◐ 048 模擬中心與開院演練</v>
      </c>
      <c r="BG110" s="0" t="str">
        <f aca="false">IF(AND($B110="D08",$C110="G6"),BG109&amp;IF(BG109="","",CHAR(10))&amp;$A110,BG109)</f>
        <v/>
      </c>
      <c r="BH110" s="0" t="str">
        <f aca="false">IF(AND($B110="D09",$C110="G0"),BH109&amp;IF(BH109="","",CHAR(10))&amp;$A110,BH109)</f>
        <v/>
      </c>
      <c r="BI110" s="0" t="str">
        <f aca="false">IF(AND($B110="D09",$C110="G1"),BI109&amp;IF(BI109="","",CHAR(10))&amp;$A110,BI109)</f>
        <v/>
      </c>
      <c r="BJ110" s="0" t="str">
        <f aca="false">IF(AND($B110="D09",$C110="G2"),BJ109&amp;IF(BJ109="","",CHAR(10))&amp;$A110,BJ109)</f>
        <v>◐ 050 整合採購與供應商治理</v>
      </c>
      <c r="BK110" s="0" t="str">
        <f aca="false">IF(AND($B110="D09",$C110="G3"),BK109&amp;IF(BK109="","",CHAR(10))&amp;$A110,BK109)</f>
        <v/>
      </c>
      <c r="BL110" s="363" t="str">
        <f aca="false">IF(AND($B110="D09",$C110="G4"),BL109&amp;IF(BL109="","",CHAR(10))&amp;$A110,BL109)</f>
        <v>◐ 051 藥品耗材與SPD物流
◐ 052 冷鏈與特殊物料
● 053 CMMS與設施維運</v>
      </c>
      <c r="BM110" s="0" t="str">
        <f aca="false">IF(AND($B110="D09",$C110="G5"),BM109&amp;IF(BM109="","",CHAR(10))&amp;$A110,BM109)</f>
        <v>◐ 054 在地備品、維修與汰換</v>
      </c>
      <c r="BN110" s="0" t="str">
        <f aca="false">IF(AND($B110="D09",$C110="G6"),BN109&amp;IF(BN109="","",CHAR(10))&amp;$A110,BN109)</f>
        <v/>
      </c>
      <c r="BO110" s="0" t="str">
        <f aca="false">IF(AND($B110="D10",$C110="G0"),BO109&amp;IF(BO109="","",CHAR(10))&amp;$A110,BO109)</f>
        <v/>
      </c>
      <c r="BP110" s="0" t="str">
        <f aca="false">IF(AND($B110="D10",$C110="G1"),BP109&amp;IF(BP109="","",CHAR(10))&amp;$A110,BP109)</f>
        <v>◐ 055 全生命週期成本模型</v>
      </c>
      <c r="BQ110" s="0" t="str">
        <f aca="false">IF(AND($B110="D10",$C110="G2"),BQ109&amp;IF(BQ109="","",CHAR(10))&amp;$A110,BQ109)</f>
        <v>◐ 059 PPP／JV財務與風險分配</v>
      </c>
      <c r="BR110" s="0" t="str">
        <f aca="false">IF(AND($B110="D10",$C110="G3"),BR109&amp;IF(BR109="","",CHAR(10))&amp;$A110,BR109)</f>
        <v/>
      </c>
      <c r="BS110" s="363" t="str">
        <f aca="false">IF(AND($B110="D10",$C110="G4"),BS109&amp;IF(BS109="","",CHAR(10))&amp;$A110,BS109)</f>
        <v>○ 056 健保申報與數位理賠
○ 057 現金流、支付與收入週期</v>
      </c>
      <c r="BT110" s="0" t="str">
        <f aca="false">IF(AND($B110="D10",$C110="G5"),BT109&amp;IF(BT109="","",CHAR(10))&amp;$A110,BT109)</f>
        <v>○ 058 國際醫療與高價值服務</v>
      </c>
      <c r="BU110" s="0" t="str">
        <f aca="false">IF(AND($B110="D10",$C110="G6"),BU109&amp;IF(BU109="","",CHAR(10))&amp;$A110,BU109)</f>
        <v>◐ 060 效益實現與複製藍圖</v>
      </c>
      <c r="BX110" s="0" t="str">
        <f aca="false">IF(AND(03_能力總表_Master!$A110&lt;&gt;"",LEFT(03_能力總表_Master!$H110,2)="缺口"),MAX($BX$4:BX109)+1,"")</f>
        <v/>
      </c>
      <c r="BY110" s="0" t="str">
        <f aca="false">IF(AND(03_能力總表_Master!$A110&lt;&gt;"",03_能力總表_Master!$J110=12_夥伴視角_PartnerView!$C$4),MAX($BY$4:BY109)+1,"")</f>
        <v/>
      </c>
      <c r="CC110" s="0" t="str">
        <f aca="false">IF(AND(03_能力總表_Master!$A110&lt;&gt;"",IFERROR(INDEX(16_能力商機矩陣_CapOppMap!$D110:$CO110,MATCH(LEFT(17_商機作戰卡_OppView!$C$4,6),16_能力商機矩陣_CapOppMap!$D$4:$CO$4,0)),"")="✓"),MAX($CC$4:CC109)+1,"")</f>
        <v/>
      </c>
    </row>
    <row r="111" customFormat="false" ht="95.5" hidden="false" customHeight="false" outlineLevel="0" collapsed="false">
      <c r="A111" s="0" t="str">
        <f aca="false">IF(03_能力總表_Master!$A111="","",IF(LEFT(03_能力總表_Master!$H111,2)="群晶","● ",IF(ISNUMBER(SEARCH("已確認",03_能力總表_Master!$H111)),"◆ ",IF(ISNUMBER(SEARCH("缺口",03_能力總表_Master!$H111)),"○ ","◐ ")))&amp;RIGHT(03_能力總表_Master!$A111,3)&amp;" "&amp;03_能力總表_Master!$E111)</f>
        <v/>
      </c>
      <c r="B111" s="0" t="str">
        <f aca="false">IF(03_能力總表_Master!$A111="","",LEFT(03_能力總表_Master!$B111,3))</f>
        <v/>
      </c>
      <c r="C111" s="0" t="str">
        <f aca="false">IF(03_能力總表_Master!$A111="","",03_能力總表_Master!$C111)</f>
        <v/>
      </c>
      <c r="D111" s="363" t="str">
        <f aca="false">IF(AND($B111="D01",$C111="G0"),D110&amp;IF(D110="","",CHAR(10))&amp;$A111,D110)</f>
        <v>◐ 001 政府授權與計畫章程
◐ 002 利害關係人與權力地圖
◐ 005 聯盟治理與利益衝突</v>
      </c>
      <c r="E111" s="363" t="str">
        <f aca="false">IF(AND($B111="D01",$C111="G1"),E110&amp;IF(E110="","",CHAR(10))&amp;$A111,E110)</f>
        <v>◐ 003 交易模式選擇
◐ 004 法規與執照路徑</v>
      </c>
      <c r="F111" s="0" t="str">
        <f aca="false">IF(AND($B111="D01",$C111="G2"),F110&amp;IF(F110="","",CHAR(10))&amp;$A111,F110)</f>
        <v>◐ 006 績效契約與變更控制</v>
      </c>
      <c r="G111" s="0" t="str">
        <f aca="false">IF(AND($B111="D01",$C111="G3"),G110&amp;IF(G110="","",CHAR(10))&amp;$A111,G110)</f>
        <v/>
      </c>
      <c r="H111" s="0" t="str">
        <f aca="false">IF(AND($B111="D01",$C111="G4"),H110&amp;IF(H110="","",CHAR(10))&amp;$A111,H110)</f>
        <v/>
      </c>
      <c r="I111" s="0" t="str">
        <f aca="false">IF(AND($B111="D01",$C111="G5"),I110&amp;IF(I110="","",CHAR(10))&amp;$A111,I110)</f>
        <v/>
      </c>
      <c r="J111" s="0" t="str">
        <f aca="false">IF(AND($B111="D01",$C111="G6"),J110&amp;IF(J110="","",CHAR(10))&amp;$A111,J110)</f>
        <v/>
      </c>
      <c r="K111" s="0" t="str">
        <f aca="false">IF(AND($B111="D02",$C111="G0"),K110&amp;IF(K110="","",CHAR(10))&amp;$A111,K110)</f>
        <v/>
      </c>
      <c r="L111" s="363" t="str">
        <f aca="false">IF(AND($B111="D02",$C111="G1"),L110&amp;IF(L110="","",CHAR(10))&amp;$A111,L110)</f>
        <v>◐ 007 人口需求與病例量預測
◐ 008 醫院定位與服務組合
◐ 009 重點專科優先化
◐ 010 病人流程與容量設計
◐ 011 轉診與區域照護網絡
◐ 012 臨床治理與責任架構</v>
      </c>
      <c r="M111" s="0" t="str">
        <f aca="false">IF(AND($B111="D02",$C111="G2"),M110&amp;IF(M110="","",CHAR(10))&amp;$A111,M110)</f>
        <v/>
      </c>
      <c r="N111" s="0" t="str">
        <f aca="false">IF(AND($B111="D02",$C111="G3"),N110&amp;IF(N110="","",CHAR(10))&amp;$A111,N110)</f>
        <v/>
      </c>
      <c r="O111" s="0" t="str">
        <f aca="false">IF(AND($B111="D02",$C111="G4"),O110&amp;IF(O110="","",CHAR(10))&amp;$A111,O110)</f>
        <v/>
      </c>
      <c r="P111" s="0" t="str">
        <f aca="false">IF(AND($B111="D02",$C111="G5"),P110&amp;IF(P110="","",CHAR(10))&amp;$A111,P110)</f>
        <v/>
      </c>
      <c r="Q111" s="0" t="str">
        <f aca="false">IF(AND($B111="D02",$C111="G6"),Q110&amp;IF(Q110="","",CHAR(10))&amp;$A111,Q110)</f>
        <v/>
      </c>
      <c r="R111" s="0" t="str">
        <f aca="false">IF(AND($B111="D03",$C111="G0"),R110&amp;IF(R110="","",CHAR(10))&amp;$A111,R110)</f>
        <v/>
      </c>
      <c r="S111" s="0" t="str">
        <f aca="false">IF(AND($B111="D03",$C111="G1"),S110&amp;IF(S110="","",CHAR(10))&amp;$A111,S110)</f>
        <v>◐ 013 場址與醫院總體規劃</v>
      </c>
      <c r="T111" s="363" t="str">
        <f aca="false">IF(AND($B111="D03",$C111="G2"),T110&amp;IF(T110="","",CHAR(10))&amp;$A111,T110)</f>
        <v>◐ 014 醫療建築功能計畫
◐ 015 感染控制與潔污動線
◐ 019 綠色與氣候韌性醫院</v>
      </c>
      <c r="U111" s="363" t="str">
        <f aca="false">IF(AND($B111="D03",$C111="G3"),U110&amp;IF(U110="","",CHAR(10))&amp;$A111,U110)</f>
        <v>● 016 電力、備援與微電網
◐ 017 醫療氣體與關鍵公用系統
◐ 018 醫療廢棄物與水資源</v>
      </c>
      <c r="V111" s="0" t="str">
        <f aca="false">IF(AND($B111="D03",$C111="G4"),V110&amp;IF(V110="","",CHAR(10))&amp;$A111,V110)</f>
        <v/>
      </c>
      <c r="W111" s="0" t="str">
        <f aca="false">IF(AND($B111="D03",$C111="G5"),W110&amp;IF(W110="","",CHAR(10))&amp;$A111,W110)</f>
        <v/>
      </c>
      <c r="X111" s="0" t="str">
        <f aca="false">IF(AND($B111="D03",$C111="G6"),X110&amp;IF(X110="","",CHAR(10))&amp;$A111,X110)</f>
        <v/>
      </c>
      <c r="Y111" s="0" t="str">
        <f aca="false">IF(AND($B111="D04",$C111="G0"),Y110&amp;IF(Y110="","",CHAR(10))&amp;$A111,Y110)</f>
        <v/>
      </c>
      <c r="Z111" s="0" t="str">
        <f aca="false">IF(AND($B111="D04",$C111="G1"),Z110&amp;IF(Z110="","",CHAR(10))&amp;$A111,Z110)</f>
        <v/>
      </c>
      <c r="AA111" s="0" t="str">
        <f aca="false">IF(AND($B111="D04",$C111="G2"),AA110&amp;IF(AA110="","",CHAR(10))&amp;$A111,AA110)</f>
        <v/>
      </c>
      <c r="AB111" s="0" t="str">
        <f aca="false">IF(AND($B111="D04",$C111="G3"),AB110&amp;IF(AB110="","",CHAR(10))&amp;$A111,AB110)</f>
        <v>● 020 IDC與邊緣運算底座</v>
      </c>
      <c r="AC111" s="363" t="str">
        <f aca="false">IF(AND($B111="D04",$C111="G4"),AC110&amp;IF(AC110="","",CHAR(10))&amp;$A111,AC110)</f>
        <v>● 021 有線無線網路與分區
◐ 022 資安營運與零信任
● 023 BMS與能源管理
● 024 RTLS與資產／人員定位
● 025 智慧病房、護理呼叫與感測
● 026 災難復原與營運持續</v>
      </c>
      <c r="AD111" s="0" t="str">
        <f aca="false">IF(AND($B111="D04",$C111="G5"),AD110&amp;IF(AD110="","",CHAR(10))&amp;$A111,AD110)</f>
        <v/>
      </c>
      <c r="AE111" s="0" t="str">
        <f aca="false">IF(AND($B111="D04",$C111="G6"),AE110&amp;IF(AE110="","",CHAR(10))&amp;$A111,AE110)</f>
        <v/>
      </c>
      <c r="AF111" s="0" t="str">
        <f aca="false">IF(AND($B111="D05",$C111="G0"),AF110&amp;IF(AF110="","",CHAR(10))&amp;$A111,AF110)</f>
        <v/>
      </c>
      <c r="AG111" s="0" t="str">
        <f aca="false">IF(AND($B111="D05",$C111="G1"),AG110&amp;IF(AG110="","",CHAR(10))&amp;$A111,AG110)</f>
        <v/>
      </c>
      <c r="AH111" s="0" t="str">
        <f aca="false">IF(AND($B111="D05",$C111="G2"),AH110&amp;IF(AH110="","",CHAR(10))&amp;$A111,AH110)</f>
        <v>◐ 027 醫材需求與設備計畫</v>
      </c>
      <c r="AI111" s="0" t="str">
        <f aca="false">IF(AND($B111="D05",$C111="G3"),AI110&amp;IF(AI110="","",CHAR(10))&amp;$A111,AI110)</f>
        <v/>
      </c>
      <c r="AJ111" s="363" t="str">
        <f aca="false">IF(AND($B111="D05",$C111="G4"),AJ110&amp;IF(AJ110="","",CHAR(10))&amp;$A111,AJ110)</f>
        <v>○ 028 影像設備、PACS與報告流程
○ 029 實驗室自動化與LIS
○ 030 手術室與重症整合
◐ 031 醫材介接與裝置身分
◐ 032 醫療工程與設備生命週期</v>
      </c>
      <c r="AK111" s="0" t="str">
        <f aca="false">IF(AND($B111="D05",$C111="G5"),AK110&amp;IF(AK110="","",CHAR(10))&amp;$A111,AK110)</f>
        <v/>
      </c>
      <c r="AL111" s="0" t="str">
        <f aca="false">IF(AND($B111="D05",$C111="G6"),AL110&amp;IF(AL110="","",CHAR(10))&amp;$A111,AL110)</f>
        <v/>
      </c>
      <c r="AM111" s="0" t="str">
        <f aca="false">IF(AND($B111="D06",$C111="G0"),AM110&amp;IF(AM110="","",CHAR(10))&amp;$A111,AM110)</f>
        <v/>
      </c>
      <c r="AN111" s="0" t="str">
        <f aca="false">IF(AND($B111="D06",$C111="G1"),AN110&amp;IF(AN110="","",CHAR(10))&amp;$A111,AN110)</f>
        <v/>
      </c>
      <c r="AO111" s="0" t="str">
        <f aca="false">IF(AND($B111="D06",$C111="G2"),AO110&amp;IF(AO110="","",CHAR(10))&amp;$A111,AO110)</f>
        <v/>
      </c>
      <c r="AP111" s="363" t="str">
        <f aca="false">IF(AND($B111="D06",$C111="G3"),AP110&amp;IF(AP110="","",CHAR(10))&amp;$A111,AP110)</f>
        <v>◐ 033 HIS／EMR核心平台
◐ 036 臨床術語與主資料治理</v>
      </c>
      <c r="AQ111" s="363" t="str">
        <f aca="false">IF(AND($B111="D06",$C111="G4"),AQ110&amp;IF(AQ110="","",CHAR(10))&amp;$A111,AQ110)</f>
        <v>◐ 034 FHIR介接與API管理
○ 035 主病人索引與身分整合
◐ 037 電子醫囑、用藥與決策支援
◐ 038 資料平台、BI與營運指揮</v>
      </c>
      <c r="AR111" s="0" t="str">
        <f aca="false">IF(AND($B111="D06",$C111="G5"),AR110&amp;IF(AR110="","",CHAR(10))&amp;$A111,AR110)</f>
        <v>○ 039 病人入口、行動服務與VNeID準備</v>
      </c>
      <c r="AS111" s="0" t="str">
        <f aca="false">IF(AND($B111="D06",$C111="G6"),AS110&amp;IF(AS110="","",CHAR(10))&amp;$A111,AS110)</f>
        <v/>
      </c>
      <c r="AT111" s="0" t="str">
        <f aca="false">IF(AND($B111="D07",$C111="G0"),AT110&amp;IF(AT110="","",CHAR(10))&amp;$A111,AT110)</f>
        <v/>
      </c>
      <c r="AU111" s="0" t="str">
        <f aca="false">IF(AND($B111="D07",$C111="G1"),AU110&amp;IF(AU110="","",CHAR(10))&amp;$A111,AU110)</f>
        <v/>
      </c>
      <c r="AV111" s="0" t="str">
        <f aca="false">IF(AND($B111="D07",$C111="G2"),AV110&amp;IF(AV110="","",CHAR(10))&amp;$A111,AV110)</f>
        <v>◐ 040 品質管理與JCI路線圖</v>
      </c>
      <c r="AW111" s="363" t="str">
        <f aca="false">IF(AND($B111="D07",$C111="G3"),AW110&amp;IF(AW110="","",CHAR(10))&amp;$A111,AW110)</f>
        <v>◐ 041 感染預防與控制制度
◐ 043 事件通報與根因改善</v>
      </c>
      <c r="AX111" s="0" t="str">
        <f aca="false">IF(AND($B111="D07",$C111="G4"),AX110&amp;IF(AX110="","",CHAR(10))&amp;$A111,AX110)</f>
        <v>◐ 042 用藥安全閉環</v>
      </c>
      <c r="AY111" s="0" t="str">
        <f aca="false">IF(AND($B111="D07",$C111="G5"),AY110&amp;IF(AY110="","",CHAR(10))&amp;$A111,AY110)</f>
        <v>◐ 044 開院臨床安全驗證</v>
      </c>
      <c r="AZ111" s="0" t="str">
        <f aca="false">IF(AND($B111="D07",$C111="G6"),AZ110&amp;IF(AZ110="","",CHAR(10))&amp;$A111,AZ110)</f>
        <v/>
      </c>
      <c r="BA111" s="0" t="str">
        <f aca="false">IF(AND($B111="D08",$C111="G0"),BA110&amp;IF(BA110="","",CHAR(10))&amp;$A111,BA110)</f>
        <v/>
      </c>
      <c r="BB111" s="0" t="str">
        <f aca="false">IF(AND($B111="D08",$C111="G1"),BB110&amp;IF(BB110="","",CHAR(10))&amp;$A111,BB110)</f>
        <v/>
      </c>
      <c r="BC111" s="0" t="str">
        <f aca="false">IF(AND($B111="D08",$C111="G2"),BC110&amp;IF(BC110="","",CHAR(10))&amp;$A111,BC110)</f>
        <v>○ 045 人力與輪班模型</v>
      </c>
      <c r="BD111" s="0" t="str">
        <f aca="false">IF(AND($B111="D08",$C111="G3"),BD110&amp;IF(BD110="","",CHAR(10))&amp;$A111,BD110)</f>
        <v>◐ 046 職能矩陣與授權</v>
      </c>
      <c r="BE111" s="363" t="str">
        <f aca="false">IF(AND($B111="D08",$C111="G4"),BE110&amp;IF(BE110="","",CHAR(10))&amp;$A111,BE110)</f>
        <v>◐ 047 種子教師與技術移轉
◐ 049 變革管理與使用者採納</v>
      </c>
      <c r="BF111" s="0" t="str">
        <f aca="false">IF(AND($B111="D08",$C111="G5"),BF110&amp;IF(BF110="","",CHAR(10))&amp;$A111,BF110)</f>
        <v>◐ 048 模擬中心與開院演練</v>
      </c>
      <c r="BG111" s="0" t="str">
        <f aca="false">IF(AND($B111="D08",$C111="G6"),BG110&amp;IF(BG110="","",CHAR(10))&amp;$A111,BG110)</f>
        <v/>
      </c>
      <c r="BH111" s="0" t="str">
        <f aca="false">IF(AND($B111="D09",$C111="G0"),BH110&amp;IF(BH110="","",CHAR(10))&amp;$A111,BH110)</f>
        <v/>
      </c>
      <c r="BI111" s="0" t="str">
        <f aca="false">IF(AND($B111="D09",$C111="G1"),BI110&amp;IF(BI110="","",CHAR(10))&amp;$A111,BI110)</f>
        <v/>
      </c>
      <c r="BJ111" s="0" t="str">
        <f aca="false">IF(AND($B111="D09",$C111="G2"),BJ110&amp;IF(BJ110="","",CHAR(10))&amp;$A111,BJ110)</f>
        <v>◐ 050 整合採購與供應商治理</v>
      </c>
      <c r="BK111" s="0" t="str">
        <f aca="false">IF(AND($B111="D09",$C111="G3"),BK110&amp;IF(BK110="","",CHAR(10))&amp;$A111,BK110)</f>
        <v/>
      </c>
      <c r="BL111" s="363" t="str">
        <f aca="false">IF(AND($B111="D09",$C111="G4"),BL110&amp;IF(BL110="","",CHAR(10))&amp;$A111,BL110)</f>
        <v>◐ 051 藥品耗材與SPD物流
◐ 052 冷鏈與特殊物料
● 053 CMMS與設施維運</v>
      </c>
      <c r="BM111" s="0" t="str">
        <f aca="false">IF(AND($B111="D09",$C111="G5"),BM110&amp;IF(BM110="","",CHAR(10))&amp;$A111,BM110)</f>
        <v>◐ 054 在地備品、維修與汰換</v>
      </c>
      <c r="BN111" s="0" t="str">
        <f aca="false">IF(AND($B111="D09",$C111="G6"),BN110&amp;IF(BN110="","",CHAR(10))&amp;$A111,BN110)</f>
        <v/>
      </c>
      <c r="BO111" s="0" t="str">
        <f aca="false">IF(AND($B111="D10",$C111="G0"),BO110&amp;IF(BO110="","",CHAR(10))&amp;$A111,BO110)</f>
        <v/>
      </c>
      <c r="BP111" s="0" t="str">
        <f aca="false">IF(AND($B111="D10",$C111="G1"),BP110&amp;IF(BP110="","",CHAR(10))&amp;$A111,BP110)</f>
        <v>◐ 055 全生命週期成本模型</v>
      </c>
      <c r="BQ111" s="0" t="str">
        <f aca="false">IF(AND($B111="D10",$C111="G2"),BQ110&amp;IF(BQ110="","",CHAR(10))&amp;$A111,BQ110)</f>
        <v>◐ 059 PPP／JV財務與風險分配</v>
      </c>
      <c r="BR111" s="0" t="str">
        <f aca="false">IF(AND($B111="D10",$C111="G3"),BR110&amp;IF(BR110="","",CHAR(10))&amp;$A111,BR110)</f>
        <v/>
      </c>
      <c r="BS111" s="363" t="str">
        <f aca="false">IF(AND($B111="D10",$C111="G4"),BS110&amp;IF(BS110="","",CHAR(10))&amp;$A111,BS110)</f>
        <v>○ 056 健保申報與數位理賠
○ 057 現金流、支付與收入週期</v>
      </c>
      <c r="BT111" s="0" t="str">
        <f aca="false">IF(AND($B111="D10",$C111="G5"),BT110&amp;IF(BT110="","",CHAR(10))&amp;$A111,BT110)</f>
        <v>○ 058 國際醫療與高價值服務</v>
      </c>
      <c r="BU111" s="0" t="str">
        <f aca="false">IF(AND($B111="D10",$C111="G6"),BU110&amp;IF(BU110="","",CHAR(10))&amp;$A111,BU110)</f>
        <v>◐ 060 效益實現與複製藍圖</v>
      </c>
      <c r="BX111" s="0" t="str">
        <f aca="false">IF(AND(03_能力總表_Master!$A111&lt;&gt;"",LEFT(03_能力總表_Master!$H111,2)="缺口"),MAX($BX$4:BX110)+1,"")</f>
        <v/>
      </c>
      <c r="BY111" s="0" t="str">
        <f aca="false">IF(AND(03_能力總表_Master!$A111&lt;&gt;"",03_能力總表_Master!$J111=12_夥伴視角_PartnerView!$C$4),MAX($BY$4:BY110)+1,"")</f>
        <v/>
      </c>
      <c r="CC111" s="0" t="str">
        <f aca="false">IF(AND(03_能力總表_Master!$A111&lt;&gt;"",IFERROR(INDEX(16_能力商機矩陣_CapOppMap!$D111:$CO111,MATCH(LEFT(17_商機作戰卡_OppView!$C$4,6),16_能力商機矩陣_CapOppMap!$D$4:$CO$4,0)),"")="✓"),MAX($CC$4:CC110)+1,"")</f>
        <v/>
      </c>
    </row>
    <row r="112" customFormat="false" ht="95.5" hidden="false" customHeight="false" outlineLevel="0" collapsed="false">
      <c r="A112" s="0" t="str">
        <f aca="false">IF(03_能力總表_Master!$A112="","",IF(LEFT(03_能力總表_Master!$H112,2)="群晶","● ",IF(ISNUMBER(SEARCH("已確認",03_能力總表_Master!$H112)),"◆ ",IF(ISNUMBER(SEARCH("缺口",03_能力總表_Master!$H112)),"○ ","◐ ")))&amp;RIGHT(03_能力總表_Master!$A112,3)&amp;" "&amp;03_能力總表_Master!$E112)</f>
        <v/>
      </c>
      <c r="B112" s="0" t="str">
        <f aca="false">IF(03_能力總表_Master!$A112="","",LEFT(03_能力總表_Master!$B112,3))</f>
        <v/>
      </c>
      <c r="C112" s="0" t="str">
        <f aca="false">IF(03_能力總表_Master!$A112="","",03_能力總表_Master!$C112)</f>
        <v/>
      </c>
      <c r="D112" s="363" t="str">
        <f aca="false">IF(AND($B112="D01",$C112="G0"),D111&amp;IF(D111="","",CHAR(10))&amp;$A112,D111)</f>
        <v>◐ 001 政府授權與計畫章程
◐ 002 利害關係人與權力地圖
◐ 005 聯盟治理與利益衝突</v>
      </c>
      <c r="E112" s="363" t="str">
        <f aca="false">IF(AND($B112="D01",$C112="G1"),E111&amp;IF(E111="","",CHAR(10))&amp;$A112,E111)</f>
        <v>◐ 003 交易模式選擇
◐ 004 法規與執照路徑</v>
      </c>
      <c r="F112" s="0" t="str">
        <f aca="false">IF(AND($B112="D01",$C112="G2"),F111&amp;IF(F111="","",CHAR(10))&amp;$A112,F111)</f>
        <v>◐ 006 績效契約與變更控制</v>
      </c>
      <c r="G112" s="0" t="str">
        <f aca="false">IF(AND($B112="D01",$C112="G3"),G111&amp;IF(G111="","",CHAR(10))&amp;$A112,G111)</f>
        <v/>
      </c>
      <c r="H112" s="0" t="str">
        <f aca="false">IF(AND($B112="D01",$C112="G4"),H111&amp;IF(H111="","",CHAR(10))&amp;$A112,H111)</f>
        <v/>
      </c>
      <c r="I112" s="0" t="str">
        <f aca="false">IF(AND($B112="D01",$C112="G5"),I111&amp;IF(I111="","",CHAR(10))&amp;$A112,I111)</f>
        <v/>
      </c>
      <c r="J112" s="0" t="str">
        <f aca="false">IF(AND($B112="D01",$C112="G6"),J111&amp;IF(J111="","",CHAR(10))&amp;$A112,J111)</f>
        <v/>
      </c>
      <c r="K112" s="0" t="str">
        <f aca="false">IF(AND($B112="D02",$C112="G0"),K111&amp;IF(K111="","",CHAR(10))&amp;$A112,K111)</f>
        <v/>
      </c>
      <c r="L112" s="363" t="str">
        <f aca="false">IF(AND($B112="D02",$C112="G1"),L111&amp;IF(L111="","",CHAR(10))&amp;$A112,L111)</f>
        <v>◐ 007 人口需求與病例量預測
◐ 008 醫院定位與服務組合
◐ 009 重點專科優先化
◐ 010 病人流程與容量設計
◐ 011 轉診與區域照護網絡
◐ 012 臨床治理與責任架構</v>
      </c>
      <c r="M112" s="0" t="str">
        <f aca="false">IF(AND($B112="D02",$C112="G2"),M111&amp;IF(M111="","",CHAR(10))&amp;$A112,M111)</f>
        <v/>
      </c>
      <c r="N112" s="0" t="str">
        <f aca="false">IF(AND($B112="D02",$C112="G3"),N111&amp;IF(N111="","",CHAR(10))&amp;$A112,N111)</f>
        <v/>
      </c>
      <c r="O112" s="0" t="str">
        <f aca="false">IF(AND($B112="D02",$C112="G4"),O111&amp;IF(O111="","",CHAR(10))&amp;$A112,O111)</f>
        <v/>
      </c>
      <c r="P112" s="0" t="str">
        <f aca="false">IF(AND($B112="D02",$C112="G5"),P111&amp;IF(P111="","",CHAR(10))&amp;$A112,P111)</f>
        <v/>
      </c>
      <c r="Q112" s="0" t="str">
        <f aca="false">IF(AND($B112="D02",$C112="G6"),Q111&amp;IF(Q111="","",CHAR(10))&amp;$A112,Q111)</f>
        <v/>
      </c>
      <c r="R112" s="0" t="str">
        <f aca="false">IF(AND($B112="D03",$C112="G0"),R111&amp;IF(R111="","",CHAR(10))&amp;$A112,R111)</f>
        <v/>
      </c>
      <c r="S112" s="0" t="str">
        <f aca="false">IF(AND($B112="D03",$C112="G1"),S111&amp;IF(S111="","",CHAR(10))&amp;$A112,S111)</f>
        <v>◐ 013 場址與醫院總體規劃</v>
      </c>
      <c r="T112" s="363" t="str">
        <f aca="false">IF(AND($B112="D03",$C112="G2"),T111&amp;IF(T111="","",CHAR(10))&amp;$A112,T111)</f>
        <v>◐ 014 醫療建築功能計畫
◐ 015 感染控制與潔污動線
◐ 019 綠色與氣候韌性醫院</v>
      </c>
      <c r="U112" s="363" t="str">
        <f aca="false">IF(AND($B112="D03",$C112="G3"),U111&amp;IF(U111="","",CHAR(10))&amp;$A112,U111)</f>
        <v>● 016 電力、備援與微電網
◐ 017 醫療氣體與關鍵公用系統
◐ 018 醫療廢棄物與水資源</v>
      </c>
      <c r="V112" s="0" t="str">
        <f aca="false">IF(AND($B112="D03",$C112="G4"),V111&amp;IF(V111="","",CHAR(10))&amp;$A112,V111)</f>
        <v/>
      </c>
      <c r="W112" s="0" t="str">
        <f aca="false">IF(AND($B112="D03",$C112="G5"),W111&amp;IF(W111="","",CHAR(10))&amp;$A112,W111)</f>
        <v/>
      </c>
      <c r="X112" s="0" t="str">
        <f aca="false">IF(AND($B112="D03",$C112="G6"),X111&amp;IF(X111="","",CHAR(10))&amp;$A112,X111)</f>
        <v/>
      </c>
      <c r="Y112" s="0" t="str">
        <f aca="false">IF(AND($B112="D04",$C112="G0"),Y111&amp;IF(Y111="","",CHAR(10))&amp;$A112,Y111)</f>
        <v/>
      </c>
      <c r="Z112" s="0" t="str">
        <f aca="false">IF(AND($B112="D04",$C112="G1"),Z111&amp;IF(Z111="","",CHAR(10))&amp;$A112,Z111)</f>
        <v/>
      </c>
      <c r="AA112" s="0" t="str">
        <f aca="false">IF(AND($B112="D04",$C112="G2"),AA111&amp;IF(AA111="","",CHAR(10))&amp;$A112,AA111)</f>
        <v/>
      </c>
      <c r="AB112" s="0" t="str">
        <f aca="false">IF(AND($B112="D04",$C112="G3"),AB111&amp;IF(AB111="","",CHAR(10))&amp;$A112,AB111)</f>
        <v>● 020 IDC與邊緣運算底座</v>
      </c>
      <c r="AC112" s="363" t="str">
        <f aca="false">IF(AND($B112="D04",$C112="G4"),AC111&amp;IF(AC111="","",CHAR(10))&amp;$A112,AC111)</f>
        <v>● 021 有線無線網路與分區
◐ 022 資安營運與零信任
● 023 BMS與能源管理
● 024 RTLS與資產／人員定位
● 025 智慧病房、護理呼叫與感測
● 026 災難復原與營運持續</v>
      </c>
      <c r="AD112" s="0" t="str">
        <f aca="false">IF(AND($B112="D04",$C112="G5"),AD111&amp;IF(AD111="","",CHAR(10))&amp;$A112,AD111)</f>
        <v/>
      </c>
      <c r="AE112" s="0" t="str">
        <f aca="false">IF(AND($B112="D04",$C112="G6"),AE111&amp;IF(AE111="","",CHAR(10))&amp;$A112,AE111)</f>
        <v/>
      </c>
      <c r="AF112" s="0" t="str">
        <f aca="false">IF(AND($B112="D05",$C112="G0"),AF111&amp;IF(AF111="","",CHAR(10))&amp;$A112,AF111)</f>
        <v/>
      </c>
      <c r="AG112" s="0" t="str">
        <f aca="false">IF(AND($B112="D05",$C112="G1"),AG111&amp;IF(AG111="","",CHAR(10))&amp;$A112,AG111)</f>
        <v/>
      </c>
      <c r="AH112" s="0" t="str">
        <f aca="false">IF(AND($B112="D05",$C112="G2"),AH111&amp;IF(AH111="","",CHAR(10))&amp;$A112,AH111)</f>
        <v>◐ 027 醫材需求與設備計畫</v>
      </c>
      <c r="AI112" s="0" t="str">
        <f aca="false">IF(AND($B112="D05",$C112="G3"),AI111&amp;IF(AI111="","",CHAR(10))&amp;$A112,AI111)</f>
        <v/>
      </c>
      <c r="AJ112" s="363" t="str">
        <f aca="false">IF(AND($B112="D05",$C112="G4"),AJ111&amp;IF(AJ111="","",CHAR(10))&amp;$A112,AJ111)</f>
        <v>○ 028 影像設備、PACS與報告流程
○ 029 實驗室自動化與LIS
○ 030 手術室與重症整合
◐ 031 醫材介接與裝置身分
◐ 032 醫療工程與設備生命週期</v>
      </c>
      <c r="AK112" s="0" t="str">
        <f aca="false">IF(AND($B112="D05",$C112="G5"),AK111&amp;IF(AK111="","",CHAR(10))&amp;$A112,AK111)</f>
        <v/>
      </c>
      <c r="AL112" s="0" t="str">
        <f aca="false">IF(AND($B112="D05",$C112="G6"),AL111&amp;IF(AL111="","",CHAR(10))&amp;$A112,AL111)</f>
        <v/>
      </c>
      <c r="AM112" s="0" t="str">
        <f aca="false">IF(AND($B112="D06",$C112="G0"),AM111&amp;IF(AM111="","",CHAR(10))&amp;$A112,AM111)</f>
        <v/>
      </c>
      <c r="AN112" s="0" t="str">
        <f aca="false">IF(AND($B112="D06",$C112="G1"),AN111&amp;IF(AN111="","",CHAR(10))&amp;$A112,AN111)</f>
        <v/>
      </c>
      <c r="AO112" s="0" t="str">
        <f aca="false">IF(AND($B112="D06",$C112="G2"),AO111&amp;IF(AO111="","",CHAR(10))&amp;$A112,AO111)</f>
        <v/>
      </c>
      <c r="AP112" s="363" t="str">
        <f aca="false">IF(AND($B112="D06",$C112="G3"),AP111&amp;IF(AP111="","",CHAR(10))&amp;$A112,AP111)</f>
        <v>◐ 033 HIS／EMR核心平台
◐ 036 臨床術語與主資料治理</v>
      </c>
      <c r="AQ112" s="363" t="str">
        <f aca="false">IF(AND($B112="D06",$C112="G4"),AQ111&amp;IF(AQ111="","",CHAR(10))&amp;$A112,AQ111)</f>
        <v>◐ 034 FHIR介接與API管理
○ 035 主病人索引與身分整合
◐ 037 電子醫囑、用藥與決策支援
◐ 038 資料平台、BI與營運指揮</v>
      </c>
      <c r="AR112" s="0" t="str">
        <f aca="false">IF(AND($B112="D06",$C112="G5"),AR111&amp;IF(AR111="","",CHAR(10))&amp;$A112,AR111)</f>
        <v>○ 039 病人入口、行動服務與VNeID準備</v>
      </c>
      <c r="AS112" s="0" t="str">
        <f aca="false">IF(AND($B112="D06",$C112="G6"),AS111&amp;IF(AS111="","",CHAR(10))&amp;$A112,AS111)</f>
        <v/>
      </c>
      <c r="AT112" s="0" t="str">
        <f aca="false">IF(AND($B112="D07",$C112="G0"),AT111&amp;IF(AT111="","",CHAR(10))&amp;$A112,AT111)</f>
        <v/>
      </c>
      <c r="AU112" s="0" t="str">
        <f aca="false">IF(AND($B112="D07",$C112="G1"),AU111&amp;IF(AU111="","",CHAR(10))&amp;$A112,AU111)</f>
        <v/>
      </c>
      <c r="AV112" s="0" t="str">
        <f aca="false">IF(AND($B112="D07",$C112="G2"),AV111&amp;IF(AV111="","",CHAR(10))&amp;$A112,AV111)</f>
        <v>◐ 040 品質管理與JCI路線圖</v>
      </c>
      <c r="AW112" s="363" t="str">
        <f aca="false">IF(AND($B112="D07",$C112="G3"),AW111&amp;IF(AW111="","",CHAR(10))&amp;$A112,AW111)</f>
        <v>◐ 041 感染預防與控制制度
◐ 043 事件通報與根因改善</v>
      </c>
      <c r="AX112" s="0" t="str">
        <f aca="false">IF(AND($B112="D07",$C112="G4"),AX111&amp;IF(AX111="","",CHAR(10))&amp;$A112,AX111)</f>
        <v>◐ 042 用藥安全閉環</v>
      </c>
      <c r="AY112" s="0" t="str">
        <f aca="false">IF(AND($B112="D07",$C112="G5"),AY111&amp;IF(AY111="","",CHAR(10))&amp;$A112,AY111)</f>
        <v>◐ 044 開院臨床安全驗證</v>
      </c>
      <c r="AZ112" s="0" t="str">
        <f aca="false">IF(AND($B112="D07",$C112="G6"),AZ111&amp;IF(AZ111="","",CHAR(10))&amp;$A112,AZ111)</f>
        <v/>
      </c>
      <c r="BA112" s="0" t="str">
        <f aca="false">IF(AND($B112="D08",$C112="G0"),BA111&amp;IF(BA111="","",CHAR(10))&amp;$A112,BA111)</f>
        <v/>
      </c>
      <c r="BB112" s="0" t="str">
        <f aca="false">IF(AND($B112="D08",$C112="G1"),BB111&amp;IF(BB111="","",CHAR(10))&amp;$A112,BB111)</f>
        <v/>
      </c>
      <c r="BC112" s="0" t="str">
        <f aca="false">IF(AND($B112="D08",$C112="G2"),BC111&amp;IF(BC111="","",CHAR(10))&amp;$A112,BC111)</f>
        <v>○ 045 人力與輪班模型</v>
      </c>
      <c r="BD112" s="0" t="str">
        <f aca="false">IF(AND($B112="D08",$C112="G3"),BD111&amp;IF(BD111="","",CHAR(10))&amp;$A112,BD111)</f>
        <v>◐ 046 職能矩陣與授權</v>
      </c>
      <c r="BE112" s="363" t="str">
        <f aca="false">IF(AND($B112="D08",$C112="G4"),BE111&amp;IF(BE111="","",CHAR(10))&amp;$A112,BE111)</f>
        <v>◐ 047 種子教師與技術移轉
◐ 049 變革管理與使用者採納</v>
      </c>
      <c r="BF112" s="0" t="str">
        <f aca="false">IF(AND($B112="D08",$C112="G5"),BF111&amp;IF(BF111="","",CHAR(10))&amp;$A112,BF111)</f>
        <v>◐ 048 模擬中心與開院演練</v>
      </c>
      <c r="BG112" s="0" t="str">
        <f aca="false">IF(AND($B112="D08",$C112="G6"),BG111&amp;IF(BG111="","",CHAR(10))&amp;$A112,BG111)</f>
        <v/>
      </c>
      <c r="BH112" s="0" t="str">
        <f aca="false">IF(AND($B112="D09",$C112="G0"),BH111&amp;IF(BH111="","",CHAR(10))&amp;$A112,BH111)</f>
        <v/>
      </c>
      <c r="BI112" s="0" t="str">
        <f aca="false">IF(AND($B112="D09",$C112="G1"),BI111&amp;IF(BI111="","",CHAR(10))&amp;$A112,BI111)</f>
        <v/>
      </c>
      <c r="BJ112" s="0" t="str">
        <f aca="false">IF(AND($B112="D09",$C112="G2"),BJ111&amp;IF(BJ111="","",CHAR(10))&amp;$A112,BJ111)</f>
        <v>◐ 050 整合採購與供應商治理</v>
      </c>
      <c r="BK112" s="0" t="str">
        <f aca="false">IF(AND($B112="D09",$C112="G3"),BK111&amp;IF(BK111="","",CHAR(10))&amp;$A112,BK111)</f>
        <v/>
      </c>
      <c r="BL112" s="363" t="str">
        <f aca="false">IF(AND($B112="D09",$C112="G4"),BL111&amp;IF(BL111="","",CHAR(10))&amp;$A112,BL111)</f>
        <v>◐ 051 藥品耗材與SPD物流
◐ 052 冷鏈與特殊物料
● 053 CMMS與設施維運</v>
      </c>
      <c r="BM112" s="0" t="str">
        <f aca="false">IF(AND($B112="D09",$C112="G5"),BM111&amp;IF(BM111="","",CHAR(10))&amp;$A112,BM111)</f>
        <v>◐ 054 在地備品、維修與汰換</v>
      </c>
      <c r="BN112" s="0" t="str">
        <f aca="false">IF(AND($B112="D09",$C112="G6"),BN111&amp;IF(BN111="","",CHAR(10))&amp;$A112,BN111)</f>
        <v/>
      </c>
      <c r="BO112" s="0" t="str">
        <f aca="false">IF(AND($B112="D10",$C112="G0"),BO111&amp;IF(BO111="","",CHAR(10))&amp;$A112,BO111)</f>
        <v/>
      </c>
      <c r="BP112" s="0" t="str">
        <f aca="false">IF(AND($B112="D10",$C112="G1"),BP111&amp;IF(BP111="","",CHAR(10))&amp;$A112,BP111)</f>
        <v>◐ 055 全生命週期成本模型</v>
      </c>
      <c r="BQ112" s="0" t="str">
        <f aca="false">IF(AND($B112="D10",$C112="G2"),BQ111&amp;IF(BQ111="","",CHAR(10))&amp;$A112,BQ111)</f>
        <v>◐ 059 PPP／JV財務與風險分配</v>
      </c>
      <c r="BR112" s="0" t="str">
        <f aca="false">IF(AND($B112="D10",$C112="G3"),BR111&amp;IF(BR111="","",CHAR(10))&amp;$A112,BR111)</f>
        <v/>
      </c>
      <c r="BS112" s="363" t="str">
        <f aca="false">IF(AND($B112="D10",$C112="G4"),BS111&amp;IF(BS111="","",CHAR(10))&amp;$A112,BS111)</f>
        <v>○ 056 健保申報與數位理賠
○ 057 現金流、支付與收入週期</v>
      </c>
      <c r="BT112" s="0" t="str">
        <f aca="false">IF(AND($B112="D10",$C112="G5"),BT111&amp;IF(BT111="","",CHAR(10))&amp;$A112,BT111)</f>
        <v>○ 058 國際醫療與高價值服務</v>
      </c>
      <c r="BU112" s="0" t="str">
        <f aca="false">IF(AND($B112="D10",$C112="G6"),BU111&amp;IF(BU111="","",CHAR(10))&amp;$A112,BU111)</f>
        <v>◐ 060 效益實現與複製藍圖</v>
      </c>
      <c r="BX112" s="0" t="str">
        <f aca="false">IF(AND(03_能力總表_Master!$A112&lt;&gt;"",LEFT(03_能力總表_Master!$H112,2)="缺口"),MAX($BX$4:BX111)+1,"")</f>
        <v/>
      </c>
      <c r="BY112" s="0" t="str">
        <f aca="false">IF(AND(03_能力總表_Master!$A112&lt;&gt;"",03_能力總表_Master!$J112=12_夥伴視角_PartnerView!$C$4),MAX($BY$4:BY111)+1,"")</f>
        <v/>
      </c>
      <c r="CC112" s="0" t="str">
        <f aca="false">IF(AND(03_能力總表_Master!$A112&lt;&gt;"",IFERROR(INDEX(16_能力商機矩陣_CapOppMap!$D112:$CO112,MATCH(LEFT(17_商機作戰卡_OppView!$C$4,6),16_能力商機矩陣_CapOppMap!$D$4:$CO$4,0)),"")="✓"),MAX($CC$4:CC111)+1,"")</f>
        <v/>
      </c>
    </row>
    <row r="113" customFormat="false" ht="95.5" hidden="false" customHeight="false" outlineLevel="0" collapsed="false">
      <c r="A113" s="0" t="str">
        <f aca="false">IF(03_能力總表_Master!$A113="","",IF(LEFT(03_能力總表_Master!$H113,2)="群晶","● ",IF(ISNUMBER(SEARCH("已確認",03_能力總表_Master!$H113)),"◆ ",IF(ISNUMBER(SEARCH("缺口",03_能力總表_Master!$H113)),"○ ","◐ ")))&amp;RIGHT(03_能力總表_Master!$A113,3)&amp;" "&amp;03_能力總表_Master!$E113)</f>
        <v/>
      </c>
      <c r="B113" s="0" t="str">
        <f aca="false">IF(03_能力總表_Master!$A113="","",LEFT(03_能力總表_Master!$B113,3))</f>
        <v/>
      </c>
      <c r="C113" s="0" t="str">
        <f aca="false">IF(03_能力總表_Master!$A113="","",03_能力總表_Master!$C113)</f>
        <v/>
      </c>
      <c r="D113" s="363" t="str">
        <f aca="false">IF(AND($B113="D01",$C113="G0"),D112&amp;IF(D112="","",CHAR(10))&amp;$A113,D112)</f>
        <v>◐ 001 政府授權與計畫章程
◐ 002 利害關係人與權力地圖
◐ 005 聯盟治理與利益衝突</v>
      </c>
      <c r="E113" s="363" t="str">
        <f aca="false">IF(AND($B113="D01",$C113="G1"),E112&amp;IF(E112="","",CHAR(10))&amp;$A113,E112)</f>
        <v>◐ 003 交易模式選擇
◐ 004 法規與執照路徑</v>
      </c>
      <c r="F113" s="0" t="str">
        <f aca="false">IF(AND($B113="D01",$C113="G2"),F112&amp;IF(F112="","",CHAR(10))&amp;$A113,F112)</f>
        <v>◐ 006 績效契約與變更控制</v>
      </c>
      <c r="G113" s="0" t="str">
        <f aca="false">IF(AND($B113="D01",$C113="G3"),G112&amp;IF(G112="","",CHAR(10))&amp;$A113,G112)</f>
        <v/>
      </c>
      <c r="H113" s="0" t="str">
        <f aca="false">IF(AND($B113="D01",$C113="G4"),H112&amp;IF(H112="","",CHAR(10))&amp;$A113,H112)</f>
        <v/>
      </c>
      <c r="I113" s="0" t="str">
        <f aca="false">IF(AND($B113="D01",$C113="G5"),I112&amp;IF(I112="","",CHAR(10))&amp;$A113,I112)</f>
        <v/>
      </c>
      <c r="J113" s="0" t="str">
        <f aca="false">IF(AND($B113="D01",$C113="G6"),J112&amp;IF(J112="","",CHAR(10))&amp;$A113,J112)</f>
        <v/>
      </c>
      <c r="K113" s="0" t="str">
        <f aca="false">IF(AND($B113="D02",$C113="G0"),K112&amp;IF(K112="","",CHAR(10))&amp;$A113,K112)</f>
        <v/>
      </c>
      <c r="L113" s="363" t="str">
        <f aca="false">IF(AND($B113="D02",$C113="G1"),L112&amp;IF(L112="","",CHAR(10))&amp;$A113,L112)</f>
        <v>◐ 007 人口需求與病例量預測
◐ 008 醫院定位與服務組合
◐ 009 重點專科優先化
◐ 010 病人流程與容量設計
◐ 011 轉診與區域照護網絡
◐ 012 臨床治理與責任架構</v>
      </c>
      <c r="M113" s="0" t="str">
        <f aca="false">IF(AND($B113="D02",$C113="G2"),M112&amp;IF(M112="","",CHAR(10))&amp;$A113,M112)</f>
        <v/>
      </c>
      <c r="N113" s="0" t="str">
        <f aca="false">IF(AND($B113="D02",$C113="G3"),N112&amp;IF(N112="","",CHAR(10))&amp;$A113,N112)</f>
        <v/>
      </c>
      <c r="O113" s="0" t="str">
        <f aca="false">IF(AND($B113="D02",$C113="G4"),O112&amp;IF(O112="","",CHAR(10))&amp;$A113,O112)</f>
        <v/>
      </c>
      <c r="P113" s="0" t="str">
        <f aca="false">IF(AND($B113="D02",$C113="G5"),P112&amp;IF(P112="","",CHAR(10))&amp;$A113,P112)</f>
        <v/>
      </c>
      <c r="Q113" s="0" t="str">
        <f aca="false">IF(AND($B113="D02",$C113="G6"),Q112&amp;IF(Q112="","",CHAR(10))&amp;$A113,Q112)</f>
        <v/>
      </c>
      <c r="R113" s="0" t="str">
        <f aca="false">IF(AND($B113="D03",$C113="G0"),R112&amp;IF(R112="","",CHAR(10))&amp;$A113,R112)</f>
        <v/>
      </c>
      <c r="S113" s="0" t="str">
        <f aca="false">IF(AND($B113="D03",$C113="G1"),S112&amp;IF(S112="","",CHAR(10))&amp;$A113,S112)</f>
        <v>◐ 013 場址與醫院總體規劃</v>
      </c>
      <c r="T113" s="363" t="str">
        <f aca="false">IF(AND($B113="D03",$C113="G2"),T112&amp;IF(T112="","",CHAR(10))&amp;$A113,T112)</f>
        <v>◐ 014 醫療建築功能計畫
◐ 015 感染控制與潔污動線
◐ 019 綠色與氣候韌性醫院</v>
      </c>
      <c r="U113" s="363" t="str">
        <f aca="false">IF(AND($B113="D03",$C113="G3"),U112&amp;IF(U112="","",CHAR(10))&amp;$A113,U112)</f>
        <v>● 016 電力、備援與微電網
◐ 017 醫療氣體與關鍵公用系統
◐ 018 醫療廢棄物與水資源</v>
      </c>
      <c r="V113" s="0" t="str">
        <f aca="false">IF(AND($B113="D03",$C113="G4"),V112&amp;IF(V112="","",CHAR(10))&amp;$A113,V112)</f>
        <v/>
      </c>
      <c r="W113" s="0" t="str">
        <f aca="false">IF(AND($B113="D03",$C113="G5"),W112&amp;IF(W112="","",CHAR(10))&amp;$A113,W112)</f>
        <v/>
      </c>
      <c r="X113" s="0" t="str">
        <f aca="false">IF(AND($B113="D03",$C113="G6"),X112&amp;IF(X112="","",CHAR(10))&amp;$A113,X112)</f>
        <v/>
      </c>
      <c r="Y113" s="0" t="str">
        <f aca="false">IF(AND($B113="D04",$C113="G0"),Y112&amp;IF(Y112="","",CHAR(10))&amp;$A113,Y112)</f>
        <v/>
      </c>
      <c r="Z113" s="0" t="str">
        <f aca="false">IF(AND($B113="D04",$C113="G1"),Z112&amp;IF(Z112="","",CHAR(10))&amp;$A113,Z112)</f>
        <v/>
      </c>
      <c r="AA113" s="0" t="str">
        <f aca="false">IF(AND($B113="D04",$C113="G2"),AA112&amp;IF(AA112="","",CHAR(10))&amp;$A113,AA112)</f>
        <v/>
      </c>
      <c r="AB113" s="0" t="str">
        <f aca="false">IF(AND($B113="D04",$C113="G3"),AB112&amp;IF(AB112="","",CHAR(10))&amp;$A113,AB112)</f>
        <v>● 020 IDC與邊緣運算底座</v>
      </c>
      <c r="AC113" s="363" t="str">
        <f aca="false">IF(AND($B113="D04",$C113="G4"),AC112&amp;IF(AC112="","",CHAR(10))&amp;$A113,AC112)</f>
        <v>● 021 有線無線網路與分區
◐ 022 資安營運與零信任
● 023 BMS與能源管理
● 024 RTLS與資產／人員定位
● 025 智慧病房、護理呼叫與感測
● 026 災難復原與營運持續</v>
      </c>
      <c r="AD113" s="0" t="str">
        <f aca="false">IF(AND($B113="D04",$C113="G5"),AD112&amp;IF(AD112="","",CHAR(10))&amp;$A113,AD112)</f>
        <v/>
      </c>
      <c r="AE113" s="0" t="str">
        <f aca="false">IF(AND($B113="D04",$C113="G6"),AE112&amp;IF(AE112="","",CHAR(10))&amp;$A113,AE112)</f>
        <v/>
      </c>
      <c r="AF113" s="0" t="str">
        <f aca="false">IF(AND($B113="D05",$C113="G0"),AF112&amp;IF(AF112="","",CHAR(10))&amp;$A113,AF112)</f>
        <v/>
      </c>
      <c r="AG113" s="0" t="str">
        <f aca="false">IF(AND($B113="D05",$C113="G1"),AG112&amp;IF(AG112="","",CHAR(10))&amp;$A113,AG112)</f>
        <v/>
      </c>
      <c r="AH113" s="0" t="str">
        <f aca="false">IF(AND($B113="D05",$C113="G2"),AH112&amp;IF(AH112="","",CHAR(10))&amp;$A113,AH112)</f>
        <v>◐ 027 醫材需求與設備計畫</v>
      </c>
      <c r="AI113" s="0" t="str">
        <f aca="false">IF(AND($B113="D05",$C113="G3"),AI112&amp;IF(AI112="","",CHAR(10))&amp;$A113,AI112)</f>
        <v/>
      </c>
      <c r="AJ113" s="363" t="str">
        <f aca="false">IF(AND($B113="D05",$C113="G4"),AJ112&amp;IF(AJ112="","",CHAR(10))&amp;$A113,AJ112)</f>
        <v>○ 028 影像設備、PACS與報告流程
○ 029 實驗室自動化與LIS
○ 030 手術室與重症整合
◐ 031 醫材介接與裝置身分
◐ 032 醫療工程與設備生命週期</v>
      </c>
      <c r="AK113" s="0" t="str">
        <f aca="false">IF(AND($B113="D05",$C113="G5"),AK112&amp;IF(AK112="","",CHAR(10))&amp;$A113,AK112)</f>
        <v/>
      </c>
      <c r="AL113" s="0" t="str">
        <f aca="false">IF(AND($B113="D05",$C113="G6"),AL112&amp;IF(AL112="","",CHAR(10))&amp;$A113,AL112)</f>
        <v/>
      </c>
      <c r="AM113" s="0" t="str">
        <f aca="false">IF(AND($B113="D06",$C113="G0"),AM112&amp;IF(AM112="","",CHAR(10))&amp;$A113,AM112)</f>
        <v/>
      </c>
      <c r="AN113" s="0" t="str">
        <f aca="false">IF(AND($B113="D06",$C113="G1"),AN112&amp;IF(AN112="","",CHAR(10))&amp;$A113,AN112)</f>
        <v/>
      </c>
      <c r="AO113" s="0" t="str">
        <f aca="false">IF(AND($B113="D06",$C113="G2"),AO112&amp;IF(AO112="","",CHAR(10))&amp;$A113,AO112)</f>
        <v/>
      </c>
      <c r="AP113" s="363" t="str">
        <f aca="false">IF(AND($B113="D06",$C113="G3"),AP112&amp;IF(AP112="","",CHAR(10))&amp;$A113,AP112)</f>
        <v>◐ 033 HIS／EMR核心平台
◐ 036 臨床術語與主資料治理</v>
      </c>
      <c r="AQ113" s="363" t="str">
        <f aca="false">IF(AND($B113="D06",$C113="G4"),AQ112&amp;IF(AQ112="","",CHAR(10))&amp;$A113,AQ112)</f>
        <v>◐ 034 FHIR介接與API管理
○ 035 主病人索引與身分整合
◐ 037 電子醫囑、用藥與決策支援
◐ 038 資料平台、BI與營運指揮</v>
      </c>
      <c r="AR113" s="0" t="str">
        <f aca="false">IF(AND($B113="D06",$C113="G5"),AR112&amp;IF(AR112="","",CHAR(10))&amp;$A113,AR112)</f>
        <v>○ 039 病人入口、行動服務與VNeID準備</v>
      </c>
      <c r="AS113" s="0" t="str">
        <f aca="false">IF(AND($B113="D06",$C113="G6"),AS112&amp;IF(AS112="","",CHAR(10))&amp;$A113,AS112)</f>
        <v/>
      </c>
      <c r="AT113" s="0" t="str">
        <f aca="false">IF(AND($B113="D07",$C113="G0"),AT112&amp;IF(AT112="","",CHAR(10))&amp;$A113,AT112)</f>
        <v/>
      </c>
      <c r="AU113" s="0" t="str">
        <f aca="false">IF(AND($B113="D07",$C113="G1"),AU112&amp;IF(AU112="","",CHAR(10))&amp;$A113,AU112)</f>
        <v/>
      </c>
      <c r="AV113" s="0" t="str">
        <f aca="false">IF(AND($B113="D07",$C113="G2"),AV112&amp;IF(AV112="","",CHAR(10))&amp;$A113,AV112)</f>
        <v>◐ 040 品質管理與JCI路線圖</v>
      </c>
      <c r="AW113" s="363" t="str">
        <f aca="false">IF(AND($B113="D07",$C113="G3"),AW112&amp;IF(AW112="","",CHAR(10))&amp;$A113,AW112)</f>
        <v>◐ 041 感染預防與控制制度
◐ 043 事件通報與根因改善</v>
      </c>
      <c r="AX113" s="0" t="str">
        <f aca="false">IF(AND($B113="D07",$C113="G4"),AX112&amp;IF(AX112="","",CHAR(10))&amp;$A113,AX112)</f>
        <v>◐ 042 用藥安全閉環</v>
      </c>
      <c r="AY113" s="0" t="str">
        <f aca="false">IF(AND($B113="D07",$C113="G5"),AY112&amp;IF(AY112="","",CHAR(10))&amp;$A113,AY112)</f>
        <v>◐ 044 開院臨床安全驗證</v>
      </c>
      <c r="AZ113" s="0" t="str">
        <f aca="false">IF(AND($B113="D07",$C113="G6"),AZ112&amp;IF(AZ112="","",CHAR(10))&amp;$A113,AZ112)</f>
        <v/>
      </c>
      <c r="BA113" s="0" t="str">
        <f aca="false">IF(AND($B113="D08",$C113="G0"),BA112&amp;IF(BA112="","",CHAR(10))&amp;$A113,BA112)</f>
        <v/>
      </c>
      <c r="BB113" s="0" t="str">
        <f aca="false">IF(AND($B113="D08",$C113="G1"),BB112&amp;IF(BB112="","",CHAR(10))&amp;$A113,BB112)</f>
        <v/>
      </c>
      <c r="BC113" s="0" t="str">
        <f aca="false">IF(AND($B113="D08",$C113="G2"),BC112&amp;IF(BC112="","",CHAR(10))&amp;$A113,BC112)</f>
        <v>○ 045 人力與輪班模型</v>
      </c>
      <c r="BD113" s="0" t="str">
        <f aca="false">IF(AND($B113="D08",$C113="G3"),BD112&amp;IF(BD112="","",CHAR(10))&amp;$A113,BD112)</f>
        <v>◐ 046 職能矩陣與授權</v>
      </c>
      <c r="BE113" s="363" t="str">
        <f aca="false">IF(AND($B113="D08",$C113="G4"),BE112&amp;IF(BE112="","",CHAR(10))&amp;$A113,BE112)</f>
        <v>◐ 047 種子教師與技術移轉
◐ 049 變革管理與使用者採納</v>
      </c>
      <c r="BF113" s="0" t="str">
        <f aca="false">IF(AND($B113="D08",$C113="G5"),BF112&amp;IF(BF112="","",CHAR(10))&amp;$A113,BF112)</f>
        <v>◐ 048 模擬中心與開院演練</v>
      </c>
      <c r="BG113" s="0" t="str">
        <f aca="false">IF(AND($B113="D08",$C113="G6"),BG112&amp;IF(BG112="","",CHAR(10))&amp;$A113,BG112)</f>
        <v/>
      </c>
      <c r="BH113" s="0" t="str">
        <f aca="false">IF(AND($B113="D09",$C113="G0"),BH112&amp;IF(BH112="","",CHAR(10))&amp;$A113,BH112)</f>
        <v/>
      </c>
      <c r="BI113" s="0" t="str">
        <f aca="false">IF(AND($B113="D09",$C113="G1"),BI112&amp;IF(BI112="","",CHAR(10))&amp;$A113,BI112)</f>
        <v/>
      </c>
      <c r="BJ113" s="0" t="str">
        <f aca="false">IF(AND($B113="D09",$C113="G2"),BJ112&amp;IF(BJ112="","",CHAR(10))&amp;$A113,BJ112)</f>
        <v>◐ 050 整合採購與供應商治理</v>
      </c>
      <c r="BK113" s="0" t="str">
        <f aca="false">IF(AND($B113="D09",$C113="G3"),BK112&amp;IF(BK112="","",CHAR(10))&amp;$A113,BK112)</f>
        <v/>
      </c>
      <c r="BL113" s="363" t="str">
        <f aca="false">IF(AND($B113="D09",$C113="G4"),BL112&amp;IF(BL112="","",CHAR(10))&amp;$A113,BL112)</f>
        <v>◐ 051 藥品耗材與SPD物流
◐ 052 冷鏈與特殊物料
● 053 CMMS與設施維運</v>
      </c>
      <c r="BM113" s="0" t="str">
        <f aca="false">IF(AND($B113="D09",$C113="G5"),BM112&amp;IF(BM112="","",CHAR(10))&amp;$A113,BM112)</f>
        <v>◐ 054 在地備品、維修與汰換</v>
      </c>
      <c r="BN113" s="0" t="str">
        <f aca="false">IF(AND($B113="D09",$C113="G6"),BN112&amp;IF(BN112="","",CHAR(10))&amp;$A113,BN112)</f>
        <v/>
      </c>
      <c r="BO113" s="0" t="str">
        <f aca="false">IF(AND($B113="D10",$C113="G0"),BO112&amp;IF(BO112="","",CHAR(10))&amp;$A113,BO112)</f>
        <v/>
      </c>
      <c r="BP113" s="0" t="str">
        <f aca="false">IF(AND($B113="D10",$C113="G1"),BP112&amp;IF(BP112="","",CHAR(10))&amp;$A113,BP112)</f>
        <v>◐ 055 全生命週期成本模型</v>
      </c>
      <c r="BQ113" s="0" t="str">
        <f aca="false">IF(AND($B113="D10",$C113="G2"),BQ112&amp;IF(BQ112="","",CHAR(10))&amp;$A113,BQ112)</f>
        <v>◐ 059 PPP／JV財務與風險分配</v>
      </c>
      <c r="BR113" s="0" t="str">
        <f aca="false">IF(AND($B113="D10",$C113="G3"),BR112&amp;IF(BR112="","",CHAR(10))&amp;$A113,BR112)</f>
        <v/>
      </c>
      <c r="BS113" s="363" t="str">
        <f aca="false">IF(AND($B113="D10",$C113="G4"),BS112&amp;IF(BS112="","",CHAR(10))&amp;$A113,BS112)</f>
        <v>○ 056 健保申報與數位理賠
○ 057 現金流、支付與收入週期</v>
      </c>
      <c r="BT113" s="0" t="str">
        <f aca="false">IF(AND($B113="D10",$C113="G5"),BT112&amp;IF(BT112="","",CHAR(10))&amp;$A113,BT112)</f>
        <v>○ 058 國際醫療與高價值服務</v>
      </c>
      <c r="BU113" s="0" t="str">
        <f aca="false">IF(AND($B113="D10",$C113="G6"),BU112&amp;IF(BU112="","",CHAR(10))&amp;$A113,BU112)</f>
        <v>◐ 060 效益實現與複製藍圖</v>
      </c>
      <c r="BX113" s="0" t="str">
        <f aca="false">IF(AND(03_能力總表_Master!$A113&lt;&gt;"",LEFT(03_能力總表_Master!$H113,2)="缺口"),MAX($BX$4:BX112)+1,"")</f>
        <v/>
      </c>
      <c r="BY113" s="0" t="str">
        <f aca="false">IF(AND(03_能力總表_Master!$A113&lt;&gt;"",03_能力總表_Master!$J113=12_夥伴視角_PartnerView!$C$4),MAX($BY$4:BY112)+1,"")</f>
        <v/>
      </c>
      <c r="CC113" s="0" t="str">
        <f aca="false">IF(AND(03_能力總表_Master!$A113&lt;&gt;"",IFERROR(INDEX(16_能力商機矩陣_CapOppMap!$D113:$CO113,MATCH(LEFT(17_商機作戰卡_OppView!$C$4,6),16_能力商機矩陣_CapOppMap!$D$4:$CO$4,0)),"")="✓"),MAX($CC$4:CC112)+1,"")</f>
        <v/>
      </c>
    </row>
    <row r="114" customFormat="false" ht="95.5" hidden="false" customHeight="false" outlineLevel="0" collapsed="false">
      <c r="A114" s="0" t="str">
        <f aca="false">IF(03_能力總表_Master!$A114="","",IF(LEFT(03_能力總表_Master!$H114,2)="群晶","● ",IF(ISNUMBER(SEARCH("已確認",03_能力總表_Master!$H114)),"◆ ",IF(ISNUMBER(SEARCH("缺口",03_能力總表_Master!$H114)),"○ ","◐ ")))&amp;RIGHT(03_能力總表_Master!$A114,3)&amp;" "&amp;03_能力總表_Master!$E114)</f>
        <v/>
      </c>
      <c r="B114" s="0" t="str">
        <f aca="false">IF(03_能力總表_Master!$A114="","",LEFT(03_能力總表_Master!$B114,3))</f>
        <v/>
      </c>
      <c r="C114" s="0" t="str">
        <f aca="false">IF(03_能力總表_Master!$A114="","",03_能力總表_Master!$C114)</f>
        <v/>
      </c>
      <c r="D114" s="363" t="str">
        <f aca="false">IF(AND($B114="D01",$C114="G0"),D113&amp;IF(D113="","",CHAR(10))&amp;$A114,D113)</f>
        <v>◐ 001 政府授權與計畫章程
◐ 002 利害關係人與權力地圖
◐ 005 聯盟治理與利益衝突</v>
      </c>
      <c r="E114" s="363" t="str">
        <f aca="false">IF(AND($B114="D01",$C114="G1"),E113&amp;IF(E113="","",CHAR(10))&amp;$A114,E113)</f>
        <v>◐ 003 交易模式選擇
◐ 004 法規與執照路徑</v>
      </c>
      <c r="F114" s="0" t="str">
        <f aca="false">IF(AND($B114="D01",$C114="G2"),F113&amp;IF(F113="","",CHAR(10))&amp;$A114,F113)</f>
        <v>◐ 006 績效契約與變更控制</v>
      </c>
      <c r="G114" s="0" t="str">
        <f aca="false">IF(AND($B114="D01",$C114="G3"),G113&amp;IF(G113="","",CHAR(10))&amp;$A114,G113)</f>
        <v/>
      </c>
      <c r="H114" s="0" t="str">
        <f aca="false">IF(AND($B114="D01",$C114="G4"),H113&amp;IF(H113="","",CHAR(10))&amp;$A114,H113)</f>
        <v/>
      </c>
      <c r="I114" s="0" t="str">
        <f aca="false">IF(AND($B114="D01",$C114="G5"),I113&amp;IF(I113="","",CHAR(10))&amp;$A114,I113)</f>
        <v/>
      </c>
      <c r="J114" s="0" t="str">
        <f aca="false">IF(AND($B114="D01",$C114="G6"),J113&amp;IF(J113="","",CHAR(10))&amp;$A114,J113)</f>
        <v/>
      </c>
      <c r="K114" s="0" t="str">
        <f aca="false">IF(AND($B114="D02",$C114="G0"),K113&amp;IF(K113="","",CHAR(10))&amp;$A114,K113)</f>
        <v/>
      </c>
      <c r="L114" s="363" t="str">
        <f aca="false">IF(AND($B114="D02",$C114="G1"),L113&amp;IF(L113="","",CHAR(10))&amp;$A114,L113)</f>
        <v>◐ 007 人口需求與病例量預測
◐ 008 醫院定位與服務組合
◐ 009 重點專科優先化
◐ 010 病人流程與容量設計
◐ 011 轉診與區域照護網絡
◐ 012 臨床治理與責任架構</v>
      </c>
      <c r="M114" s="0" t="str">
        <f aca="false">IF(AND($B114="D02",$C114="G2"),M113&amp;IF(M113="","",CHAR(10))&amp;$A114,M113)</f>
        <v/>
      </c>
      <c r="N114" s="0" t="str">
        <f aca="false">IF(AND($B114="D02",$C114="G3"),N113&amp;IF(N113="","",CHAR(10))&amp;$A114,N113)</f>
        <v/>
      </c>
      <c r="O114" s="0" t="str">
        <f aca="false">IF(AND($B114="D02",$C114="G4"),O113&amp;IF(O113="","",CHAR(10))&amp;$A114,O113)</f>
        <v/>
      </c>
      <c r="P114" s="0" t="str">
        <f aca="false">IF(AND($B114="D02",$C114="G5"),P113&amp;IF(P113="","",CHAR(10))&amp;$A114,P113)</f>
        <v/>
      </c>
      <c r="Q114" s="0" t="str">
        <f aca="false">IF(AND($B114="D02",$C114="G6"),Q113&amp;IF(Q113="","",CHAR(10))&amp;$A114,Q113)</f>
        <v/>
      </c>
      <c r="R114" s="0" t="str">
        <f aca="false">IF(AND($B114="D03",$C114="G0"),R113&amp;IF(R113="","",CHAR(10))&amp;$A114,R113)</f>
        <v/>
      </c>
      <c r="S114" s="0" t="str">
        <f aca="false">IF(AND($B114="D03",$C114="G1"),S113&amp;IF(S113="","",CHAR(10))&amp;$A114,S113)</f>
        <v>◐ 013 場址與醫院總體規劃</v>
      </c>
      <c r="T114" s="363" t="str">
        <f aca="false">IF(AND($B114="D03",$C114="G2"),T113&amp;IF(T113="","",CHAR(10))&amp;$A114,T113)</f>
        <v>◐ 014 醫療建築功能計畫
◐ 015 感染控制與潔污動線
◐ 019 綠色與氣候韌性醫院</v>
      </c>
      <c r="U114" s="363" t="str">
        <f aca="false">IF(AND($B114="D03",$C114="G3"),U113&amp;IF(U113="","",CHAR(10))&amp;$A114,U113)</f>
        <v>● 016 電力、備援與微電網
◐ 017 醫療氣體與關鍵公用系統
◐ 018 醫療廢棄物與水資源</v>
      </c>
      <c r="V114" s="0" t="str">
        <f aca="false">IF(AND($B114="D03",$C114="G4"),V113&amp;IF(V113="","",CHAR(10))&amp;$A114,V113)</f>
        <v/>
      </c>
      <c r="W114" s="0" t="str">
        <f aca="false">IF(AND($B114="D03",$C114="G5"),W113&amp;IF(W113="","",CHAR(10))&amp;$A114,W113)</f>
        <v/>
      </c>
      <c r="X114" s="0" t="str">
        <f aca="false">IF(AND($B114="D03",$C114="G6"),X113&amp;IF(X113="","",CHAR(10))&amp;$A114,X113)</f>
        <v/>
      </c>
      <c r="Y114" s="0" t="str">
        <f aca="false">IF(AND($B114="D04",$C114="G0"),Y113&amp;IF(Y113="","",CHAR(10))&amp;$A114,Y113)</f>
        <v/>
      </c>
      <c r="Z114" s="0" t="str">
        <f aca="false">IF(AND($B114="D04",$C114="G1"),Z113&amp;IF(Z113="","",CHAR(10))&amp;$A114,Z113)</f>
        <v/>
      </c>
      <c r="AA114" s="0" t="str">
        <f aca="false">IF(AND($B114="D04",$C114="G2"),AA113&amp;IF(AA113="","",CHAR(10))&amp;$A114,AA113)</f>
        <v/>
      </c>
      <c r="AB114" s="0" t="str">
        <f aca="false">IF(AND($B114="D04",$C114="G3"),AB113&amp;IF(AB113="","",CHAR(10))&amp;$A114,AB113)</f>
        <v>● 020 IDC與邊緣運算底座</v>
      </c>
      <c r="AC114" s="363" t="str">
        <f aca="false">IF(AND($B114="D04",$C114="G4"),AC113&amp;IF(AC113="","",CHAR(10))&amp;$A114,AC113)</f>
        <v>● 021 有線無線網路與分區
◐ 022 資安營運與零信任
● 023 BMS與能源管理
● 024 RTLS與資產／人員定位
● 025 智慧病房、護理呼叫與感測
● 026 災難復原與營運持續</v>
      </c>
      <c r="AD114" s="0" t="str">
        <f aca="false">IF(AND($B114="D04",$C114="G5"),AD113&amp;IF(AD113="","",CHAR(10))&amp;$A114,AD113)</f>
        <v/>
      </c>
      <c r="AE114" s="0" t="str">
        <f aca="false">IF(AND($B114="D04",$C114="G6"),AE113&amp;IF(AE113="","",CHAR(10))&amp;$A114,AE113)</f>
        <v/>
      </c>
      <c r="AF114" s="0" t="str">
        <f aca="false">IF(AND($B114="D05",$C114="G0"),AF113&amp;IF(AF113="","",CHAR(10))&amp;$A114,AF113)</f>
        <v/>
      </c>
      <c r="AG114" s="0" t="str">
        <f aca="false">IF(AND($B114="D05",$C114="G1"),AG113&amp;IF(AG113="","",CHAR(10))&amp;$A114,AG113)</f>
        <v/>
      </c>
      <c r="AH114" s="0" t="str">
        <f aca="false">IF(AND($B114="D05",$C114="G2"),AH113&amp;IF(AH113="","",CHAR(10))&amp;$A114,AH113)</f>
        <v>◐ 027 醫材需求與設備計畫</v>
      </c>
      <c r="AI114" s="0" t="str">
        <f aca="false">IF(AND($B114="D05",$C114="G3"),AI113&amp;IF(AI113="","",CHAR(10))&amp;$A114,AI113)</f>
        <v/>
      </c>
      <c r="AJ114" s="363" t="str">
        <f aca="false">IF(AND($B114="D05",$C114="G4"),AJ113&amp;IF(AJ113="","",CHAR(10))&amp;$A114,AJ113)</f>
        <v>○ 028 影像設備、PACS與報告流程
○ 029 實驗室自動化與LIS
○ 030 手術室與重症整合
◐ 031 醫材介接與裝置身分
◐ 032 醫療工程與設備生命週期</v>
      </c>
      <c r="AK114" s="0" t="str">
        <f aca="false">IF(AND($B114="D05",$C114="G5"),AK113&amp;IF(AK113="","",CHAR(10))&amp;$A114,AK113)</f>
        <v/>
      </c>
      <c r="AL114" s="0" t="str">
        <f aca="false">IF(AND($B114="D05",$C114="G6"),AL113&amp;IF(AL113="","",CHAR(10))&amp;$A114,AL113)</f>
        <v/>
      </c>
      <c r="AM114" s="0" t="str">
        <f aca="false">IF(AND($B114="D06",$C114="G0"),AM113&amp;IF(AM113="","",CHAR(10))&amp;$A114,AM113)</f>
        <v/>
      </c>
      <c r="AN114" s="0" t="str">
        <f aca="false">IF(AND($B114="D06",$C114="G1"),AN113&amp;IF(AN113="","",CHAR(10))&amp;$A114,AN113)</f>
        <v/>
      </c>
      <c r="AO114" s="0" t="str">
        <f aca="false">IF(AND($B114="D06",$C114="G2"),AO113&amp;IF(AO113="","",CHAR(10))&amp;$A114,AO113)</f>
        <v/>
      </c>
      <c r="AP114" s="363" t="str">
        <f aca="false">IF(AND($B114="D06",$C114="G3"),AP113&amp;IF(AP113="","",CHAR(10))&amp;$A114,AP113)</f>
        <v>◐ 033 HIS／EMR核心平台
◐ 036 臨床術語與主資料治理</v>
      </c>
      <c r="AQ114" s="363" t="str">
        <f aca="false">IF(AND($B114="D06",$C114="G4"),AQ113&amp;IF(AQ113="","",CHAR(10))&amp;$A114,AQ113)</f>
        <v>◐ 034 FHIR介接與API管理
○ 035 主病人索引與身分整合
◐ 037 電子醫囑、用藥與決策支援
◐ 038 資料平台、BI與營運指揮</v>
      </c>
      <c r="AR114" s="0" t="str">
        <f aca="false">IF(AND($B114="D06",$C114="G5"),AR113&amp;IF(AR113="","",CHAR(10))&amp;$A114,AR113)</f>
        <v>○ 039 病人入口、行動服務與VNeID準備</v>
      </c>
      <c r="AS114" s="0" t="str">
        <f aca="false">IF(AND($B114="D06",$C114="G6"),AS113&amp;IF(AS113="","",CHAR(10))&amp;$A114,AS113)</f>
        <v/>
      </c>
      <c r="AT114" s="0" t="str">
        <f aca="false">IF(AND($B114="D07",$C114="G0"),AT113&amp;IF(AT113="","",CHAR(10))&amp;$A114,AT113)</f>
        <v/>
      </c>
      <c r="AU114" s="0" t="str">
        <f aca="false">IF(AND($B114="D07",$C114="G1"),AU113&amp;IF(AU113="","",CHAR(10))&amp;$A114,AU113)</f>
        <v/>
      </c>
      <c r="AV114" s="0" t="str">
        <f aca="false">IF(AND($B114="D07",$C114="G2"),AV113&amp;IF(AV113="","",CHAR(10))&amp;$A114,AV113)</f>
        <v>◐ 040 品質管理與JCI路線圖</v>
      </c>
      <c r="AW114" s="363" t="str">
        <f aca="false">IF(AND($B114="D07",$C114="G3"),AW113&amp;IF(AW113="","",CHAR(10))&amp;$A114,AW113)</f>
        <v>◐ 041 感染預防與控制制度
◐ 043 事件通報與根因改善</v>
      </c>
      <c r="AX114" s="0" t="str">
        <f aca="false">IF(AND($B114="D07",$C114="G4"),AX113&amp;IF(AX113="","",CHAR(10))&amp;$A114,AX113)</f>
        <v>◐ 042 用藥安全閉環</v>
      </c>
      <c r="AY114" s="0" t="str">
        <f aca="false">IF(AND($B114="D07",$C114="G5"),AY113&amp;IF(AY113="","",CHAR(10))&amp;$A114,AY113)</f>
        <v>◐ 044 開院臨床安全驗證</v>
      </c>
      <c r="AZ114" s="0" t="str">
        <f aca="false">IF(AND($B114="D07",$C114="G6"),AZ113&amp;IF(AZ113="","",CHAR(10))&amp;$A114,AZ113)</f>
        <v/>
      </c>
      <c r="BA114" s="0" t="str">
        <f aca="false">IF(AND($B114="D08",$C114="G0"),BA113&amp;IF(BA113="","",CHAR(10))&amp;$A114,BA113)</f>
        <v/>
      </c>
      <c r="BB114" s="0" t="str">
        <f aca="false">IF(AND($B114="D08",$C114="G1"),BB113&amp;IF(BB113="","",CHAR(10))&amp;$A114,BB113)</f>
        <v/>
      </c>
      <c r="BC114" s="0" t="str">
        <f aca="false">IF(AND($B114="D08",$C114="G2"),BC113&amp;IF(BC113="","",CHAR(10))&amp;$A114,BC113)</f>
        <v>○ 045 人力與輪班模型</v>
      </c>
      <c r="BD114" s="0" t="str">
        <f aca="false">IF(AND($B114="D08",$C114="G3"),BD113&amp;IF(BD113="","",CHAR(10))&amp;$A114,BD113)</f>
        <v>◐ 046 職能矩陣與授權</v>
      </c>
      <c r="BE114" s="363" t="str">
        <f aca="false">IF(AND($B114="D08",$C114="G4"),BE113&amp;IF(BE113="","",CHAR(10))&amp;$A114,BE113)</f>
        <v>◐ 047 種子教師與技術移轉
◐ 049 變革管理與使用者採納</v>
      </c>
      <c r="BF114" s="0" t="str">
        <f aca="false">IF(AND($B114="D08",$C114="G5"),BF113&amp;IF(BF113="","",CHAR(10))&amp;$A114,BF113)</f>
        <v>◐ 048 模擬中心與開院演練</v>
      </c>
      <c r="BG114" s="0" t="str">
        <f aca="false">IF(AND($B114="D08",$C114="G6"),BG113&amp;IF(BG113="","",CHAR(10))&amp;$A114,BG113)</f>
        <v/>
      </c>
      <c r="BH114" s="0" t="str">
        <f aca="false">IF(AND($B114="D09",$C114="G0"),BH113&amp;IF(BH113="","",CHAR(10))&amp;$A114,BH113)</f>
        <v/>
      </c>
      <c r="BI114" s="0" t="str">
        <f aca="false">IF(AND($B114="D09",$C114="G1"),BI113&amp;IF(BI113="","",CHAR(10))&amp;$A114,BI113)</f>
        <v/>
      </c>
      <c r="BJ114" s="0" t="str">
        <f aca="false">IF(AND($B114="D09",$C114="G2"),BJ113&amp;IF(BJ113="","",CHAR(10))&amp;$A114,BJ113)</f>
        <v>◐ 050 整合採購與供應商治理</v>
      </c>
      <c r="BK114" s="0" t="str">
        <f aca="false">IF(AND($B114="D09",$C114="G3"),BK113&amp;IF(BK113="","",CHAR(10))&amp;$A114,BK113)</f>
        <v/>
      </c>
      <c r="BL114" s="363" t="str">
        <f aca="false">IF(AND($B114="D09",$C114="G4"),BL113&amp;IF(BL113="","",CHAR(10))&amp;$A114,BL113)</f>
        <v>◐ 051 藥品耗材與SPD物流
◐ 052 冷鏈與特殊物料
● 053 CMMS與設施維運</v>
      </c>
      <c r="BM114" s="0" t="str">
        <f aca="false">IF(AND($B114="D09",$C114="G5"),BM113&amp;IF(BM113="","",CHAR(10))&amp;$A114,BM113)</f>
        <v>◐ 054 在地備品、維修與汰換</v>
      </c>
      <c r="BN114" s="0" t="str">
        <f aca="false">IF(AND($B114="D09",$C114="G6"),BN113&amp;IF(BN113="","",CHAR(10))&amp;$A114,BN113)</f>
        <v/>
      </c>
      <c r="BO114" s="0" t="str">
        <f aca="false">IF(AND($B114="D10",$C114="G0"),BO113&amp;IF(BO113="","",CHAR(10))&amp;$A114,BO113)</f>
        <v/>
      </c>
      <c r="BP114" s="0" t="str">
        <f aca="false">IF(AND($B114="D10",$C114="G1"),BP113&amp;IF(BP113="","",CHAR(10))&amp;$A114,BP113)</f>
        <v>◐ 055 全生命週期成本模型</v>
      </c>
      <c r="BQ114" s="0" t="str">
        <f aca="false">IF(AND($B114="D10",$C114="G2"),BQ113&amp;IF(BQ113="","",CHAR(10))&amp;$A114,BQ113)</f>
        <v>◐ 059 PPP／JV財務與風險分配</v>
      </c>
      <c r="BR114" s="0" t="str">
        <f aca="false">IF(AND($B114="D10",$C114="G3"),BR113&amp;IF(BR113="","",CHAR(10))&amp;$A114,BR113)</f>
        <v/>
      </c>
      <c r="BS114" s="363" t="str">
        <f aca="false">IF(AND($B114="D10",$C114="G4"),BS113&amp;IF(BS113="","",CHAR(10))&amp;$A114,BS113)</f>
        <v>○ 056 健保申報與數位理賠
○ 057 現金流、支付與收入週期</v>
      </c>
      <c r="BT114" s="0" t="str">
        <f aca="false">IF(AND($B114="D10",$C114="G5"),BT113&amp;IF(BT113="","",CHAR(10))&amp;$A114,BT113)</f>
        <v>○ 058 國際醫療與高價值服務</v>
      </c>
      <c r="BU114" s="0" t="str">
        <f aca="false">IF(AND($B114="D10",$C114="G6"),BU113&amp;IF(BU113="","",CHAR(10))&amp;$A114,BU113)</f>
        <v>◐ 060 效益實現與複製藍圖</v>
      </c>
      <c r="BX114" s="0" t="str">
        <f aca="false">IF(AND(03_能力總表_Master!$A114&lt;&gt;"",LEFT(03_能力總表_Master!$H114,2)="缺口"),MAX($BX$4:BX113)+1,"")</f>
        <v/>
      </c>
      <c r="BY114" s="0" t="str">
        <f aca="false">IF(AND(03_能力總表_Master!$A114&lt;&gt;"",03_能力總表_Master!$J114=12_夥伴視角_PartnerView!$C$4),MAX($BY$4:BY113)+1,"")</f>
        <v/>
      </c>
      <c r="CC114" s="0" t="str">
        <f aca="false">IF(AND(03_能力總表_Master!$A114&lt;&gt;"",IFERROR(INDEX(16_能力商機矩陣_CapOppMap!$D114:$CO114,MATCH(LEFT(17_商機作戰卡_OppView!$C$4,6),16_能力商機矩陣_CapOppMap!$D$4:$CO$4,0)),"")="✓"),MAX($CC$4:CC113)+1,"")</f>
        <v/>
      </c>
    </row>
    <row r="115" customFormat="false" ht="95.5" hidden="false" customHeight="false" outlineLevel="0" collapsed="false">
      <c r="A115" s="0" t="str">
        <f aca="false">IF(03_能力總表_Master!$A115="","",IF(LEFT(03_能力總表_Master!$H115,2)="群晶","● ",IF(ISNUMBER(SEARCH("已確認",03_能力總表_Master!$H115)),"◆ ",IF(ISNUMBER(SEARCH("缺口",03_能力總表_Master!$H115)),"○ ","◐ ")))&amp;RIGHT(03_能力總表_Master!$A115,3)&amp;" "&amp;03_能力總表_Master!$E115)</f>
        <v/>
      </c>
      <c r="B115" s="0" t="str">
        <f aca="false">IF(03_能力總表_Master!$A115="","",LEFT(03_能力總表_Master!$B115,3))</f>
        <v/>
      </c>
      <c r="C115" s="0" t="str">
        <f aca="false">IF(03_能力總表_Master!$A115="","",03_能力總表_Master!$C115)</f>
        <v/>
      </c>
      <c r="D115" s="363" t="str">
        <f aca="false">IF(AND($B115="D01",$C115="G0"),D114&amp;IF(D114="","",CHAR(10))&amp;$A115,D114)</f>
        <v>◐ 001 政府授權與計畫章程
◐ 002 利害關係人與權力地圖
◐ 005 聯盟治理與利益衝突</v>
      </c>
      <c r="E115" s="363" t="str">
        <f aca="false">IF(AND($B115="D01",$C115="G1"),E114&amp;IF(E114="","",CHAR(10))&amp;$A115,E114)</f>
        <v>◐ 003 交易模式選擇
◐ 004 法規與執照路徑</v>
      </c>
      <c r="F115" s="0" t="str">
        <f aca="false">IF(AND($B115="D01",$C115="G2"),F114&amp;IF(F114="","",CHAR(10))&amp;$A115,F114)</f>
        <v>◐ 006 績效契約與變更控制</v>
      </c>
      <c r="G115" s="0" t="str">
        <f aca="false">IF(AND($B115="D01",$C115="G3"),G114&amp;IF(G114="","",CHAR(10))&amp;$A115,G114)</f>
        <v/>
      </c>
      <c r="H115" s="0" t="str">
        <f aca="false">IF(AND($B115="D01",$C115="G4"),H114&amp;IF(H114="","",CHAR(10))&amp;$A115,H114)</f>
        <v/>
      </c>
      <c r="I115" s="0" t="str">
        <f aca="false">IF(AND($B115="D01",$C115="G5"),I114&amp;IF(I114="","",CHAR(10))&amp;$A115,I114)</f>
        <v/>
      </c>
      <c r="J115" s="0" t="str">
        <f aca="false">IF(AND($B115="D01",$C115="G6"),J114&amp;IF(J114="","",CHAR(10))&amp;$A115,J114)</f>
        <v/>
      </c>
      <c r="K115" s="0" t="str">
        <f aca="false">IF(AND($B115="D02",$C115="G0"),K114&amp;IF(K114="","",CHAR(10))&amp;$A115,K114)</f>
        <v/>
      </c>
      <c r="L115" s="363" t="str">
        <f aca="false">IF(AND($B115="D02",$C115="G1"),L114&amp;IF(L114="","",CHAR(10))&amp;$A115,L114)</f>
        <v>◐ 007 人口需求與病例量預測
◐ 008 醫院定位與服務組合
◐ 009 重點專科優先化
◐ 010 病人流程與容量設計
◐ 011 轉診與區域照護網絡
◐ 012 臨床治理與責任架構</v>
      </c>
      <c r="M115" s="0" t="str">
        <f aca="false">IF(AND($B115="D02",$C115="G2"),M114&amp;IF(M114="","",CHAR(10))&amp;$A115,M114)</f>
        <v/>
      </c>
      <c r="N115" s="0" t="str">
        <f aca="false">IF(AND($B115="D02",$C115="G3"),N114&amp;IF(N114="","",CHAR(10))&amp;$A115,N114)</f>
        <v/>
      </c>
      <c r="O115" s="0" t="str">
        <f aca="false">IF(AND($B115="D02",$C115="G4"),O114&amp;IF(O114="","",CHAR(10))&amp;$A115,O114)</f>
        <v/>
      </c>
      <c r="P115" s="0" t="str">
        <f aca="false">IF(AND($B115="D02",$C115="G5"),P114&amp;IF(P114="","",CHAR(10))&amp;$A115,P114)</f>
        <v/>
      </c>
      <c r="Q115" s="0" t="str">
        <f aca="false">IF(AND($B115="D02",$C115="G6"),Q114&amp;IF(Q114="","",CHAR(10))&amp;$A115,Q114)</f>
        <v/>
      </c>
      <c r="R115" s="0" t="str">
        <f aca="false">IF(AND($B115="D03",$C115="G0"),R114&amp;IF(R114="","",CHAR(10))&amp;$A115,R114)</f>
        <v/>
      </c>
      <c r="S115" s="0" t="str">
        <f aca="false">IF(AND($B115="D03",$C115="G1"),S114&amp;IF(S114="","",CHAR(10))&amp;$A115,S114)</f>
        <v>◐ 013 場址與醫院總體規劃</v>
      </c>
      <c r="T115" s="363" t="str">
        <f aca="false">IF(AND($B115="D03",$C115="G2"),T114&amp;IF(T114="","",CHAR(10))&amp;$A115,T114)</f>
        <v>◐ 014 醫療建築功能計畫
◐ 015 感染控制與潔污動線
◐ 019 綠色與氣候韌性醫院</v>
      </c>
      <c r="U115" s="363" t="str">
        <f aca="false">IF(AND($B115="D03",$C115="G3"),U114&amp;IF(U114="","",CHAR(10))&amp;$A115,U114)</f>
        <v>● 016 電力、備援與微電網
◐ 017 醫療氣體與關鍵公用系統
◐ 018 醫療廢棄物與水資源</v>
      </c>
      <c r="V115" s="0" t="str">
        <f aca="false">IF(AND($B115="D03",$C115="G4"),V114&amp;IF(V114="","",CHAR(10))&amp;$A115,V114)</f>
        <v/>
      </c>
      <c r="W115" s="0" t="str">
        <f aca="false">IF(AND($B115="D03",$C115="G5"),W114&amp;IF(W114="","",CHAR(10))&amp;$A115,W114)</f>
        <v/>
      </c>
      <c r="X115" s="0" t="str">
        <f aca="false">IF(AND($B115="D03",$C115="G6"),X114&amp;IF(X114="","",CHAR(10))&amp;$A115,X114)</f>
        <v/>
      </c>
      <c r="Y115" s="0" t="str">
        <f aca="false">IF(AND($B115="D04",$C115="G0"),Y114&amp;IF(Y114="","",CHAR(10))&amp;$A115,Y114)</f>
        <v/>
      </c>
      <c r="Z115" s="0" t="str">
        <f aca="false">IF(AND($B115="D04",$C115="G1"),Z114&amp;IF(Z114="","",CHAR(10))&amp;$A115,Z114)</f>
        <v/>
      </c>
      <c r="AA115" s="0" t="str">
        <f aca="false">IF(AND($B115="D04",$C115="G2"),AA114&amp;IF(AA114="","",CHAR(10))&amp;$A115,AA114)</f>
        <v/>
      </c>
      <c r="AB115" s="0" t="str">
        <f aca="false">IF(AND($B115="D04",$C115="G3"),AB114&amp;IF(AB114="","",CHAR(10))&amp;$A115,AB114)</f>
        <v>● 020 IDC與邊緣運算底座</v>
      </c>
      <c r="AC115" s="363" t="str">
        <f aca="false">IF(AND($B115="D04",$C115="G4"),AC114&amp;IF(AC114="","",CHAR(10))&amp;$A115,AC114)</f>
        <v>● 021 有線無線網路與分區
◐ 022 資安營運與零信任
● 023 BMS與能源管理
● 024 RTLS與資產／人員定位
● 025 智慧病房、護理呼叫與感測
● 026 災難復原與營運持續</v>
      </c>
      <c r="AD115" s="0" t="str">
        <f aca="false">IF(AND($B115="D04",$C115="G5"),AD114&amp;IF(AD114="","",CHAR(10))&amp;$A115,AD114)</f>
        <v/>
      </c>
      <c r="AE115" s="0" t="str">
        <f aca="false">IF(AND($B115="D04",$C115="G6"),AE114&amp;IF(AE114="","",CHAR(10))&amp;$A115,AE114)</f>
        <v/>
      </c>
      <c r="AF115" s="0" t="str">
        <f aca="false">IF(AND($B115="D05",$C115="G0"),AF114&amp;IF(AF114="","",CHAR(10))&amp;$A115,AF114)</f>
        <v/>
      </c>
      <c r="AG115" s="0" t="str">
        <f aca="false">IF(AND($B115="D05",$C115="G1"),AG114&amp;IF(AG114="","",CHAR(10))&amp;$A115,AG114)</f>
        <v/>
      </c>
      <c r="AH115" s="0" t="str">
        <f aca="false">IF(AND($B115="D05",$C115="G2"),AH114&amp;IF(AH114="","",CHAR(10))&amp;$A115,AH114)</f>
        <v>◐ 027 醫材需求與設備計畫</v>
      </c>
      <c r="AI115" s="0" t="str">
        <f aca="false">IF(AND($B115="D05",$C115="G3"),AI114&amp;IF(AI114="","",CHAR(10))&amp;$A115,AI114)</f>
        <v/>
      </c>
      <c r="AJ115" s="363" t="str">
        <f aca="false">IF(AND($B115="D05",$C115="G4"),AJ114&amp;IF(AJ114="","",CHAR(10))&amp;$A115,AJ114)</f>
        <v>○ 028 影像設備、PACS與報告流程
○ 029 實驗室自動化與LIS
○ 030 手術室與重症整合
◐ 031 醫材介接與裝置身分
◐ 032 醫療工程與設備生命週期</v>
      </c>
      <c r="AK115" s="0" t="str">
        <f aca="false">IF(AND($B115="D05",$C115="G5"),AK114&amp;IF(AK114="","",CHAR(10))&amp;$A115,AK114)</f>
        <v/>
      </c>
      <c r="AL115" s="0" t="str">
        <f aca="false">IF(AND($B115="D05",$C115="G6"),AL114&amp;IF(AL114="","",CHAR(10))&amp;$A115,AL114)</f>
        <v/>
      </c>
      <c r="AM115" s="0" t="str">
        <f aca="false">IF(AND($B115="D06",$C115="G0"),AM114&amp;IF(AM114="","",CHAR(10))&amp;$A115,AM114)</f>
        <v/>
      </c>
      <c r="AN115" s="0" t="str">
        <f aca="false">IF(AND($B115="D06",$C115="G1"),AN114&amp;IF(AN114="","",CHAR(10))&amp;$A115,AN114)</f>
        <v/>
      </c>
      <c r="AO115" s="0" t="str">
        <f aca="false">IF(AND($B115="D06",$C115="G2"),AO114&amp;IF(AO114="","",CHAR(10))&amp;$A115,AO114)</f>
        <v/>
      </c>
      <c r="AP115" s="363" t="str">
        <f aca="false">IF(AND($B115="D06",$C115="G3"),AP114&amp;IF(AP114="","",CHAR(10))&amp;$A115,AP114)</f>
        <v>◐ 033 HIS／EMR核心平台
◐ 036 臨床術語與主資料治理</v>
      </c>
      <c r="AQ115" s="363" t="str">
        <f aca="false">IF(AND($B115="D06",$C115="G4"),AQ114&amp;IF(AQ114="","",CHAR(10))&amp;$A115,AQ114)</f>
        <v>◐ 034 FHIR介接與API管理
○ 035 主病人索引與身分整合
◐ 037 電子醫囑、用藥與決策支援
◐ 038 資料平台、BI與營運指揮</v>
      </c>
      <c r="AR115" s="0" t="str">
        <f aca="false">IF(AND($B115="D06",$C115="G5"),AR114&amp;IF(AR114="","",CHAR(10))&amp;$A115,AR114)</f>
        <v>○ 039 病人入口、行動服務與VNeID準備</v>
      </c>
      <c r="AS115" s="0" t="str">
        <f aca="false">IF(AND($B115="D06",$C115="G6"),AS114&amp;IF(AS114="","",CHAR(10))&amp;$A115,AS114)</f>
        <v/>
      </c>
      <c r="AT115" s="0" t="str">
        <f aca="false">IF(AND($B115="D07",$C115="G0"),AT114&amp;IF(AT114="","",CHAR(10))&amp;$A115,AT114)</f>
        <v/>
      </c>
      <c r="AU115" s="0" t="str">
        <f aca="false">IF(AND($B115="D07",$C115="G1"),AU114&amp;IF(AU114="","",CHAR(10))&amp;$A115,AU114)</f>
        <v/>
      </c>
      <c r="AV115" s="0" t="str">
        <f aca="false">IF(AND($B115="D07",$C115="G2"),AV114&amp;IF(AV114="","",CHAR(10))&amp;$A115,AV114)</f>
        <v>◐ 040 品質管理與JCI路線圖</v>
      </c>
      <c r="AW115" s="363" t="str">
        <f aca="false">IF(AND($B115="D07",$C115="G3"),AW114&amp;IF(AW114="","",CHAR(10))&amp;$A115,AW114)</f>
        <v>◐ 041 感染預防與控制制度
◐ 043 事件通報與根因改善</v>
      </c>
      <c r="AX115" s="0" t="str">
        <f aca="false">IF(AND($B115="D07",$C115="G4"),AX114&amp;IF(AX114="","",CHAR(10))&amp;$A115,AX114)</f>
        <v>◐ 042 用藥安全閉環</v>
      </c>
      <c r="AY115" s="0" t="str">
        <f aca="false">IF(AND($B115="D07",$C115="G5"),AY114&amp;IF(AY114="","",CHAR(10))&amp;$A115,AY114)</f>
        <v>◐ 044 開院臨床安全驗證</v>
      </c>
      <c r="AZ115" s="0" t="str">
        <f aca="false">IF(AND($B115="D07",$C115="G6"),AZ114&amp;IF(AZ114="","",CHAR(10))&amp;$A115,AZ114)</f>
        <v/>
      </c>
      <c r="BA115" s="0" t="str">
        <f aca="false">IF(AND($B115="D08",$C115="G0"),BA114&amp;IF(BA114="","",CHAR(10))&amp;$A115,BA114)</f>
        <v/>
      </c>
      <c r="BB115" s="0" t="str">
        <f aca="false">IF(AND($B115="D08",$C115="G1"),BB114&amp;IF(BB114="","",CHAR(10))&amp;$A115,BB114)</f>
        <v/>
      </c>
      <c r="BC115" s="0" t="str">
        <f aca="false">IF(AND($B115="D08",$C115="G2"),BC114&amp;IF(BC114="","",CHAR(10))&amp;$A115,BC114)</f>
        <v>○ 045 人力與輪班模型</v>
      </c>
      <c r="BD115" s="0" t="str">
        <f aca="false">IF(AND($B115="D08",$C115="G3"),BD114&amp;IF(BD114="","",CHAR(10))&amp;$A115,BD114)</f>
        <v>◐ 046 職能矩陣與授權</v>
      </c>
      <c r="BE115" s="363" t="str">
        <f aca="false">IF(AND($B115="D08",$C115="G4"),BE114&amp;IF(BE114="","",CHAR(10))&amp;$A115,BE114)</f>
        <v>◐ 047 種子教師與技術移轉
◐ 049 變革管理與使用者採納</v>
      </c>
      <c r="BF115" s="0" t="str">
        <f aca="false">IF(AND($B115="D08",$C115="G5"),BF114&amp;IF(BF114="","",CHAR(10))&amp;$A115,BF114)</f>
        <v>◐ 048 模擬中心與開院演練</v>
      </c>
      <c r="BG115" s="0" t="str">
        <f aca="false">IF(AND($B115="D08",$C115="G6"),BG114&amp;IF(BG114="","",CHAR(10))&amp;$A115,BG114)</f>
        <v/>
      </c>
      <c r="BH115" s="0" t="str">
        <f aca="false">IF(AND($B115="D09",$C115="G0"),BH114&amp;IF(BH114="","",CHAR(10))&amp;$A115,BH114)</f>
        <v/>
      </c>
      <c r="BI115" s="0" t="str">
        <f aca="false">IF(AND($B115="D09",$C115="G1"),BI114&amp;IF(BI114="","",CHAR(10))&amp;$A115,BI114)</f>
        <v/>
      </c>
      <c r="BJ115" s="0" t="str">
        <f aca="false">IF(AND($B115="D09",$C115="G2"),BJ114&amp;IF(BJ114="","",CHAR(10))&amp;$A115,BJ114)</f>
        <v>◐ 050 整合採購與供應商治理</v>
      </c>
      <c r="BK115" s="0" t="str">
        <f aca="false">IF(AND($B115="D09",$C115="G3"),BK114&amp;IF(BK114="","",CHAR(10))&amp;$A115,BK114)</f>
        <v/>
      </c>
      <c r="BL115" s="363" t="str">
        <f aca="false">IF(AND($B115="D09",$C115="G4"),BL114&amp;IF(BL114="","",CHAR(10))&amp;$A115,BL114)</f>
        <v>◐ 051 藥品耗材與SPD物流
◐ 052 冷鏈與特殊物料
● 053 CMMS與設施維運</v>
      </c>
      <c r="BM115" s="0" t="str">
        <f aca="false">IF(AND($B115="D09",$C115="G5"),BM114&amp;IF(BM114="","",CHAR(10))&amp;$A115,BM114)</f>
        <v>◐ 054 在地備品、維修與汰換</v>
      </c>
      <c r="BN115" s="0" t="str">
        <f aca="false">IF(AND($B115="D09",$C115="G6"),BN114&amp;IF(BN114="","",CHAR(10))&amp;$A115,BN114)</f>
        <v/>
      </c>
      <c r="BO115" s="0" t="str">
        <f aca="false">IF(AND($B115="D10",$C115="G0"),BO114&amp;IF(BO114="","",CHAR(10))&amp;$A115,BO114)</f>
        <v/>
      </c>
      <c r="BP115" s="0" t="str">
        <f aca="false">IF(AND($B115="D10",$C115="G1"),BP114&amp;IF(BP114="","",CHAR(10))&amp;$A115,BP114)</f>
        <v>◐ 055 全生命週期成本模型</v>
      </c>
      <c r="BQ115" s="0" t="str">
        <f aca="false">IF(AND($B115="D10",$C115="G2"),BQ114&amp;IF(BQ114="","",CHAR(10))&amp;$A115,BQ114)</f>
        <v>◐ 059 PPP／JV財務與風險分配</v>
      </c>
      <c r="BR115" s="0" t="str">
        <f aca="false">IF(AND($B115="D10",$C115="G3"),BR114&amp;IF(BR114="","",CHAR(10))&amp;$A115,BR114)</f>
        <v/>
      </c>
      <c r="BS115" s="363" t="str">
        <f aca="false">IF(AND($B115="D10",$C115="G4"),BS114&amp;IF(BS114="","",CHAR(10))&amp;$A115,BS114)</f>
        <v>○ 056 健保申報與數位理賠
○ 057 現金流、支付與收入週期</v>
      </c>
      <c r="BT115" s="0" t="str">
        <f aca="false">IF(AND($B115="D10",$C115="G5"),BT114&amp;IF(BT114="","",CHAR(10))&amp;$A115,BT114)</f>
        <v>○ 058 國際醫療與高價值服務</v>
      </c>
      <c r="BU115" s="0" t="str">
        <f aca="false">IF(AND($B115="D10",$C115="G6"),BU114&amp;IF(BU114="","",CHAR(10))&amp;$A115,BU114)</f>
        <v>◐ 060 效益實現與複製藍圖</v>
      </c>
      <c r="BX115" s="0" t="str">
        <f aca="false">IF(AND(03_能力總表_Master!$A115&lt;&gt;"",LEFT(03_能力總表_Master!$H115,2)="缺口"),MAX($BX$4:BX114)+1,"")</f>
        <v/>
      </c>
      <c r="BY115" s="0" t="str">
        <f aca="false">IF(AND(03_能力總表_Master!$A115&lt;&gt;"",03_能力總表_Master!$J115=12_夥伴視角_PartnerView!$C$4),MAX($BY$4:BY114)+1,"")</f>
        <v/>
      </c>
      <c r="CC115" s="0" t="str">
        <f aca="false">IF(AND(03_能力總表_Master!$A115&lt;&gt;"",IFERROR(INDEX(16_能力商機矩陣_CapOppMap!$D115:$CO115,MATCH(LEFT(17_商機作戰卡_OppView!$C$4,6),16_能力商機矩陣_CapOppMap!$D$4:$CO$4,0)),"")="✓"),MAX($CC$4:CC114)+1,"")</f>
        <v/>
      </c>
    </row>
    <row r="116" customFormat="false" ht="95.5" hidden="false" customHeight="false" outlineLevel="0" collapsed="false">
      <c r="A116" s="0" t="str">
        <f aca="false">IF(03_能力總表_Master!$A116="","",IF(LEFT(03_能力總表_Master!$H116,2)="群晶","● ",IF(ISNUMBER(SEARCH("已確認",03_能力總表_Master!$H116)),"◆ ",IF(ISNUMBER(SEARCH("缺口",03_能力總表_Master!$H116)),"○ ","◐ ")))&amp;RIGHT(03_能力總表_Master!$A116,3)&amp;" "&amp;03_能力總表_Master!$E116)</f>
        <v/>
      </c>
      <c r="B116" s="0" t="str">
        <f aca="false">IF(03_能力總表_Master!$A116="","",LEFT(03_能力總表_Master!$B116,3))</f>
        <v/>
      </c>
      <c r="C116" s="0" t="str">
        <f aca="false">IF(03_能力總表_Master!$A116="","",03_能力總表_Master!$C116)</f>
        <v/>
      </c>
      <c r="D116" s="363" t="str">
        <f aca="false">IF(AND($B116="D01",$C116="G0"),D115&amp;IF(D115="","",CHAR(10))&amp;$A116,D115)</f>
        <v>◐ 001 政府授權與計畫章程
◐ 002 利害關係人與權力地圖
◐ 005 聯盟治理與利益衝突</v>
      </c>
      <c r="E116" s="363" t="str">
        <f aca="false">IF(AND($B116="D01",$C116="G1"),E115&amp;IF(E115="","",CHAR(10))&amp;$A116,E115)</f>
        <v>◐ 003 交易模式選擇
◐ 004 法規與執照路徑</v>
      </c>
      <c r="F116" s="0" t="str">
        <f aca="false">IF(AND($B116="D01",$C116="G2"),F115&amp;IF(F115="","",CHAR(10))&amp;$A116,F115)</f>
        <v>◐ 006 績效契約與變更控制</v>
      </c>
      <c r="G116" s="0" t="str">
        <f aca="false">IF(AND($B116="D01",$C116="G3"),G115&amp;IF(G115="","",CHAR(10))&amp;$A116,G115)</f>
        <v/>
      </c>
      <c r="H116" s="0" t="str">
        <f aca="false">IF(AND($B116="D01",$C116="G4"),H115&amp;IF(H115="","",CHAR(10))&amp;$A116,H115)</f>
        <v/>
      </c>
      <c r="I116" s="0" t="str">
        <f aca="false">IF(AND($B116="D01",$C116="G5"),I115&amp;IF(I115="","",CHAR(10))&amp;$A116,I115)</f>
        <v/>
      </c>
      <c r="J116" s="0" t="str">
        <f aca="false">IF(AND($B116="D01",$C116="G6"),J115&amp;IF(J115="","",CHAR(10))&amp;$A116,J115)</f>
        <v/>
      </c>
      <c r="K116" s="0" t="str">
        <f aca="false">IF(AND($B116="D02",$C116="G0"),K115&amp;IF(K115="","",CHAR(10))&amp;$A116,K115)</f>
        <v/>
      </c>
      <c r="L116" s="363" t="str">
        <f aca="false">IF(AND($B116="D02",$C116="G1"),L115&amp;IF(L115="","",CHAR(10))&amp;$A116,L115)</f>
        <v>◐ 007 人口需求與病例量預測
◐ 008 醫院定位與服務組合
◐ 009 重點專科優先化
◐ 010 病人流程與容量設計
◐ 011 轉診與區域照護網絡
◐ 012 臨床治理與責任架構</v>
      </c>
      <c r="M116" s="0" t="str">
        <f aca="false">IF(AND($B116="D02",$C116="G2"),M115&amp;IF(M115="","",CHAR(10))&amp;$A116,M115)</f>
        <v/>
      </c>
      <c r="N116" s="0" t="str">
        <f aca="false">IF(AND($B116="D02",$C116="G3"),N115&amp;IF(N115="","",CHAR(10))&amp;$A116,N115)</f>
        <v/>
      </c>
      <c r="O116" s="0" t="str">
        <f aca="false">IF(AND($B116="D02",$C116="G4"),O115&amp;IF(O115="","",CHAR(10))&amp;$A116,O115)</f>
        <v/>
      </c>
      <c r="P116" s="0" t="str">
        <f aca="false">IF(AND($B116="D02",$C116="G5"),P115&amp;IF(P115="","",CHAR(10))&amp;$A116,P115)</f>
        <v/>
      </c>
      <c r="Q116" s="0" t="str">
        <f aca="false">IF(AND($B116="D02",$C116="G6"),Q115&amp;IF(Q115="","",CHAR(10))&amp;$A116,Q115)</f>
        <v/>
      </c>
      <c r="R116" s="0" t="str">
        <f aca="false">IF(AND($B116="D03",$C116="G0"),R115&amp;IF(R115="","",CHAR(10))&amp;$A116,R115)</f>
        <v/>
      </c>
      <c r="S116" s="0" t="str">
        <f aca="false">IF(AND($B116="D03",$C116="G1"),S115&amp;IF(S115="","",CHAR(10))&amp;$A116,S115)</f>
        <v>◐ 013 場址與醫院總體規劃</v>
      </c>
      <c r="T116" s="363" t="str">
        <f aca="false">IF(AND($B116="D03",$C116="G2"),T115&amp;IF(T115="","",CHAR(10))&amp;$A116,T115)</f>
        <v>◐ 014 醫療建築功能計畫
◐ 015 感染控制與潔污動線
◐ 019 綠色與氣候韌性醫院</v>
      </c>
      <c r="U116" s="363" t="str">
        <f aca="false">IF(AND($B116="D03",$C116="G3"),U115&amp;IF(U115="","",CHAR(10))&amp;$A116,U115)</f>
        <v>● 016 電力、備援與微電網
◐ 017 醫療氣體與關鍵公用系統
◐ 018 醫療廢棄物與水資源</v>
      </c>
      <c r="V116" s="0" t="str">
        <f aca="false">IF(AND($B116="D03",$C116="G4"),V115&amp;IF(V115="","",CHAR(10))&amp;$A116,V115)</f>
        <v/>
      </c>
      <c r="W116" s="0" t="str">
        <f aca="false">IF(AND($B116="D03",$C116="G5"),W115&amp;IF(W115="","",CHAR(10))&amp;$A116,W115)</f>
        <v/>
      </c>
      <c r="X116" s="0" t="str">
        <f aca="false">IF(AND($B116="D03",$C116="G6"),X115&amp;IF(X115="","",CHAR(10))&amp;$A116,X115)</f>
        <v/>
      </c>
      <c r="Y116" s="0" t="str">
        <f aca="false">IF(AND($B116="D04",$C116="G0"),Y115&amp;IF(Y115="","",CHAR(10))&amp;$A116,Y115)</f>
        <v/>
      </c>
      <c r="Z116" s="0" t="str">
        <f aca="false">IF(AND($B116="D04",$C116="G1"),Z115&amp;IF(Z115="","",CHAR(10))&amp;$A116,Z115)</f>
        <v/>
      </c>
      <c r="AA116" s="0" t="str">
        <f aca="false">IF(AND($B116="D04",$C116="G2"),AA115&amp;IF(AA115="","",CHAR(10))&amp;$A116,AA115)</f>
        <v/>
      </c>
      <c r="AB116" s="0" t="str">
        <f aca="false">IF(AND($B116="D04",$C116="G3"),AB115&amp;IF(AB115="","",CHAR(10))&amp;$A116,AB115)</f>
        <v>● 020 IDC與邊緣運算底座</v>
      </c>
      <c r="AC116" s="363" t="str">
        <f aca="false">IF(AND($B116="D04",$C116="G4"),AC115&amp;IF(AC115="","",CHAR(10))&amp;$A116,AC115)</f>
        <v>● 021 有線無線網路與分區
◐ 022 資安營運與零信任
● 023 BMS與能源管理
● 024 RTLS與資產／人員定位
● 025 智慧病房、護理呼叫與感測
● 026 災難復原與營運持續</v>
      </c>
      <c r="AD116" s="0" t="str">
        <f aca="false">IF(AND($B116="D04",$C116="G5"),AD115&amp;IF(AD115="","",CHAR(10))&amp;$A116,AD115)</f>
        <v/>
      </c>
      <c r="AE116" s="0" t="str">
        <f aca="false">IF(AND($B116="D04",$C116="G6"),AE115&amp;IF(AE115="","",CHAR(10))&amp;$A116,AE115)</f>
        <v/>
      </c>
      <c r="AF116" s="0" t="str">
        <f aca="false">IF(AND($B116="D05",$C116="G0"),AF115&amp;IF(AF115="","",CHAR(10))&amp;$A116,AF115)</f>
        <v/>
      </c>
      <c r="AG116" s="0" t="str">
        <f aca="false">IF(AND($B116="D05",$C116="G1"),AG115&amp;IF(AG115="","",CHAR(10))&amp;$A116,AG115)</f>
        <v/>
      </c>
      <c r="AH116" s="0" t="str">
        <f aca="false">IF(AND($B116="D05",$C116="G2"),AH115&amp;IF(AH115="","",CHAR(10))&amp;$A116,AH115)</f>
        <v>◐ 027 醫材需求與設備計畫</v>
      </c>
      <c r="AI116" s="0" t="str">
        <f aca="false">IF(AND($B116="D05",$C116="G3"),AI115&amp;IF(AI115="","",CHAR(10))&amp;$A116,AI115)</f>
        <v/>
      </c>
      <c r="AJ116" s="363" t="str">
        <f aca="false">IF(AND($B116="D05",$C116="G4"),AJ115&amp;IF(AJ115="","",CHAR(10))&amp;$A116,AJ115)</f>
        <v>○ 028 影像設備、PACS與報告流程
○ 029 實驗室自動化與LIS
○ 030 手術室與重症整合
◐ 031 醫材介接與裝置身分
◐ 032 醫療工程與設備生命週期</v>
      </c>
      <c r="AK116" s="0" t="str">
        <f aca="false">IF(AND($B116="D05",$C116="G5"),AK115&amp;IF(AK115="","",CHAR(10))&amp;$A116,AK115)</f>
        <v/>
      </c>
      <c r="AL116" s="0" t="str">
        <f aca="false">IF(AND($B116="D05",$C116="G6"),AL115&amp;IF(AL115="","",CHAR(10))&amp;$A116,AL115)</f>
        <v/>
      </c>
      <c r="AM116" s="0" t="str">
        <f aca="false">IF(AND($B116="D06",$C116="G0"),AM115&amp;IF(AM115="","",CHAR(10))&amp;$A116,AM115)</f>
        <v/>
      </c>
      <c r="AN116" s="0" t="str">
        <f aca="false">IF(AND($B116="D06",$C116="G1"),AN115&amp;IF(AN115="","",CHAR(10))&amp;$A116,AN115)</f>
        <v/>
      </c>
      <c r="AO116" s="0" t="str">
        <f aca="false">IF(AND($B116="D06",$C116="G2"),AO115&amp;IF(AO115="","",CHAR(10))&amp;$A116,AO115)</f>
        <v/>
      </c>
      <c r="AP116" s="363" t="str">
        <f aca="false">IF(AND($B116="D06",$C116="G3"),AP115&amp;IF(AP115="","",CHAR(10))&amp;$A116,AP115)</f>
        <v>◐ 033 HIS／EMR核心平台
◐ 036 臨床術語與主資料治理</v>
      </c>
      <c r="AQ116" s="363" t="str">
        <f aca="false">IF(AND($B116="D06",$C116="G4"),AQ115&amp;IF(AQ115="","",CHAR(10))&amp;$A116,AQ115)</f>
        <v>◐ 034 FHIR介接與API管理
○ 035 主病人索引與身分整合
◐ 037 電子醫囑、用藥與決策支援
◐ 038 資料平台、BI與營運指揮</v>
      </c>
      <c r="AR116" s="0" t="str">
        <f aca="false">IF(AND($B116="D06",$C116="G5"),AR115&amp;IF(AR115="","",CHAR(10))&amp;$A116,AR115)</f>
        <v>○ 039 病人入口、行動服務與VNeID準備</v>
      </c>
      <c r="AS116" s="0" t="str">
        <f aca="false">IF(AND($B116="D06",$C116="G6"),AS115&amp;IF(AS115="","",CHAR(10))&amp;$A116,AS115)</f>
        <v/>
      </c>
      <c r="AT116" s="0" t="str">
        <f aca="false">IF(AND($B116="D07",$C116="G0"),AT115&amp;IF(AT115="","",CHAR(10))&amp;$A116,AT115)</f>
        <v/>
      </c>
      <c r="AU116" s="0" t="str">
        <f aca="false">IF(AND($B116="D07",$C116="G1"),AU115&amp;IF(AU115="","",CHAR(10))&amp;$A116,AU115)</f>
        <v/>
      </c>
      <c r="AV116" s="0" t="str">
        <f aca="false">IF(AND($B116="D07",$C116="G2"),AV115&amp;IF(AV115="","",CHAR(10))&amp;$A116,AV115)</f>
        <v>◐ 040 品質管理與JCI路線圖</v>
      </c>
      <c r="AW116" s="363" t="str">
        <f aca="false">IF(AND($B116="D07",$C116="G3"),AW115&amp;IF(AW115="","",CHAR(10))&amp;$A116,AW115)</f>
        <v>◐ 041 感染預防與控制制度
◐ 043 事件通報與根因改善</v>
      </c>
      <c r="AX116" s="0" t="str">
        <f aca="false">IF(AND($B116="D07",$C116="G4"),AX115&amp;IF(AX115="","",CHAR(10))&amp;$A116,AX115)</f>
        <v>◐ 042 用藥安全閉環</v>
      </c>
      <c r="AY116" s="0" t="str">
        <f aca="false">IF(AND($B116="D07",$C116="G5"),AY115&amp;IF(AY115="","",CHAR(10))&amp;$A116,AY115)</f>
        <v>◐ 044 開院臨床安全驗證</v>
      </c>
      <c r="AZ116" s="0" t="str">
        <f aca="false">IF(AND($B116="D07",$C116="G6"),AZ115&amp;IF(AZ115="","",CHAR(10))&amp;$A116,AZ115)</f>
        <v/>
      </c>
      <c r="BA116" s="0" t="str">
        <f aca="false">IF(AND($B116="D08",$C116="G0"),BA115&amp;IF(BA115="","",CHAR(10))&amp;$A116,BA115)</f>
        <v/>
      </c>
      <c r="BB116" s="0" t="str">
        <f aca="false">IF(AND($B116="D08",$C116="G1"),BB115&amp;IF(BB115="","",CHAR(10))&amp;$A116,BB115)</f>
        <v/>
      </c>
      <c r="BC116" s="0" t="str">
        <f aca="false">IF(AND($B116="D08",$C116="G2"),BC115&amp;IF(BC115="","",CHAR(10))&amp;$A116,BC115)</f>
        <v>○ 045 人力與輪班模型</v>
      </c>
      <c r="BD116" s="0" t="str">
        <f aca="false">IF(AND($B116="D08",$C116="G3"),BD115&amp;IF(BD115="","",CHAR(10))&amp;$A116,BD115)</f>
        <v>◐ 046 職能矩陣與授權</v>
      </c>
      <c r="BE116" s="363" t="str">
        <f aca="false">IF(AND($B116="D08",$C116="G4"),BE115&amp;IF(BE115="","",CHAR(10))&amp;$A116,BE115)</f>
        <v>◐ 047 種子教師與技術移轉
◐ 049 變革管理與使用者採納</v>
      </c>
      <c r="BF116" s="0" t="str">
        <f aca="false">IF(AND($B116="D08",$C116="G5"),BF115&amp;IF(BF115="","",CHAR(10))&amp;$A116,BF115)</f>
        <v>◐ 048 模擬中心與開院演練</v>
      </c>
      <c r="BG116" s="0" t="str">
        <f aca="false">IF(AND($B116="D08",$C116="G6"),BG115&amp;IF(BG115="","",CHAR(10))&amp;$A116,BG115)</f>
        <v/>
      </c>
      <c r="BH116" s="0" t="str">
        <f aca="false">IF(AND($B116="D09",$C116="G0"),BH115&amp;IF(BH115="","",CHAR(10))&amp;$A116,BH115)</f>
        <v/>
      </c>
      <c r="BI116" s="0" t="str">
        <f aca="false">IF(AND($B116="D09",$C116="G1"),BI115&amp;IF(BI115="","",CHAR(10))&amp;$A116,BI115)</f>
        <v/>
      </c>
      <c r="BJ116" s="0" t="str">
        <f aca="false">IF(AND($B116="D09",$C116="G2"),BJ115&amp;IF(BJ115="","",CHAR(10))&amp;$A116,BJ115)</f>
        <v>◐ 050 整合採購與供應商治理</v>
      </c>
      <c r="BK116" s="0" t="str">
        <f aca="false">IF(AND($B116="D09",$C116="G3"),BK115&amp;IF(BK115="","",CHAR(10))&amp;$A116,BK115)</f>
        <v/>
      </c>
      <c r="BL116" s="363" t="str">
        <f aca="false">IF(AND($B116="D09",$C116="G4"),BL115&amp;IF(BL115="","",CHAR(10))&amp;$A116,BL115)</f>
        <v>◐ 051 藥品耗材與SPD物流
◐ 052 冷鏈與特殊物料
● 053 CMMS與設施維運</v>
      </c>
      <c r="BM116" s="0" t="str">
        <f aca="false">IF(AND($B116="D09",$C116="G5"),BM115&amp;IF(BM115="","",CHAR(10))&amp;$A116,BM115)</f>
        <v>◐ 054 在地備品、維修與汰換</v>
      </c>
      <c r="BN116" s="0" t="str">
        <f aca="false">IF(AND($B116="D09",$C116="G6"),BN115&amp;IF(BN115="","",CHAR(10))&amp;$A116,BN115)</f>
        <v/>
      </c>
      <c r="BO116" s="0" t="str">
        <f aca="false">IF(AND($B116="D10",$C116="G0"),BO115&amp;IF(BO115="","",CHAR(10))&amp;$A116,BO115)</f>
        <v/>
      </c>
      <c r="BP116" s="0" t="str">
        <f aca="false">IF(AND($B116="D10",$C116="G1"),BP115&amp;IF(BP115="","",CHAR(10))&amp;$A116,BP115)</f>
        <v>◐ 055 全生命週期成本模型</v>
      </c>
      <c r="BQ116" s="0" t="str">
        <f aca="false">IF(AND($B116="D10",$C116="G2"),BQ115&amp;IF(BQ115="","",CHAR(10))&amp;$A116,BQ115)</f>
        <v>◐ 059 PPP／JV財務與風險分配</v>
      </c>
      <c r="BR116" s="0" t="str">
        <f aca="false">IF(AND($B116="D10",$C116="G3"),BR115&amp;IF(BR115="","",CHAR(10))&amp;$A116,BR115)</f>
        <v/>
      </c>
      <c r="BS116" s="363" t="str">
        <f aca="false">IF(AND($B116="D10",$C116="G4"),BS115&amp;IF(BS115="","",CHAR(10))&amp;$A116,BS115)</f>
        <v>○ 056 健保申報與數位理賠
○ 057 現金流、支付與收入週期</v>
      </c>
      <c r="BT116" s="0" t="str">
        <f aca="false">IF(AND($B116="D10",$C116="G5"),BT115&amp;IF(BT115="","",CHAR(10))&amp;$A116,BT115)</f>
        <v>○ 058 國際醫療與高價值服務</v>
      </c>
      <c r="BU116" s="0" t="str">
        <f aca="false">IF(AND($B116="D10",$C116="G6"),BU115&amp;IF(BU115="","",CHAR(10))&amp;$A116,BU115)</f>
        <v>◐ 060 效益實現與複製藍圖</v>
      </c>
      <c r="BX116" s="0" t="str">
        <f aca="false">IF(AND(03_能力總表_Master!$A116&lt;&gt;"",LEFT(03_能力總表_Master!$H116,2)="缺口"),MAX($BX$4:BX115)+1,"")</f>
        <v/>
      </c>
      <c r="BY116" s="0" t="str">
        <f aca="false">IF(AND(03_能力總表_Master!$A116&lt;&gt;"",03_能力總表_Master!$J116=12_夥伴視角_PartnerView!$C$4),MAX($BY$4:BY115)+1,"")</f>
        <v/>
      </c>
      <c r="CC116" s="0" t="str">
        <f aca="false">IF(AND(03_能力總表_Master!$A116&lt;&gt;"",IFERROR(INDEX(16_能力商機矩陣_CapOppMap!$D116:$CO116,MATCH(LEFT(17_商機作戰卡_OppView!$C$4,6),16_能力商機矩陣_CapOppMap!$D$4:$CO$4,0)),"")="✓"),MAX($CC$4:CC115)+1,"")</f>
        <v/>
      </c>
    </row>
    <row r="117" customFormat="false" ht="95.5" hidden="false" customHeight="false" outlineLevel="0" collapsed="false">
      <c r="A117" s="0" t="str">
        <f aca="false">IF(03_能力總表_Master!$A117="","",IF(LEFT(03_能力總表_Master!$H117,2)="群晶","● ",IF(ISNUMBER(SEARCH("已確認",03_能力總表_Master!$H117)),"◆ ",IF(ISNUMBER(SEARCH("缺口",03_能力總表_Master!$H117)),"○ ","◐ ")))&amp;RIGHT(03_能力總表_Master!$A117,3)&amp;" "&amp;03_能力總表_Master!$E117)</f>
        <v/>
      </c>
      <c r="B117" s="0" t="str">
        <f aca="false">IF(03_能力總表_Master!$A117="","",LEFT(03_能力總表_Master!$B117,3))</f>
        <v/>
      </c>
      <c r="C117" s="0" t="str">
        <f aca="false">IF(03_能力總表_Master!$A117="","",03_能力總表_Master!$C117)</f>
        <v/>
      </c>
      <c r="D117" s="363" t="str">
        <f aca="false">IF(AND($B117="D01",$C117="G0"),D116&amp;IF(D116="","",CHAR(10))&amp;$A117,D116)</f>
        <v>◐ 001 政府授權與計畫章程
◐ 002 利害關係人與權力地圖
◐ 005 聯盟治理與利益衝突</v>
      </c>
      <c r="E117" s="363" t="str">
        <f aca="false">IF(AND($B117="D01",$C117="G1"),E116&amp;IF(E116="","",CHAR(10))&amp;$A117,E116)</f>
        <v>◐ 003 交易模式選擇
◐ 004 法規與執照路徑</v>
      </c>
      <c r="F117" s="0" t="str">
        <f aca="false">IF(AND($B117="D01",$C117="G2"),F116&amp;IF(F116="","",CHAR(10))&amp;$A117,F116)</f>
        <v>◐ 006 績效契約與變更控制</v>
      </c>
      <c r="G117" s="0" t="str">
        <f aca="false">IF(AND($B117="D01",$C117="G3"),G116&amp;IF(G116="","",CHAR(10))&amp;$A117,G116)</f>
        <v/>
      </c>
      <c r="H117" s="0" t="str">
        <f aca="false">IF(AND($B117="D01",$C117="G4"),H116&amp;IF(H116="","",CHAR(10))&amp;$A117,H116)</f>
        <v/>
      </c>
      <c r="I117" s="0" t="str">
        <f aca="false">IF(AND($B117="D01",$C117="G5"),I116&amp;IF(I116="","",CHAR(10))&amp;$A117,I116)</f>
        <v/>
      </c>
      <c r="J117" s="0" t="str">
        <f aca="false">IF(AND($B117="D01",$C117="G6"),J116&amp;IF(J116="","",CHAR(10))&amp;$A117,J116)</f>
        <v/>
      </c>
      <c r="K117" s="0" t="str">
        <f aca="false">IF(AND($B117="D02",$C117="G0"),K116&amp;IF(K116="","",CHAR(10))&amp;$A117,K116)</f>
        <v/>
      </c>
      <c r="L117" s="363" t="str">
        <f aca="false">IF(AND($B117="D02",$C117="G1"),L116&amp;IF(L116="","",CHAR(10))&amp;$A117,L116)</f>
        <v>◐ 007 人口需求與病例量預測
◐ 008 醫院定位與服務組合
◐ 009 重點專科優先化
◐ 010 病人流程與容量設計
◐ 011 轉診與區域照護網絡
◐ 012 臨床治理與責任架構</v>
      </c>
      <c r="M117" s="0" t="str">
        <f aca="false">IF(AND($B117="D02",$C117="G2"),M116&amp;IF(M116="","",CHAR(10))&amp;$A117,M116)</f>
        <v/>
      </c>
      <c r="N117" s="0" t="str">
        <f aca="false">IF(AND($B117="D02",$C117="G3"),N116&amp;IF(N116="","",CHAR(10))&amp;$A117,N116)</f>
        <v/>
      </c>
      <c r="O117" s="0" t="str">
        <f aca="false">IF(AND($B117="D02",$C117="G4"),O116&amp;IF(O116="","",CHAR(10))&amp;$A117,O116)</f>
        <v/>
      </c>
      <c r="P117" s="0" t="str">
        <f aca="false">IF(AND($B117="D02",$C117="G5"),P116&amp;IF(P116="","",CHAR(10))&amp;$A117,P116)</f>
        <v/>
      </c>
      <c r="Q117" s="0" t="str">
        <f aca="false">IF(AND($B117="D02",$C117="G6"),Q116&amp;IF(Q116="","",CHAR(10))&amp;$A117,Q116)</f>
        <v/>
      </c>
      <c r="R117" s="0" t="str">
        <f aca="false">IF(AND($B117="D03",$C117="G0"),R116&amp;IF(R116="","",CHAR(10))&amp;$A117,R116)</f>
        <v/>
      </c>
      <c r="S117" s="0" t="str">
        <f aca="false">IF(AND($B117="D03",$C117="G1"),S116&amp;IF(S116="","",CHAR(10))&amp;$A117,S116)</f>
        <v>◐ 013 場址與醫院總體規劃</v>
      </c>
      <c r="T117" s="363" t="str">
        <f aca="false">IF(AND($B117="D03",$C117="G2"),T116&amp;IF(T116="","",CHAR(10))&amp;$A117,T116)</f>
        <v>◐ 014 醫療建築功能計畫
◐ 015 感染控制與潔污動線
◐ 019 綠色與氣候韌性醫院</v>
      </c>
      <c r="U117" s="363" t="str">
        <f aca="false">IF(AND($B117="D03",$C117="G3"),U116&amp;IF(U116="","",CHAR(10))&amp;$A117,U116)</f>
        <v>● 016 電力、備援與微電網
◐ 017 醫療氣體與關鍵公用系統
◐ 018 醫療廢棄物與水資源</v>
      </c>
      <c r="V117" s="0" t="str">
        <f aca="false">IF(AND($B117="D03",$C117="G4"),V116&amp;IF(V116="","",CHAR(10))&amp;$A117,V116)</f>
        <v/>
      </c>
      <c r="W117" s="0" t="str">
        <f aca="false">IF(AND($B117="D03",$C117="G5"),W116&amp;IF(W116="","",CHAR(10))&amp;$A117,W116)</f>
        <v/>
      </c>
      <c r="X117" s="0" t="str">
        <f aca="false">IF(AND($B117="D03",$C117="G6"),X116&amp;IF(X116="","",CHAR(10))&amp;$A117,X116)</f>
        <v/>
      </c>
      <c r="Y117" s="0" t="str">
        <f aca="false">IF(AND($B117="D04",$C117="G0"),Y116&amp;IF(Y116="","",CHAR(10))&amp;$A117,Y116)</f>
        <v/>
      </c>
      <c r="Z117" s="0" t="str">
        <f aca="false">IF(AND($B117="D04",$C117="G1"),Z116&amp;IF(Z116="","",CHAR(10))&amp;$A117,Z116)</f>
        <v/>
      </c>
      <c r="AA117" s="0" t="str">
        <f aca="false">IF(AND($B117="D04",$C117="G2"),AA116&amp;IF(AA116="","",CHAR(10))&amp;$A117,AA116)</f>
        <v/>
      </c>
      <c r="AB117" s="0" t="str">
        <f aca="false">IF(AND($B117="D04",$C117="G3"),AB116&amp;IF(AB116="","",CHAR(10))&amp;$A117,AB116)</f>
        <v>● 020 IDC與邊緣運算底座</v>
      </c>
      <c r="AC117" s="363" t="str">
        <f aca="false">IF(AND($B117="D04",$C117="G4"),AC116&amp;IF(AC116="","",CHAR(10))&amp;$A117,AC116)</f>
        <v>● 021 有線無線網路與分區
◐ 022 資安營運與零信任
● 023 BMS與能源管理
● 024 RTLS與資產／人員定位
● 025 智慧病房、護理呼叫與感測
● 026 災難復原與營運持續</v>
      </c>
      <c r="AD117" s="0" t="str">
        <f aca="false">IF(AND($B117="D04",$C117="G5"),AD116&amp;IF(AD116="","",CHAR(10))&amp;$A117,AD116)</f>
        <v/>
      </c>
      <c r="AE117" s="0" t="str">
        <f aca="false">IF(AND($B117="D04",$C117="G6"),AE116&amp;IF(AE116="","",CHAR(10))&amp;$A117,AE116)</f>
        <v/>
      </c>
      <c r="AF117" s="0" t="str">
        <f aca="false">IF(AND($B117="D05",$C117="G0"),AF116&amp;IF(AF116="","",CHAR(10))&amp;$A117,AF116)</f>
        <v/>
      </c>
      <c r="AG117" s="0" t="str">
        <f aca="false">IF(AND($B117="D05",$C117="G1"),AG116&amp;IF(AG116="","",CHAR(10))&amp;$A117,AG116)</f>
        <v/>
      </c>
      <c r="AH117" s="0" t="str">
        <f aca="false">IF(AND($B117="D05",$C117="G2"),AH116&amp;IF(AH116="","",CHAR(10))&amp;$A117,AH116)</f>
        <v>◐ 027 醫材需求與設備計畫</v>
      </c>
      <c r="AI117" s="0" t="str">
        <f aca="false">IF(AND($B117="D05",$C117="G3"),AI116&amp;IF(AI116="","",CHAR(10))&amp;$A117,AI116)</f>
        <v/>
      </c>
      <c r="AJ117" s="363" t="str">
        <f aca="false">IF(AND($B117="D05",$C117="G4"),AJ116&amp;IF(AJ116="","",CHAR(10))&amp;$A117,AJ116)</f>
        <v>○ 028 影像設備、PACS與報告流程
○ 029 實驗室自動化與LIS
○ 030 手術室與重症整合
◐ 031 醫材介接與裝置身分
◐ 032 醫療工程與設備生命週期</v>
      </c>
      <c r="AK117" s="0" t="str">
        <f aca="false">IF(AND($B117="D05",$C117="G5"),AK116&amp;IF(AK116="","",CHAR(10))&amp;$A117,AK116)</f>
        <v/>
      </c>
      <c r="AL117" s="0" t="str">
        <f aca="false">IF(AND($B117="D05",$C117="G6"),AL116&amp;IF(AL116="","",CHAR(10))&amp;$A117,AL116)</f>
        <v/>
      </c>
      <c r="AM117" s="0" t="str">
        <f aca="false">IF(AND($B117="D06",$C117="G0"),AM116&amp;IF(AM116="","",CHAR(10))&amp;$A117,AM116)</f>
        <v/>
      </c>
      <c r="AN117" s="0" t="str">
        <f aca="false">IF(AND($B117="D06",$C117="G1"),AN116&amp;IF(AN116="","",CHAR(10))&amp;$A117,AN116)</f>
        <v/>
      </c>
      <c r="AO117" s="0" t="str">
        <f aca="false">IF(AND($B117="D06",$C117="G2"),AO116&amp;IF(AO116="","",CHAR(10))&amp;$A117,AO116)</f>
        <v/>
      </c>
      <c r="AP117" s="363" t="str">
        <f aca="false">IF(AND($B117="D06",$C117="G3"),AP116&amp;IF(AP116="","",CHAR(10))&amp;$A117,AP116)</f>
        <v>◐ 033 HIS／EMR核心平台
◐ 036 臨床術語與主資料治理</v>
      </c>
      <c r="AQ117" s="363" t="str">
        <f aca="false">IF(AND($B117="D06",$C117="G4"),AQ116&amp;IF(AQ116="","",CHAR(10))&amp;$A117,AQ116)</f>
        <v>◐ 034 FHIR介接與API管理
○ 035 主病人索引與身分整合
◐ 037 電子醫囑、用藥與決策支援
◐ 038 資料平台、BI與營運指揮</v>
      </c>
      <c r="AR117" s="0" t="str">
        <f aca="false">IF(AND($B117="D06",$C117="G5"),AR116&amp;IF(AR116="","",CHAR(10))&amp;$A117,AR116)</f>
        <v>○ 039 病人入口、行動服務與VNeID準備</v>
      </c>
      <c r="AS117" s="0" t="str">
        <f aca="false">IF(AND($B117="D06",$C117="G6"),AS116&amp;IF(AS116="","",CHAR(10))&amp;$A117,AS116)</f>
        <v/>
      </c>
      <c r="AT117" s="0" t="str">
        <f aca="false">IF(AND($B117="D07",$C117="G0"),AT116&amp;IF(AT116="","",CHAR(10))&amp;$A117,AT116)</f>
        <v/>
      </c>
      <c r="AU117" s="0" t="str">
        <f aca="false">IF(AND($B117="D07",$C117="G1"),AU116&amp;IF(AU116="","",CHAR(10))&amp;$A117,AU116)</f>
        <v/>
      </c>
      <c r="AV117" s="0" t="str">
        <f aca="false">IF(AND($B117="D07",$C117="G2"),AV116&amp;IF(AV116="","",CHAR(10))&amp;$A117,AV116)</f>
        <v>◐ 040 品質管理與JCI路線圖</v>
      </c>
      <c r="AW117" s="363" t="str">
        <f aca="false">IF(AND($B117="D07",$C117="G3"),AW116&amp;IF(AW116="","",CHAR(10))&amp;$A117,AW116)</f>
        <v>◐ 041 感染預防與控制制度
◐ 043 事件通報與根因改善</v>
      </c>
      <c r="AX117" s="0" t="str">
        <f aca="false">IF(AND($B117="D07",$C117="G4"),AX116&amp;IF(AX116="","",CHAR(10))&amp;$A117,AX116)</f>
        <v>◐ 042 用藥安全閉環</v>
      </c>
      <c r="AY117" s="0" t="str">
        <f aca="false">IF(AND($B117="D07",$C117="G5"),AY116&amp;IF(AY116="","",CHAR(10))&amp;$A117,AY116)</f>
        <v>◐ 044 開院臨床安全驗證</v>
      </c>
      <c r="AZ117" s="0" t="str">
        <f aca="false">IF(AND($B117="D07",$C117="G6"),AZ116&amp;IF(AZ116="","",CHAR(10))&amp;$A117,AZ116)</f>
        <v/>
      </c>
      <c r="BA117" s="0" t="str">
        <f aca="false">IF(AND($B117="D08",$C117="G0"),BA116&amp;IF(BA116="","",CHAR(10))&amp;$A117,BA116)</f>
        <v/>
      </c>
      <c r="BB117" s="0" t="str">
        <f aca="false">IF(AND($B117="D08",$C117="G1"),BB116&amp;IF(BB116="","",CHAR(10))&amp;$A117,BB116)</f>
        <v/>
      </c>
      <c r="BC117" s="0" t="str">
        <f aca="false">IF(AND($B117="D08",$C117="G2"),BC116&amp;IF(BC116="","",CHAR(10))&amp;$A117,BC116)</f>
        <v>○ 045 人力與輪班模型</v>
      </c>
      <c r="BD117" s="0" t="str">
        <f aca="false">IF(AND($B117="D08",$C117="G3"),BD116&amp;IF(BD116="","",CHAR(10))&amp;$A117,BD116)</f>
        <v>◐ 046 職能矩陣與授權</v>
      </c>
      <c r="BE117" s="363" t="str">
        <f aca="false">IF(AND($B117="D08",$C117="G4"),BE116&amp;IF(BE116="","",CHAR(10))&amp;$A117,BE116)</f>
        <v>◐ 047 種子教師與技術移轉
◐ 049 變革管理與使用者採納</v>
      </c>
      <c r="BF117" s="0" t="str">
        <f aca="false">IF(AND($B117="D08",$C117="G5"),BF116&amp;IF(BF116="","",CHAR(10))&amp;$A117,BF116)</f>
        <v>◐ 048 模擬中心與開院演練</v>
      </c>
      <c r="BG117" s="0" t="str">
        <f aca="false">IF(AND($B117="D08",$C117="G6"),BG116&amp;IF(BG116="","",CHAR(10))&amp;$A117,BG116)</f>
        <v/>
      </c>
      <c r="BH117" s="0" t="str">
        <f aca="false">IF(AND($B117="D09",$C117="G0"),BH116&amp;IF(BH116="","",CHAR(10))&amp;$A117,BH116)</f>
        <v/>
      </c>
      <c r="BI117" s="0" t="str">
        <f aca="false">IF(AND($B117="D09",$C117="G1"),BI116&amp;IF(BI116="","",CHAR(10))&amp;$A117,BI116)</f>
        <v/>
      </c>
      <c r="BJ117" s="0" t="str">
        <f aca="false">IF(AND($B117="D09",$C117="G2"),BJ116&amp;IF(BJ116="","",CHAR(10))&amp;$A117,BJ116)</f>
        <v>◐ 050 整合採購與供應商治理</v>
      </c>
      <c r="BK117" s="0" t="str">
        <f aca="false">IF(AND($B117="D09",$C117="G3"),BK116&amp;IF(BK116="","",CHAR(10))&amp;$A117,BK116)</f>
        <v/>
      </c>
      <c r="BL117" s="363" t="str">
        <f aca="false">IF(AND($B117="D09",$C117="G4"),BL116&amp;IF(BL116="","",CHAR(10))&amp;$A117,BL116)</f>
        <v>◐ 051 藥品耗材與SPD物流
◐ 052 冷鏈與特殊物料
● 053 CMMS與設施維運</v>
      </c>
      <c r="BM117" s="0" t="str">
        <f aca="false">IF(AND($B117="D09",$C117="G5"),BM116&amp;IF(BM116="","",CHAR(10))&amp;$A117,BM116)</f>
        <v>◐ 054 在地備品、維修與汰換</v>
      </c>
      <c r="BN117" s="0" t="str">
        <f aca="false">IF(AND($B117="D09",$C117="G6"),BN116&amp;IF(BN116="","",CHAR(10))&amp;$A117,BN116)</f>
        <v/>
      </c>
      <c r="BO117" s="0" t="str">
        <f aca="false">IF(AND($B117="D10",$C117="G0"),BO116&amp;IF(BO116="","",CHAR(10))&amp;$A117,BO116)</f>
        <v/>
      </c>
      <c r="BP117" s="0" t="str">
        <f aca="false">IF(AND($B117="D10",$C117="G1"),BP116&amp;IF(BP116="","",CHAR(10))&amp;$A117,BP116)</f>
        <v>◐ 055 全生命週期成本模型</v>
      </c>
      <c r="BQ117" s="0" t="str">
        <f aca="false">IF(AND($B117="D10",$C117="G2"),BQ116&amp;IF(BQ116="","",CHAR(10))&amp;$A117,BQ116)</f>
        <v>◐ 059 PPP／JV財務與風險分配</v>
      </c>
      <c r="BR117" s="0" t="str">
        <f aca="false">IF(AND($B117="D10",$C117="G3"),BR116&amp;IF(BR116="","",CHAR(10))&amp;$A117,BR116)</f>
        <v/>
      </c>
      <c r="BS117" s="363" t="str">
        <f aca="false">IF(AND($B117="D10",$C117="G4"),BS116&amp;IF(BS116="","",CHAR(10))&amp;$A117,BS116)</f>
        <v>○ 056 健保申報與數位理賠
○ 057 現金流、支付與收入週期</v>
      </c>
      <c r="BT117" s="0" t="str">
        <f aca="false">IF(AND($B117="D10",$C117="G5"),BT116&amp;IF(BT116="","",CHAR(10))&amp;$A117,BT116)</f>
        <v>○ 058 國際醫療與高價值服務</v>
      </c>
      <c r="BU117" s="0" t="str">
        <f aca="false">IF(AND($B117="D10",$C117="G6"),BU116&amp;IF(BU116="","",CHAR(10))&amp;$A117,BU116)</f>
        <v>◐ 060 效益實現與複製藍圖</v>
      </c>
      <c r="BX117" s="0" t="str">
        <f aca="false">IF(AND(03_能力總表_Master!$A117&lt;&gt;"",LEFT(03_能力總表_Master!$H117,2)="缺口"),MAX($BX$4:BX116)+1,"")</f>
        <v/>
      </c>
      <c r="BY117" s="0" t="str">
        <f aca="false">IF(AND(03_能力總表_Master!$A117&lt;&gt;"",03_能力總表_Master!$J117=12_夥伴視角_PartnerView!$C$4),MAX($BY$4:BY116)+1,"")</f>
        <v/>
      </c>
      <c r="CC117" s="0" t="str">
        <f aca="false">IF(AND(03_能力總表_Master!$A117&lt;&gt;"",IFERROR(INDEX(16_能力商機矩陣_CapOppMap!$D117:$CO117,MATCH(LEFT(17_商機作戰卡_OppView!$C$4,6),16_能力商機矩陣_CapOppMap!$D$4:$CO$4,0)),"")="✓"),MAX($CC$4:CC116)+1,"")</f>
        <v/>
      </c>
    </row>
    <row r="118" customFormat="false" ht="95.5" hidden="false" customHeight="false" outlineLevel="0" collapsed="false">
      <c r="A118" s="0" t="str">
        <f aca="false">IF(03_能力總表_Master!$A118="","",IF(LEFT(03_能力總表_Master!$H118,2)="群晶","● ",IF(ISNUMBER(SEARCH("已確認",03_能力總表_Master!$H118)),"◆ ",IF(ISNUMBER(SEARCH("缺口",03_能力總表_Master!$H118)),"○ ","◐ ")))&amp;RIGHT(03_能力總表_Master!$A118,3)&amp;" "&amp;03_能力總表_Master!$E118)</f>
        <v/>
      </c>
      <c r="B118" s="0" t="str">
        <f aca="false">IF(03_能力總表_Master!$A118="","",LEFT(03_能力總表_Master!$B118,3))</f>
        <v/>
      </c>
      <c r="C118" s="0" t="str">
        <f aca="false">IF(03_能力總表_Master!$A118="","",03_能力總表_Master!$C118)</f>
        <v/>
      </c>
      <c r="D118" s="363" t="str">
        <f aca="false">IF(AND($B118="D01",$C118="G0"),D117&amp;IF(D117="","",CHAR(10))&amp;$A118,D117)</f>
        <v>◐ 001 政府授權與計畫章程
◐ 002 利害關係人與權力地圖
◐ 005 聯盟治理與利益衝突</v>
      </c>
      <c r="E118" s="363" t="str">
        <f aca="false">IF(AND($B118="D01",$C118="G1"),E117&amp;IF(E117="","",CHAR(10))&amp;$A118,E117)</f>
        <v>◐ 003 交易模式選擇
◐ 004 法規與執照路徑</v>
      </c>
      <c r="F118" s="0" t="str">
        <f aca="false">IF(AND($B118="D01",$C118="G2"),F117&amp;IF(F117="","",CHAR(10))&amp;$A118,F117)</f>
        <v>◐ 006 績效契約與變更控制</v>
      </c>
      <c r="G118" s="0" t="str">
        <f aca="false">IF(AND($B118="D01",$C118="G3"),G117&amp;IF(G117="","",CHAR(10))&amp;$A118,G117)</f>
        <v/>
      </c>
      <c r="H118" s="0" t="str">
        <f aca="false">IF(AND($B118="D01",$C118="G4"),H117&amp;IF(H117="","",CHAR(10))&amp;$A118,H117)</f>
        <v/>
      </c>
      <c r="I118" s="0" t="str">
        <f aca="false">IF(AND($B118="D01",$C118="G5"),I117&amp;IF(I117="","",CHAR(10))&amp;$A118,I117)</f>
        <v/>
      </c>
      <c r="J118" s="0" t="str">
        <f aca="false">IF(AND($B118="D01",$C118="G6"),J117&amp;IF(J117="","",CHAR(10))&amp;$A118,J117)</f>
        <v/>
      </c>
      <c r="K118" s="0" t="str">
        <f aca="false">IF(AND($B118="D02",$C118="G0"),K117&amp;IF(K117="","",CHAR(10))&amp;$A118,K117)</f>
        <v/>
      </c>
      <c r="L118" s="363" t="str">
        <f aca="false">IF(AND($B118="D02",$C118="G1"),L117&amp;IF(L117="","",CHAR(10))&amp;$A118,L117)</f>
        <v>◐ 007 人口需求與病例量預測
◐ 008 醫院定位與服務組合
◐ 009 重點專科優先化
◐ 010 病人流程與容量設計
◐ 011 轉診與區域照護網絡
◐ 012 臨床治理與責任架構</v>
      </c>
      <c r="M118" s="0" t="str">
        <f aca="false">IF(AND($B118="D02",$C118="G2"),M117&amp;IF(M117="","",CHAR(10))&amp;$A118,M117)</f>
        <v/>
      </c>
      <c r="N118" s="0" t="str">
        <f aca="false">IF(AND($B118="D02",$C118="G3"),N117&amp;IF(N117="","",CHAR(10))&amp;$A118,N117)</f>
        <v/>
      </c>
      <c r="O118" s="0" t="str">
        <f aca="false">IF(AND($B118="D02",$C118="G4"),O117&amp;IF(O117="","",CHAR(10))&amp;$A118,O117)</f>
        <v/>
      </c>
      <c r="P118" s="0" t="str">
        <f aca="false">IF(AND($B118="D02",$C118="G5"),P117&amp;IF(P117="","",CHAR(10))&amp;$A118,P117)</f>
        <v/>
      </c>
      <c r="Q118" s="0" t="str">
        <f aca="false">IF(AND($B118="D02",$C118="G6"),Q117&amp;IF(Q117="","",CHAR(10))&amp;$A118,Q117)</f>
        <v/>
      </c>
      <c r="R118" s="0" t="str">
        <f aca="false">IF(AND($B118="D03",$C118="G0"),R117&amp;IF(R117="","",CHAR(10))&amp;$A118,R117)</f>
        <v/>
      </c>
      <c r="S118" s="0" t="str">
        <f aca="false">IF(AND($B118="D03",$C118="G1"),S117&amp;IF(S117="","",CHAR(10))&amp;$A118,S117)</f>
        <v>◐ 013 場址與醫院總體規劃</v>
      </c>
      <c r="T118" s="363" t="str">
        <f aca="false">IF(AND($B118="D03",$C118="G2"),T117&amp;IF(T117="","",CHAR(10))&amp;$A118,T117)</f>
        <v>◐ 014 醫療建築功能計畫
◐ 015 感染控制與潔污動線
◐ 019 綠色與氣候韌性醫院</v>
      </c>
      <c r="U118" s="363" t="str">
        <f aca="false">IF(AND($B118="D03",$C118="G3"),U117&amp;IF(U117="","",CHAR(10))&amp;$A118,U117)</f>
        <v>● 016 電力、備援與微電網
◐ 017 醫療氣體與關鍵公用系統
◐ 018 醫療廢棄物與水資源</v>
      </c>
      <c r="V118" s="0" t="str">
        <f aca="false">IF(AND($B118="D03",$C118="G4"),V117&amp;IF(V117="","",CHAR(10))&amp;$A118,V117)</f>
        <v/>
      </c>
      <c r="W118" s="0" t="str">
        <f aca="false">IF(AND($B118="D03",$C118="G5"),W117&amp;IF(W117="","",CHAR(10))&amp;$A118,W117)</f>
        <v/>
      </c>
      <c r="X118" s="0" t="str">
        <f aca="false">IF(AND($B118="D03",$C118="G6"),X117&amp;IF(X117="","",CHAR(10))&amp;$A118,X117)</f>
        <v/>
      </c>
      <c r="Y118" s="0" t="str">
        <f aca="false">IF(AND($B118="D04",$C118="G0"),Y117&amp;IF(Y117="","",CHAR(10))&amp;$A118,Y117)</f>
        <v/>
      </c>
      <c r="Z118" s="0" t="str">
        <f aca="false">IF(AND($B118="D04",$C118="G1"),Z117&amp;IF(Z117="","",CHAR(10))&amp;$A118,Z117)</f>
        <v/>
      </c>
      <c r="AA118" s="0" t="str">
        <f aca="false">IF(AND($B118="D04",$C118="G2"),AA117&amp;IF(AA117="","",CHAR(10))&amp;$A118,AA117)</f>
        <v/>
      </c>
      <c r="AB118" s="0" t="str">
        <f aca="false">IF(AND($B118="D04",$C118="G3"),AB117&amp;IF(AB117="","",CHAR(10))&amp;$A118,AB117)</f>
        <v>● 020 IDC與邊緣運算底座</v>
      </c>
      <c r="AC118" s="363" t="str">
        <f aca="false">IF(AND($B118="D04",$C118="G4"),AC117&amp;IF(AC117="","",CHAR(10))&amp;$A118,AC117)</f>
        <v>● 021 有線無線網路與分區
◐ 022 資安營運與零信任
● 023 BMS與能源管理
● 024 RTLS與資產／人員定位
● 025 智慧病房、護理呼叫與感測
● 026 災難復原與營運持續</v>
      </c>
      <c r="AD118" s="0" t="str">
        <f aca="false">IF(AND($B118="D04",$C118="G5"),AD117&amp;IF(AD117="","",CHAR(10))&amp;$A118,AD117)</f>
        <v/>
      </c>
      <c r="AE118" s="0" t="str">
        <f aca="false">IF(AND($B118="D04",$C118="G6"),AE117&amp;IF(AE117="","",CHAR(10))&amp;$A118,AE117)</f>
        <v/>
      </c>
      <c r="AF118" s="0" t="str">
        <f aca="false">IF(AND($B118="D05",$C118="G0"),AF117&amp;IF(AF117="","",CHAR(10))&amp;$A118,AF117)</f>
        <v/>
      </c>
      <c r="AG118" s="0" t="str">
        <f aca="false">IF(AND($B118="D05",$C118="G1"),AG117&amp;IF(AG117="","",CHAR(10))&amp;$A118,AG117)</f>
        <v/>
      </c>
      <c r="AH118" s="0" t="str">
        <f aca="false">IF(AND($B118="D05",$C118="G2"),AH117&amp;IF(AH117="","",CHAR(10))&amp;$A118,AH117)</f>
        <v>◐ 027 醫材需求與設備計畫</v>
      </c>
      <c r="AI118" s="0" t="str">
        <f aca="false">IF(AND($B118="D05",$C118="G3"),AI117&amp;IF(AI117="","",CHAR(10))&amp;$A118,AI117)</f>
        <v/>
      </c>
      <c r="AJ118" s="363" t="str">
        <f aca="false">IF(AND($B118="D05",$C118="G4"),AJ117&amp;IF(AJ117="","",CHAR(10))&amp;$A118,AJ117)</f>
        <v>○ 028 影像設備、PACS與報告流程
○ 029 實驗室自動化與LIS
○ 030 手術室與重症整合
◐ 031 醫材介接與裝置身分
◐ 032 醫療工程與設備生命週期</v>
      </c>
      <c r="AK118" s="0" t="str">
        <f aca="false">IF(AND($B118="D05",$C118="G5"),AK117&amp;IF(AK117="","",CHAR(10))&amp;$A118,AK117)</f>
        <v/>
      </c>
      <c r="AL118" s="0" t="str">
        <f aca="false">IF(AND($B118="D05",$C118="G6"),AL117&amp;IF(AL117="","",CHAR(10))&amp;$A118,AL117)</f>
        <v/>
      </c>
      <c r="AM118" s="0" t="str">
        <f aca="false">IF(AND($B118="D06",$C118="G0"),AM117&amp;IF(AM117="","",CHAR(10))&amp;$A118,AM117)</f>
        <v/>
      </c>
      <c r="AN118" s="0" t="str">
        <f aca="false">IF(AND($B118="D06",$C118="G1"),AN117&amp;IF(AN117="","",CHAR(10))&amp;$A118,AN117)</f>
        <v/>
      </c>
      <c r="AO118" s="0" t="str">
        <f aca="false">IF(AND($B118="D06",$C118="G2"),AO117&amp;IF(AO117="","",CHAR(10))&amp;$A118,AO117)</f>
        <v/>
      </c>
      <c r="AP118" s="363" t="str">
        <f aca="false">IF(AND($B118="D06",$C118="G3"),AP117&amp;IF(AP117="","",CHAR(10))&amp;$A118,AP117)</f>
        <v>◐ 033 HIS／EMR核心平台
◐ 036 臨床術語與主資料治理</v>
      </c>
      <c r="AQ118" s="363" t="str">
        <f aca="false">IF(AND($B118="D06",$C118="G4"),AQ117&amp;IF(AQ117="","",CHAR(10))&amp;$A118,AQ117)</f>
        <v>◐ 034 FHIR介接與API管理
○ 035 主病人索引與身分整合
◐ 037 電子醫囑、用藥與決策支援
◐ 038 資料平台、BI與營運指揮</v>
      </c>
      <c r="AR118" s="0" t="str">
        <f aca="false">IF(AND($B118="D06",$C118="G5"),AR117&amp;IF(AR117="","",CHAR(10))&amp;$A118,AR117)</f>
        <v>○ 039 病人入口、行動服務與VNeID準備</v>
      </c>
      <c r="AS118" s="0" t="str">
        <f aca="false">IF(AND($B118="D06",$C118="G6"),AS117&amp;IF(AS117="","",CHAR(10))&amp;$A118,AS117)</f>
        <v/>
      </c>
      <c r="AT118" s="0" t="str">
        <f aca="false">IF(AND($B118="D07",$C118="G0"),AT117&amp;IF(AT117="","",CHAR(10))&amp;$A118,AT117)</f>
        <v/>
      </c>
      <c r="AU118" s="0" t="str">
        <f aca="false">IF(AND($B118="D07",$C118="G1"),AU117&amp;IF(AU117="","",CHAR(10))&amp;$A118,AU117)</f>
        <v/>
      </c>
      <c r="AV118" s="0" t="str">
        <f aca="false">IF(AND($B118="D07",$C118="G2"),AV117&amp;IF(AV117="","",CHAR(10))&amp;$A118,AV117)</f>
        <v>◐ 040 品質管理與JCI路線圖</v>
      </c>
      <c r="AW118" s="363" t="str">
        <f aca="false">IF(AND($B118="D07",$C118="G3"),AW117&amp;IF(AW117="","",CHAR(10))&amp;$A118,AW117)</f>
        <v>◐ 041 感染預防與控制制度
◐ 043 事件通報與根因改善</v>
      </c>
      <c r="AX118" s="0" t="str">
        <f aca="false">IF(AND($B118="D07",$C118="G4"),AX117&amp;IF(AX117="","",CHAR(10))&amp;$A118,AX117)</f>
        <v>◐ 042 用藥安全閉環</v>
      </c>
      <c r="AY118" s="0" t="str">
        <f aca="false">IF(AND($B118="D07",$C118="G5"),AY117&amp;IF(AY117="","",CHAR(10))&amp;$A118,AY117)</f>
        <v>◐ 044 開院臨床安全驗證</v>
      </c>
      <c r="AZ118" s="0" t="str">
        <f aca="false">IF(AND($B118="D07",$C118="G6"),AZ117&amp;IF(AZ117="","",CHAR(10))&amp;$A118,AZ117)</f>
        <v/>
      </c>
      <c r="BA118" s="0" t="str">
        <f aca="false">IF(AND($B118="D08",$C118="G0"),BA117&amp;IF(BA117="","",CHAR(10))&amp;$A118,BA117)</f>
        <v/>
      </c>
      <c r="BB118" s="0" t="str">
        <f aca="false">IF(AND($B118="D08",$C118="G1"),BB117&amp;IF(BB117="","",CHAR(10))&amp;$A118,BB117)</f>
        <v/>
      </c>
      <c r="BC118" s="0" t="str">
        <f aca="false">IF(AND($B118="D08",$C118="G2"),BC117&amp;IF(BC117="","",CHAR(10))&amp;$A118,BC117)</f>
        <v>○ 045 人力與輪班模型</v>
      </c>
      <c r="BD118" s="0" t="str">
        <f aca="false">IF(AND($B118="D08",$C118="G3"),BD117&amp;IF(BD117="","",CHAR(10))&amp;$A118,BD117)</f>
        <v>◐ 046 職能矩陣與授權</v>
      </c>
      <c r="BE118" s="363" t="str">
        <f aca="false">IF(AND($B118="D08",$C118="G4"),BE117&amp;IF(BE117="","",CHAR(10))&amp;$A118,BE117)</f>
        <v>◐ 047 種子教師與技術移轉
◐ 049 變革管理與使用者採納</v>
      </c>
      <c r="BF118" s="0" t="str">
        <f aca="false">IF(AND($B118="D08",$C118="G5"),BF117&amp;IF(BF117="","",CHAR(10))&amp;$A118,BF117)</f>
        <v>◐ 048 模擬中心與開院演練</v>
      </c>
      <c r="BG118" s="0" t="str">
        <f aca="false">IF(AND($B118="D08",$C118="G6"),BG117&amp;IF(BG117="","",CHAR(10))&amp;$A118,BG117)</f>
        <v/>
      </c>
      <c r="BH118" s="0" t="str">
        <f aca="false">IF(AND($B118="D09",$C118="G0"),BH117&amp;IF(BH117="","",CHAR(10))&amp;$A118,BH117)</f>
        <v/>
      </c>
      <c r="BI118" s="0" t="str">
        <f aca="false">IF(AND($B118="D09",$C118="G1"),BI117&amp;IF(BI117="","",CHAR(10))&amp;$A118,BI117)</f>
        <v/>
      </c>
      <c r="BJ118" s="0" t="str">
        <f aca="false">IF(AND($B118="D09",$C118="G2"),BJ117&amp;IF(BJ117="","",CHAR(10))&amp;$A118,BJ117)</f>
        <v>◐ 050 整合採購與供應商治理</v>
      </c>
      <c r="BK118" s="0" t="str">
        <f aca="false">IF(AND($B118="D09",$C118="G3"),BK117&amp;IF(BK117="","",CHAR(10))&amp;$A118,BK117)</f>
        <v/>
      </c>
      <c r="BL118" s="363" t="str">
        <f aca="false">IF(AND($B118="D09",$C118="G4"),BL117&amp;IF(BL117="","",CHAR(10))&amp;$A118,BL117)</f>
        <v>◐ 051 藥品耗材與SPD物流
◐ 052 冷鏈與特殊物料
● 053 CMMS與設施維運</v>
      </c>
      <c r="BM118" s="0" t="str">
        <f aca="false">IF(AND($B118="D09",$C118="G5"),BM117&amp;IF(BM117="","",CHAR(10))&amp;$A118,BM117)</f>
        <v>◐ 054 在地備品、維修與汰換</v>
      </c>
      <c r="BN118" s="0" t="str">
        <f aca="false">IF(AND($B118="D09",$C118="G6"),BN117&amp;IF(BN117="","",CHAR(10))&amp;$A118,BN117)</f>
        <v/>
      </c>
      <c r="BO118" s="0" t="str">
        <f aca="false">IF(AND($B118="D10",$C118="G0"),BO117&amp;IF(BO117="","",CHAR(10))&amp;$A118,BO117)</f>
        <v/>
      </c>
      <c r="BP118" s="0" t="str">
        <f aca="false">IF(AND($B118="D10",$C118="G1"),BP117&amp;IF(BP117="","",CHAR(10))&amp;$A118,BP117)</f>
        <v>◐ 055 全生命週期成本模型</v>
      </c>
      <c r="BQ118" s="0" t="str">
        <f aca="false">IF(AND($B118="D10",$C118="G2"),BQ117&amp;IF(BQ117="","",CHAR(10))&amp;$A118,BQ117)</f>
        <v>◐ 059 PPP／JV財務與風險分配</v>
      </c>
      <c r="BR118" s="0" t="str">
        <f aca="false">IF(AND($B118="D10",$C118="G3"),BR117&amp;IF(BR117="","",CHAR(10))&amp;$A118,BR117)</f>
        <v/>
      </c>
      <c r="BS118" s="363" t="str">
        <f aca="false">IF(AND($B118="D10",$C118="G4"),BS117&amp;IF(BS117="","",CHAR(10))&amp;$A118,BS117)</f>
        <v>○ 056 健保申報與數位理賠
○ 057 現金流、支付與收入週期</v>
      </c>
      <c r="BT118" s="0" t="str">
        <f aca="false">IF(AND($B118="D10",$C118="G5"),BT117&amp;IF(BT117="","",CHAR(10))&amp;$A118,BT117)</f>
        <v>○ 058 國際醫療與高價值服務</v>
      </c>
      <c r="BU118" s="0" t="str">
        <f aca="false">IF(AND($B118="D10",$C118="G6"),BU117&amp;IF(BU117="","",CHAR(10))&amp;$A118,BU117)</f>
        <v>◐ 060 效益實現與複製藍圖</v>
      </c>
      <c r="BX118" s="0" t="str">
        <f aca="false">IF(AND(03_能力總表_Master!$A118&lt;&gt;"",LEFT(03_能力總表_Master!$H118,2)="缺口"),MAX($BX$4:BX117)+1,"")</f>
        <v/>
      </c>
      <c r="BY118" s="0" t="str">
        <f aca="false">IF(AND(03_能力總表_Master!$A118&lt;&gt;"",03_能力總表_Master!$J118=12_夥伴視角_PartnerView!$C$4),MAX($BY$4:BY117)+1,"")</f>
        <v/>
      </c>
      <c r="CC118" s="0" t="str">
        <f aca="false">IF(AND(03_能力總表_Master!$A118&lt;&gt;"",IFERROR(INDEX(16_能力商機矩陣_CapOppMap!$D118:$CO118,MATCH(LEFT(17_商機作戰卡_OppView!$C$4,6),16_能力商機矩陣_CapOppMap!$D$4:$CO$4,0)),"")="✓"),MAX($CC$4:CC117)+1,"")</f>
        <v/>
      </c>
    </row>
    <row r="119" customFormat="false" ht="95.5" hidden="false" customHeight="false" outlineLevel="0" collapsed="false">
      <c r="A119" s="0" t="str">
        <f aca="false">IF(03_能力總表_Master!$A119="","",IF(LEFT(03_能力總表_Master!$H119,2)="群晶","● ",IF(ISNUMBER(SEARCH("已確認",03_能力總表_Master!$H119)),"◆ ",IF(ISNUMBER(SEARCH("缺口",03_能力總表_Master!$H119)),"○ ","◐ ")))&amp;RIGHT(03_能力總表_Master!$A119,3)&amp;" "&amp;03_能力總表_Master!$E119)</f>
        <v/>
      </c>
      <c r="B119" s="0" t="str">
        <f aca="false">IF(03_能力總表_Master!$A119="","",LEFT(03_能力總表_Master!$B119,3))</f>
        <v/>
      </c>
      <c r="C119" s="0" t="str">
        <f aca="false">IF(03_能力總表_Master!$A119="","",03_能力總表_Master!$C119)</f>
        <v/>
      </c>
      <c r="D119" s="363" t="str">
        <f aca="false">IF(AND($B119="D01",$C119="G0"),D118&amp;IF(D118="","",CHAR(10))&amp;$A119,D118)</f>
        <v>◐ 001 政府授權與計畫章程
◐ 002 利害關係人與權力地圖
◐ 005 聯盟治理與利益衝突</v>
      </c>
      <c r="E119" s="363" t="str">
        <f aca="false">IF(AND($B119="D01",$C119="G1"),E118&amp;IF(E118="","",CHAR(10))&amp;$A119,E118)</f>
        <v>◐ 003 交易模式選擇
◐ 004 法規與執照路徑</v>
      </c>
      <c r="F119" s="0" t="str">
        <f aca="false">IF(AND($B119="D01",$C119="G2"),F118&amp;IF(F118="","",CHAR(10))&amp;$A119,F118)</f>
        <v>◐ 006 績效契約與變更控制</v>
      </c>
      <c r="G119" s="0" t="str">
        <f aca="false">IF(AND($B119="D01",$C119="G3"),G118&amp;IF(G118="","",CHAR(10))&amp;$A119,G118)</f>
        <v/>
      </c>
      <c r="H119" s="0" t="str">
        <f aca="false">IF(AND($B119="D01",$C119="G4"),H118&amp;IF(H118="","",CHAR(10))&amp;$A119,H118)</f>
        <v/>
      </c>
      <c r="I119" s="0" t="str">
        <f aca="false">IF(AND($B119="D01",$C119="G5"),I118&amp;IF(I118="","",CHAR(10))&amp;$A119,I118)</f>
        <v/>
      </c>
      <c r="J119" s="0" t="str">
        <f aca="false">IF(AND($B119="D01",$C119="G6"),J118&amp;IF(J118="","",CHAR(10))&amp;$A119,J118)</f>
        <v/>
      </c>
      <c r="K119" s="0" t="str">
        <f aca="false">IF(AND($B119="D02",$C119="G0"),K118&amp;IF(K118="","",CHAR(10))&amp;$A119,K118)</f>
        <v/>
      </c>
      <c r="L119" s="363" t="str">
        <f aca="false">IF(AND($B119="D02",$C119="G1"),L118&amp;IF(L118="","",CHAR(10))&amp;$A119,L118)</f>
        <v>◐ 007 人口需求與病例量預測
◐ 008 醫院定位與服務組合
◐ 009 重點專科優先化
◐ 010 病人流程與容量設計
◐ 011 轉診與區域照護網絡
◐ 012 臨床治理與責任架構</v>
      </c>
      <c r="M119" s="0" t="str">
        <f aca="false">IF(AND($B119="D02",$C119="G2"),M118&amp;IF(M118="","",CHAR(10))&amp;$A119,M118)</f>
        <v/>
      </c>
      <c r="N119" s="0" t="str">
        <f aca="false">IF(AND($B119="D02",$C119="G3"),N118&amp;IF(N118="","",CHAR(10))&amp;$A119,N118)</f>
        <v/>
      </c>
      <c r="O119" s="0" t="str">
        <f aca="false">IF(AND($B119="D02",$C119="G4"),O118&amp;IF(O118="","",CHAR(10))&amp;$A119,O118)</f>
        <v/>
      </c>
      <c r="P119" s="0" t="str">
        <f aca="false">IF(AND($B119="D02",$C119="G5"),P118&amp;IF(P118="","",CHAR(10))&amp;$A119,P118)</f>
        <v/>
      </c>
      <c r="Q119" s="0" t="str">
        <f aca="false">IF(AND($B119="D02",$C119="G6"),Q118&amp;IF(Q118="","",CHAR(10))&amp;$A119,Q118)</f>
        <v/>
      </c>
      <c r="R119" s="0" t="str">
        <f aca="false">IF(AND($B119="D03",$C119="G0"),R118&amp;IF(R118="","",CHAR(10))&amp;$A119,R118)</f>
        <v/>
      </c>
      <c r="S119" s="0" t="str">
        <f aca="false">IF(AND($B119="D03",$C119="G1"),S118&amp;IF(S118="","",CHAR(10))&amp;$A119,S118)</f>
        <v>◐ 013 場址與醫院總體規劃</v>
      </c>
      <c r="T119" s="363" t="str">
        <f aca="false">IF(AND($B119="D03",$C119="G2"),T118&amp;IF(T118="","",CHAR(10))&amp;$A119,T118)</f>
        <v>◐ 014 醫療建築功能計畫
◐ 015 感染控制與潔污動線
◐ 019 綠色與氣候韌性醫院</v>
      </c>
      <c r="U119" s="363" t="str">
        <f aca="false">IF(AND($B119="D03",$C119="G3"),U118&amp;IF(U118="","",CHAR(10))&amp;$A119,U118)</f>
        <v>● 016 電力、備援與微電網
◐ 017 醫療氣體與關鍵公用系統
◐ 018 醫療廢棄物與水資源</v>
      </c>
      <c r="V119" s="0" t="str">
        <f aca="false">IF(AND($B119="D03",$C119="G4"),V118&amp;IF(V118="","",CHAR(10))&amp;$A119,V118)</f>
        <v/>
      </c>
      <c r="W119" s="0" t="str">
        <f aca="false">IF(AND($B119="D03",$C119="G5"),W118&amp;IF(W118="","",CHAR(10))&amp;$A119,W118)</f>
        <v/>
      </c>
      <c r="X119" s="0" t="str">
        <f aca="false">IF(AND($B119="D03",$C119="G6"),X118&amp;IF(X118="","",CHAR(10))&amp;$A119,X118)</f>
        <v/>
      </c>
      <c r="Y119" s="0" t="str">
        <f aca="false">IF(AND($B119="D04",$C119="G0"),Y118&amp;IF(Y118="","",CHAR(10))&amp;$A119,Y118)</f>
        <v/>
      </c>
      <c r="Z119" s="0" t="str">
        <f aca="false">IF(AND($B119="D04",$C119="G1"),Z118&amp;IF(Z118="","",CHAR(10))&amp;$A119,Z118)</f>
        <v/>
      </c>
      <c r="AA119" s="0" t="str">
        <f aca="false">IF(AND($B119="D04",$C119="G2"),AA118&amp;IF(AA118="","",CHAR(10))&amp;$A119,AA118)</f>
        <v/>
      </c>
      <c r="AB119" s="0" t="str">
        <f aca="false">IF(AND($B119="D04",$C119="G3"),AB118&amp;IF(AB118="","",CHAR(10))&amp;$A119,AB118)</f>
        <v>● 020 IDC與邊緣運算底座</v>
      </c>
      <c r="AC119" s="363" t="str">
        <f aca="false">IF(AND($B119="D04",$C119="G4"),AC118&amp;IF(AC118="","",CHAR(10))&amp;$A119,AC118)</f>
        <v>● 021 有線無線網路與分區
◐ 022 資安營運與零信任
● 023 BMS與能源管理
● 024 RTLS與資產／人員定位
● 025 智慧病房、護理呼叫與感測
● 026 災難復原與營運持續</v>
      </c>
      <c r="AD119" s="0" t="str">
        <f aca="false">IF(AND($B119="D04",$C119="G5"),AD118&amp;IF(AD118="","",CHAR(10))&amp;$A119,AD118)</f>
        <v/>
      </c>
      <c r="AE119" s="0" t="str">
        <f aca="false">IF(AND($B119="D04",$C119="G6"),AE118&amp;IF(AE118="","",CHAR(10))&amp;$A119,AE118)</f>
        <v/>
      </c>
      <c r="AF119" s="0" t="str">
        <f aca="false">IF(AND($B119="D05",$C119="G0"),AF118&amp;IF(AF118="","",CHAR(10))&amp;$A119,AF118)</f>
        <v/>
      </c>
      <c r="AG119" s="0" t="str">
        <f aca="false">IF(AND($B119="D05",$C119="G1"),AG118&amp;IF(AG118="","",CHAR(10))&amp;$A119,AG118)</f>
        <v/>
      </c>
      <c r="AH119" s="0" t="str">
        <f aca="false">IF(AND($B119="D05",$C119="G2"),AH118&amp;IF(AH118="","",CHAR(10))&amp;$A119,AH118)</f>
        <v>◐ 027 醫材需求與設備計畫</v>
      </c>
      <c r="AI119" s="0" t="str">
        <f aca="false">IF(AND($B119="D05",$C119="G3"),AI118&amp;IF(AI118="","",CHAR(10))&amp;$A119,AI118)</f>
        <v/>
      </c>
      <c r="AJ119" s="363" t="str">
        <f aca="false">IF(AND($B119="D05",$C119="G4"),AJ118&amp;IF(AJ118="","",CHAR(10))&amp;$A119,AJ118)</f>
        <v>○ 028 影像設備、PACS與報告流程
○ 029 實驗室自動化與LIS
○ 030 手術室與重症整合
◐ 031 醫材介接與裝置身分
◐ 032 醫療工程與設備生命週期</v>
      </c>
      <c r="AK119" s="0" t="str">
        <f aca="false">IF(AND($B119="D05",$C119="G5"),AK118&amp;IF(AK118="","",CHAR(10))&amp;$A119,AK118)</f>
        <v/>
      </c>
      <c r="AL119" s="0" t="str">
        <f aca="false">IF(AND($B119="D05",$C119="G6"),AL118&amp;IF(AL118="","",CHAR(10))&amp;$A119,AL118)</f>
        <v/>
      </c>
      <c r="AM119" s="0" t="str">
        <f aca="false">IF(AND($B119="D06",$C119="G0"),AM118&amp;IF(AM118="","",CHAR(10))&amp;$A119,AM118)</f>
        <v/>
      </c>
      <c r="AN119" s="0" t="str">
        <f aca="false">IF(AND($B119="D06",$C119="G1"),AN118&amp;IF(AN118="","",CHAR(10))&amp;$A119,AN118)</f>
        <v/>
      </c>
      <c r="AO119" s="0" t="str">
        <f aca="false">IF(AND($B119="D06",$C119="G2"),AO118&amp;IF(AO118="","",CHAR(10))&amp;$A119,AO118)</f>
        <v/>
      </c>
      <c r="AP119" s="363" t="str">
        <f aca="false">IF(AND($B119="D06",$C119="G3"),AP118&amp;IF(AP118="","",CHAR(10))&amp;$A119,AP118)</f>
        <v>◐ 033 HIS／EMR核心平台
◐ 036 臨床術語與主資料治理</v>
      </c>
      <c r="AQ119" s="363" t="str">
        <f aca="false">IF(AND($B119="D06",$C119="G4"),AQ118&amp;IF(AQ118="","",CHAR(10))&amp;$A119,AQ118)</f>
        <v>◐ 034 FHIR介接與API管理
○ 035 主病人索引與身分整合
◐ 037 電子醫囑、用藥與決策支援
◐ 038 資料平台、BI與營運指揮</v>
      </c>
      <c r="AR119" s="0" t="str">
        <f aca="false">IF(AND($B119="D06",$C119="G5"),AR118&amp;IF(AR118="","",CHAR(10))&amp;$A119,AR118)</f>
        <v>○ 039 病人入口、行動服務與VNeID準備</v>
      </c>
      <c r="AS119" s="0" t="str">
        <f aca="false">IF(AND($B119="D06",$C119="G6"),AS118&amp;IF(AS118="","",CHAR(10))&amp;$A119,AS118)</f>
        <v/>
      </c>
      <c r="AT119" s="0" t="str">
        <f aca="false">IF(AND($B119="D07",$C119="G0"),AT118&amp;IF(AT118="","",CHAR(10))&amp;$A119,AT118)</f>
        <v/>
      </c>
      <c r="AU119" s="0" t="str">
        <f aca="false">IF(AND($B119="D07",$C119="G1"),AU118&amp;IF(AU118="","",CHAR(10))&amp;$A119,AU118)</f>
        <v/>
      </c>
      <c r="AV119" s="0" t="str">
        <f aca="false">IF(AND($B119="D07",$C119="G2"),AV118&amp;IF(AV118="","",CHAR(10))&amp;$A119,AV118)</f>
        <v>◐ 040 品質管理與JCI路線圖</v>
      </c>
      <c r="AW119" s="363" t="str">
        <f aca="false">IF(AND($B119="D07",$C119="G3"),AW118&amp;IF(AW118="","",CHAR(10))&amp;$A119,AW118)</f>
        <v>◐ 041 感染預防與控制制度
◐ 043 事件通報與根因改善</v>
      </c>
      <c r="AX119" s="0" t="str">
        <f aca="false">IF(AND($B119="D07",$C119="G4"),AX118&amp;IF(AX118="","",CHAR(10))&amp;$A119,AX118)</f>
        <v>◐ 042 用藥安全閉環</v>
      </c>
      <c r="AY119" s="0" t="str">
        <f aca="false">IF(AND($B119="D07",$C119="G5"),AY118&amp;IF(AY118="","",CHAR(10))&amp;$A119,AY118)</f>
        <v>◐ 044 開院臨床安全驗證</v>
      </c>
      <c r="AZ119" s="0" t="str">
        <f aca="false">IF(AND($B119="D07",$C119="G6"),AZ118&amp;IF(AZ118="","",CHAR(10))&amp;$A119,AZ118)</f>
        <v/>
      </c>
      <c r="BA119" s="0" t="str">
        <f aca="false">IF(AND($B119="D08",$C119="G0"),BA118&amp;IF(BA118="","",CHAR(10))&amp;$A119,BA118)</f>
        <v/>
      </c>
      <c r="BB119" s="0" t="str">
        <f aca="false">IF(AND($B119="D08",$C119="G1"),BB118&amp;IF(BB118="","",CHAR(10))&amp;$A119,BB118)</f>
        <v/>
      </c>
      <c r="BC119" s="0" t="str">
        <f aca="false">IF(AND($B119="D08",$C119="G2"),BC118&amp;IF(BC118="","",CHAR(10))&amp;$A119,BC118)</f>
        <v>○ 045 人力與輪班模型</v>
      </c>
      <c r="BD119" s="0" t="str">
        <f aca="false">IF(AND($B119="D08",$C119="G3"),BD118&amp;IF(BD118="","",CHAR(10))&amp;$A119,BD118)</f>
        <v>◐ 046 職能矩陣與授權</v>
      </c>
      <c r="BE119" s="363" t="str">
        <f aca="false">IF(AND($B119="D08",$C119="G4"),BE118&amp;IF(BE118="","",CHAR(10))&amp;$A119,BE118)</f>
        <v>◐ 047 種子教師與技術移轉
◐ 049 變革管理與使用者採納</v>
      </c>
      <c r="BF119" s="0" t="str">
        <f aca="false">IF(AND($B119="D08",$C119="G5"),BF118&amp;IF(BF118="","",CHAR(10))&amp;$A119,BF118)</f>
        <v>◐ 048 模擬中心與開院演練</v>
      </c>
      <c r="BG119" s="0" t="str">
        <f aca="false">IF(AND($B119="D08",$C119="G6"),BG118&amp;IF(BG118="","",CHAR(10))&amp;$A119,BG118)</f>
        <v/>
      </c>
      <c r="BH119" s="0" t="str">
        <f aca="false">IF(AND($B119="D09",$C119="G0"),BH118&amp;IF(BH118="","",CHAR(10))&amp;$A119,BH118)</f>
        <v/>
      </c>
      <c r="BI119" s="0" t="str">
        <f aca="false">IF(AND($B119="D09",$C119="G1"),BI118&amp;IF(BI118="","",CHAR(10))&amp;$A119,BI118)</f>
        <v/>
      </c>
      <c r="BJ119" s="0" t="str">
        <f aca="false">IF(AND($B119="D09",$C119="G2"),BJ118&amp;IF(BJ118="","",CHAR(10))&amp;$A119,BJ118)</f>
        <v>◐ 050 整合採購與供應商治理</v>
      </c>
      <c r="BK119" s="0" t="str">
        <f aca="false">IF(AND($B119="D09",$C119="G3"),BK118&amp;IF(BK118="","",CHAR(10))&amp;$A119,BK118)</f>
        <v/>
      </c>
      <c r="BL119" s="363" t="str">
        <f aca="false">IF(AND($B119="D09",$C119="G4"),BL118&amp;IF(BL118="","",CHAR(10))&amp;$A119,BL118)</f>
        <v>◐ 051 藥品耗材與SPD物流
◐ 052 冷鏈與特殊物料
● 053 CMMS與設施維運</v>
      </c>
      <c r="BM119" s="0" t="str">
        <f aca="false">IF(AND($B119="D09",$C119="G5"),BM118&amp;IF(BM118="","",CHAR(10))&amp;$A119,BM118)</f>
        <v>◐ 054 在地備品、維修與汰換</v>
      </c>
      <c r="BN119" s="0" t="str">
        <f aca="false">IF(AND($B119="D09",$C119="G6"),BN118&amp;IF(BN118="","",CHAR(10))&amp;$A119,BN118)</f>
        <v/>
      </c>
      <c r="BO119" s="0" t="str">
        <f aca="false">IF(AND($B119="D10",$C119="G0"),BO118&amp;IF(BO118="","",CHAR(10))&amp;$A119,BO118)</f>
        <v/>
      </c>
      <c r="BP119" s="0" t="str">
        <f aca="false">IF(AND($B119="D10",$C119="G1"),BP118&amp;IF(BP118="","",CHAR(10))&amp;$A119,BP118)</f>
        <v>◐ 055 全生命週期成本模型</v>
      </c>
      <c r="BQ119" s="0" t="str">
        <f aca="false">IF(AND($B119="D10",$C119="G2"),BQ118&amp;IF(BQ118="","",CHAR(10))&amp;$A119,BQ118)</f>
        <v>◐ 059 PPP／JV財務與風險分配</v>
      </c>
      <c r="BR119" s="0" t="str">
        <f aca="false">IF(AND($B119="D10",$C119="G3"),BR118&amp;IF(BR118="","",CHAR(10))&amp;$A119,BR118)</f>
        <v/>
      </c>
      <c r="BS119" s="363" t="str">
        <f aca="false">IF(AND($B119="D10",$C119="G4"),BS118&amp;IF(BS118="","",CHAR(10))&amp;$A119,BS118)</f>
        <v>○ 056 健保申報與數位理賠
○ 057 現金流、支付與收入週期</v>
      </c>
      <c r="BT119" s="0" t="str">
        <f aca="false">IF(AND($B119="D10",$C119="G5"),BT118&amp;IF(BT118="","",CHAR(10))&amp;$A119,BT118)</f>
        <v>○ 058 國際醫療與高價值服務</v>
      </c>
      <c r="BU119" s="0" t="str">
        <f aca="false">IF(AND($B119="D10",$C119="G6"),BU118&amp;IF(BU118="","",CHAR(10))&amp;$A119,BU118)</f>
        <v>◐ 060 效益實現與複製藍圖</v>
      </c>
      <c r="BX119" s="0" t="str">
        <f aca="false">IF(AND(03_能力總表_Master!$A119&lt;&gt;"",LEFT(03_能力總表_Master!$H119,2)="缺口"),MAX($BX$4:BX118)+1,"")</f>
        <v/>
      </c>
      <c r="BY119" s="0" t="str">
        <f aca="false">IF(AND(03_能力總表_Master!$A119&lt;&gt;"",03_能力總表_Master!$J119=12_夥伴視角_PartnerView!$C$4),MAX($BY$4:BY118)+1,"")</f>
        <v/>
      </c>
      <c r="CC119" s="0" t="str">
        <f aca="false">IF(AND(03_能力總表_Master!$A119&lt;&gt;"",IFERROR(INDEX(16_能力商機矩陣_CapOppMap!$D119:$CO119,MATCH(LEFT(17_商機作戰卡_OppView!$C$4,6),16_能力商機矩陣_CapOppMap!$D$4:$CO$4,0)),"")="✓"),MAX($CC$4:CC118)+1,"")</f>
        <v/>
      </c>
    </row>
    <row r="120" customFormat="false" ht="95.5" hidden="false" customHeight="false" outlineLevel="0" collapsed="false">
      <c r="A120" s="0" t="str">
        <f aca="false">IF(03_能力總表_Master!$A120="","",IF(LEFT(03_能力總表_Master!$H120,2)="群晶","● ",IF(ISNUMBER(SEARCH("已確認",03_能力總表_Master!$H120)),"◆ ",IF(ISNUMBER(SEARCH("缺口",03_能力總表_Master!$H120)),"○ ","◐ ")))&amp;RIGHT(03_能力總表_Master!$A120,3)&amp;" "&amp;03_能力總表_Master!$E120)</f>
        <v/>
      </c>
      <c r="B120" s="0" t="str">
        <f aca="false">IF(03_能力總表_Master!$A120="","",LEFT(03_能力總表_Master!$B120,3))</f>
        <v/>
      </c>
      <c r="C120" s="0" t="str">
        <f aca="false">IF(03_能力總表_Master!$A120="","",03_能力總表_Master!$C120)</f>
        <v/>
      </c>
      <c r="D120" s="363" t="str">
        <f aca="false">IF(AND($B120="D01",$C120="G0"),D119&amp;IF(D119="","",CHAR(10))&amp;$A120,D119)</f>
        <v>◐ 001 政府授權與計畫章程
◐ 002 利害關係人與權力地圖
◐ 005 聯盟治理與利益衝突</v>
      </c>
      <c r="E120" s="363" t="str">
        <f aca="false">IF(AND($B120="D01",$C120="G1"),E119&amp;IF(E119="","",CHAR(10))&amp;$A120,E119)</f>
        <v>◐ 003 交易模式選擇
◐ 004 法規與執照路徑</v>
      </c>
      <c r="F120" s="0" t="str">
        <f aca="false">IF(AND($B120="D01",$C120="G2"),F119&amp;IF(F119="","",CHAR(10))&amp;$A120,F119)</f>
        <v>◐ 006 績效契約與變更控制</v>
      </c>
      <c r="G120" s="0" t="str">
        <f aca="false">IF(AND($B120="D01",$C120="G3"),G119&amp;IF(G119="","",CHAR(10))&amp;$A120,G119)</f>
        <v/>
      </c>
      <c r="H120" s="0" t="str">
        <f aca="false">IF(AND($B120="D01",$C120="G4"),H119&amp;IF(H119="","",CHAR(10))&amp;$A120,H119)</f>
        <v/>
      </c>
      <c r="I120" s="0" t="str">
        <f aca="false">IF(AND($B120="D01",$C120="G5"),I119&amp;IF(I119="","",CHAR(10))&amp;$A120,I119)</f>
        <v/>
      </c>
      <c r="J120" s="0" t="str">
        <f aca="false">IF(AND($B120="D01",$C120="G6"),J119&amp;IF(J119="","",CHAR(10))&amp;$A120,J119)</f>
        <v/>
      </c>
      <c r="K120" s="0" t="str">
        <f aca="false">IF(AND($B120="D02",$C120="G0"),K119&amp;IF(K119="","",CHAR(10))&amp;$A120,K119)</f>
        <v/>
      </c>
      <c r="L120" s="363" t="str">
        <f aca="false">IF(AND($B120="D02",$C120="G1"),L119&amp;IF(L119="","",CHAR(10))&amp;$A120,L119)</f>
        <v>◐ 007 人口需求與病例量預測
◐ 008 醫院定位與服務組合
◐ 009 重點專科優先化
◐ 010 病人流程與容量設計
◐ 011 轉診與區域照護網絡
◐ 012 臨床治理與責任架構</v>
      </c>
      <c r="M120" s="0" t="str">
        <f aca="false">IF(AND($B120="D02",$C120="G2"),M119&amp;IF(M119="","",CHAR(10))&amp;$A120,M119)</f>
        <v/>
      </c>
      <c r="N120" s="0" t="str">
        <f aca="false">IF(AND($B120="D02",$C120="G3"),N119&amp;IF(N119="","",CHAR(10))&amp;$A120,N119)</f>
        <v/>
      </c>
      <c r="O120" s="0" t="str">
        <f aca="false">IF(AND($B120="D02",$C120="G4"),O119&amp;IF(O119="","",CHAR(10))&amp;$A120,O119)</f>
        <v/>
      </c>
      <c r="P120" s="0" t="str">
        <f aca="false">IF(AND($B120="D02",$C120="G5"),P119&amp;IF(P119="","",CHAR(10))&amp;$A120,P119)</f>
        <v/>
      </c>
      <c r="Q120" s="0" t="str">
        <f aca="false">IF(AND($B120="D02",$C120="G6"),Q119&amp;IF(Q119="","",CHAR(10))&amp;$A120,Q119)</f>
        <v/>
      </c>
      <c r="R120" s="0" t="str">
        <f aca="false">IF(AND($B120="D03",$C120="G0"),R119&amp;IF(R119="","",CHAR(10))&amp;$A120,R119)</f>
        <v/>
      </c>
      <c r="S120" s="0" t="str">
        <f aca="false">IF(AND($B120="D03",$C120="G1"),S119&amp;IF(S119="","",CHAR(10))&amp;$A120,S119)</f>
        <v>◐ 013 場址與醫院總體規劃</v>
      </c>
      <c r="T120" s="363" t="str">
        <f aca="false">IF(AND($B120="D03",$C120="G2"),T119&amp;IF(T119="","",CHAR(10))&amp;$A120,T119)</f>
        <v>◐ 014 醫療建築功能計畫
◐ 015 感染控制與潔污動線
◐ 019 綠色與氣候韌性醫院</v>
      </c>
      <c r="U120" s="363" t="str">
        <f aca="false">IF(AND($B120="D03",$C120="G3"),U119&amp;IF(U119="","",CHAR(10))&amp;$A120,U119)</f>
        <v>● 016 電力、備援與微電網
◐ 017 醫療氣體與關鍵公用系統
◐ 018 醫療廢棄物與水資源</v>
      </c>
      <c r="V120" s="0" t="str">
        <f aca="false">IF(AND($B120="D03",$C120="G4"),V119&amp;IF(V119="","",CHAR(10))&amp;$A120,V119)</f>
        <v/>
      </c>
      <c r="W120" s="0" t="str">
        <f aca="false">IF(AND($B120="D03",$C120="G5"),W119&amp;IF(W119="","",CHAR(10))&amp;$A120,W119)</f>
        <v/>
      </c>
      <c r="X120" s="0" t="str">
        <f aca="false">IF(AND($B120="D03",$C120="G6"),X119&amp;IF(X119="","",CHAR(10))&amp;$A120,X119)</f>
        <v/>
      </c>
      <c r="Y120" s="0" t="str">
        <f aca="false">IF(AND($B120="D04",$C120="G0"),Y119&amp;IF(Y119="","",CHAR(10))&amp;$A120,Y119)</f>
        <v/>
      </c>
      <c r="Z120" s="0" t="str">
        <f aca="false">IF(AND($B120="D04",$C120="G1"),Z119&amp;IF(Z119="","",CHAR(10))&amp;$A120,Z119)</f>
        <v/>
      </c>
      <c r="AA120" s="0" t="str">
        <f aca="false">IF(AND($B120="D04",$C120="G2"),AA119&amp;IF(AA119="","",CHAR(10))&amp;$A120,AA119)</f>
        <v/>
      </c>
      <c r="AB120" s="0" t="str">
        <f aca="false">IF(AND($B120="D04",$C120="G3"),AB119&amp;IF(AB119="","",CHAR(10))&amp;$A120,AB119)</f>
        <v>● 020 IDC與邊緣運算底座</v>
      </c>
      <c r="AC120" s="363" t="str">
        <f aca="false">IF(AND($B120="D04",$C120="G4"),AC119&amp;IF(AC119="","",CHAR(10))&amp;$A120,AC119)</f>
        <v>● 021 有線無線網路與分區
◐ 022 資安營運與零信任
● 023 BMS與能源管理
● 024 RTLS與資產／人員定位
● 025 智慧病房、護理呼叫與感測
● 026 災難復原與營運持續</v>
      </c>
      <c r="AD120" s="0" t="str">
        <f aca="false">IF(AND($B120="D04",$C120="G5"),AD119&amp;IF(AD119="","",CHAR(10))&amp;$A120,AD119)</f>
        <v/>
      </c>
      <c r="AE120" s="0" t="str">
        <f aca="false">IF(AND($B120="D04",$C120="G6"),AE119&amp;IF(AE119="","",CHAR(10))&amp;$A120,AE119)</f>
        <v/>
      </c>
      <c r="AF120" s="0" t="str">
        <f aca="false">IF(AND($B120="D05",$C120="G0"),AF119&amp;IF(AF119="","",CHAR(10))&amp;$A120,AF119)</f>
        <v/>
      </c>
      <c r="AG120" s="0" t="str">
        <f aca="false">IF(AND($B120="D05",$C120="G1"),AG119&amp;IF(AG119="","",CHAR(10))&amp;$A120,AG119)</f>
        <v/>
      </c>
      <c r="AH120" s="0" t="str">
        <f aca="false">IF(AND($B120="D05",$C120="G2"),AH119&amp;IF(AH119="","",CHAR(10))&amp;$A120,AH119)</f>
        <v>◐ 027 醫材需求與設備計畫</v>
      </c>
      <c r="AI120" s="0" t="str">
        <f aca="false">IF(AND($B120="D05",$C120="G3"),AI119&amp;IF(AI119="","",CHAR(10))&amp;$A120,AI119)</f>
        <v/>
      </c>
      <c r="AJ120" s="363" t="str">
        <f aca="false">IF(AND($B120="D05",$C120="G4"),AJ119&amp;IF(AJ119="","",CHAR(10))&amp;$A120,AJ119)</f>
        <v>○ 028 影像設備、PACS與報告流程
○ 029 實驗室自動化與LIS
○ 030 手術室與重症整合
◐ 031 醫材介接與裝置身分
◐ 032 醫療工程與設備生命週期</v>
      </c>
      <c r="AK120" s="0" t="str">
        <f aca="false">IF(AND($B120="D05",$C120="G5"),AK119&amp;IF(AK119="","",CHAR(10))&amp;$A120,AK119)</f>
        <v/>
      </c>
      <c r="AL120" s="0" t="str">
        <f aca="false">IF(AND($B120="D05",$C120="G6"),AL119&amp;IF(AL119="","",CHAR(10))&amp;$A120,AL119)</f>
        <v/>
      </c>
      <c r="AM120" s="0" t="str">
        <f aca="false">IF(AND($B120="D06",$C120="G0"),AM119&amp;IF(AM119="","",CHAR(10))&amp;$A120,AM119)</f>
        <v/>
      </c>
      <c r="AN120" s="0" t="str">
        <f aca="false">IF(AND($B120="D06",$C120="G1"),AN119&amp;IF(AN119="","",CHAR(10))&amp;$A120,AN119)</f>
        <v/>
      </c>
      <c r="AO120" s="0" t="str">
        <f aca="false">IF(AND($B120="D06",$C120="G2"),AO119&amp;IF(AO119="","",CHAR(10))&amp;$A120,AO119)</f>
        <v/>
      </c>
      <c r="AP120" s="363" t="str">
        <f aca="false">IF(AND($B120="D06",$C120="G3"),AP119&amp;IF(AP119="","",CHAR(10))&amp;$A120,AP119)</f>
        <v>◐ 033 HIS／EMR核心平台
◐ 036 臨床術語與主資料治理</v>
      </c>
      <c r="AQ120" s="363" t="str">
        <f aca="false">IF(AND($B120="D06",$C120="G4"),AQ119&amp;IF(AQ119="","",CHAR(10))&amp;$A120,AQ119)</f>
        <v>◐ 034 FHIR介接與API管理
○ 035 主病人索引與身分整合
◐ 037 電子醫囑、用藥與決策支援
◐ 038 資料平台、BI與營運指揮</v>
      </c>
      <c r="AR120" s="0" t="str">
        <f aca="false">IF(AND($B120="D06",$C120="G5"),AR119&amp;IF(AR119="","",CHAR(10))&amp;$A120,AR119)</f>
        <v>○ 039 病人入口、行動服務與VNeID準備</v>
      </c>
      <c r="AS120" s="0" t="str">
        <f aca="false">IF(AND($B120="D06",$C120="G6"),AS119&amp;IF(AS119="","",CHAR(10))&amp;$A120,AS119)</f>
        <v/>
      </c>
      <c r="AT120" s="0" t="str">
        <f aca="false">IF(AND($B120="D07",$C120="G0"),AT119&amp;IF(AT119="","",CHAR(10))&amp;$A120,AT119)</f>
        <v/>
      </c>
      <c r="AU120" s="0" t="str">
        <f aca="false">IF(AND($B120="D07",$C120="G1"),AU119&amp;IF(AU119="","",CHAR(10))&amp;$A120,AU119)</f>
        <v/>
      </c>
      <c r="AV120" s="0" t="str">
        <f aca="false">IF(AND($B120="D07",$C120="G2"),AV119&amp;IF(AV119="","",CHAR(10))&amp;$A120,AV119)</f>
        <v>◐ 040 品質管理與JCI路線圖</v>
      </c>
      <c r="AW120" s="363" t="str">
        <f aca="false">IF(AND($B120="D07",$C120="G3"),AW119&amp;IF(AW119="","",CHAR(10))&amp;$A120,AW119)</f>
        <v>◐ 041 感染預防與控制制度
◐ 043 事件通報與根因改善</v>
      </c>
      <c r="AX120" s="0" t="str">
        <f aca="false">IF(AND($B120="D07",$C120="G4"),AX119&amp;IF(AX119="","",CHAR(10))&amp;$A120,AX119)</f>
        <v>◐ 042 用藥安全閉環</v>
      </c>
      <c r="AY120" s="0" t="str">
        <f aca="false">IF(AND($B120="D07",$C120="G5"),AY119&amp;IF(AY119="","",CHAR(10))&amp;$A120,AY119)</f>
        <v>◐ 044 開院臨床安全驗證</v>
      </c>
      <c r="AZ120" s="0" t="str">
        <f aca="false">IF(AND($B120="D07",$C120="G6"),AZ119&amp;IF(AZ119="","",CHAR(10))&amp;$A120,AZ119)</f>
        <v/>
      </c>
      <c r="BA120" s="0" t="str">
        <f aca="false">IF(AND($B120="D08",$C120="G0"),BA119&amp;IF(BA119="","",CHAR(10))&amp;$A120,BA119)</f>
        <v/>
      </c>
      <c r="BB120" s="0" t="str">
        <f aca="false">IF(AND($B120="D08",$C120="G1"),BB119&amp;IF(BB119="","",CHAR(10))&amp;$A120,BB119)</f>
        <v/>
      </c>
      <c r="BC120" s="0" t="str">
        <f aca="false">IF(AND($B120="D08",$C120="G2"),BC119&amp;IF(BC119="","",CHAR(10))&amp;$A120,BC119)</f>
        <v>○ 045 人力與輪班模型</v>
      </c>
      <c r="BD120" s="0" t="str">
        <f aca="false">IF(AND($B120="D08",$C120="G3"),BD119&amp;IF(BD119="","",CHAR(10))&amp;$A120,BD119)</f>
        <v>◐ 046 職能矩陣與授權</v>
      </c>
      <c r="BE120" s="363" t="str">
        <f aca="false">IF(AND($B120="D08",$C120="G4"),BE119&amp;IF(BE119="","",CHAR(10))&amp;$A120,BE119)</f>
        <v>◐ 047 種子教師與技術移轉
◐ 049 變革管理與使用者採納</v>
      </c>
      <c r="BF120" s="0" t="str">
        <f aca="false">IF(AND($B120="D08",$C120="G5"),BF119&amp;IF(BF119="","",CHAR(10))&amp;$A120,BF119)</f>
        <v>◐ 048 模擬中心與開院演練</v>
      </c>
      <c r="BG120" s="0" t="str">
        <f aca="false">IF(AND($B120="D08",$C120="G6"),BG119&amp;IF(BG119="","",CHAR(10))&amp;$A120,BG119)</f>
        <v/>
      </c>
      <c r="BH120" s="0" t="str">
        <f aca="false">IF(AND($B120="D09",$C120="G0"),BH119&amp;IF(BH119="","",CHAR(10))&amp;$A120,BH119)</f>
        <v/>
      </c>
      <c r="BI120" s="0" t="str">
        <f aca="false">IF(AND($B120="D09",$C120="G1"),BI119&amp;IF(BI119="","",CHAR(10))&amp;$A120,BI119)</f>
        <v/>
      </c>
      <c r="BJ120" s="0" t="str">
        <f aca="false">IF(AND($B120="D09",$C120="G2"),BJ119&amp;IF(BJ119="","",CHAR(10))&amp;$A120,BJ119)</f>
        <v>◐ 050 整合採購與供應商治理</v>
      </c>
      <c r="BK120" s="0" t="str">
        <f aca="false">IF(AND($B120="D09",$C120="G3"),BK119&amp;IF(BK119="","",CHAR(10))&amp;$A120,BK119)</f>
        <v/>
      </c>
      <c r="BL120" s="363" t="str">
        <f aca="false">IF(AND($B120="D09",$C120="G4"),BL119&amp;IF(BL119="","",CHAR(10))&amp;$A120,BL119)</f>
        <v>◐ 051 藥品耗材與SPD物流
◐ 052 冷鏈與特殊物料
● 053 CMMS與設施維運</v>
      </c>
      <c r="BM120" s="0" t="str">
        <f aca="false">IF(AND($B120="D09",$C120="G5"),BM119&amp;IF(BM119="","",CHAR(10))&amp;$A120,BM119)</f>
        <v>◐ 054 在地備品、維修與汰換</v>
      </c>
      <c r="BN120" s="0" t="str">
        <f aca="false">IF(AND($B120="D09",$C120="G6"),BN119&amp;IF(BN119="","",CHAR(10))&amp;$A120,BN119)</f>
        <v/>
      </c>
      <c r="BO120" s="0" t="str">
        <f aca="false">IF(AND($B120="D10",$C120="G0"),BO119&amp;IF(BO119="","",CHAR(10))&amp;$A120,BO119)</f>
        <v/>
      </c>
      <c r="BP120" s="0" t="str">
        <f aca="false">IF(AND($B120="D10",$C120="G1"),BP119&amp;IF(BP119="","",CHAR(10))&amp;$A120,BP119)</f>
        <v>◐ 055 全生命週期成本模型</v>
      </c>
      <c r="BQ120" s="0" t="str">
        <f aca="false">IF(AND($B120="D10",$C120="G2"),BQ119&amp;IF(BQ119="","",CHAR(10))&amp;$A120,BQ119)</f>
        <v>◐ 059 PPP／JV財務與風險分配</v>
      </c>
      <c r="BR120" s="0" t="str">
        <f aca="false">IF(AND($B120="D10",$C120="G3"),BR119&amp;IF(BR119="","",CHAR(10))&amp;$A120,BR119)</f>
        <v/>
      </c>
      <c r="BS120" s="363" t="str">
        <f aca="false">IF(AND($B120="D10",$C120="G4"),BS119&amp;IF(BS119="","",CHAR(10))&amp;$A120,BS119)</f>
        <v>○ 056 健保申報與數位理賠
○ 057 現金流、支付與收入週期</v>
      </c>
      <c r="BT120" s="0" t="str">
        <f aca="false">IF(AND($B120="D10",$C120="G5"),BT119&amp;IF(BT119="","",CHAR(10))&amp;$A120,BT119)</f>
        <v>○ 058 國際醫療與高價值服務</v>
      </c>
      <c r="BU120" s="0" t="str">
        <f aca="false">IF(AND($B120="D10",$C120="G6"),BU119&amp;IF(BU119="","",CHAR(10))&amp;$A120,BU119)</f>
        <v>◐ 060 效益實現與複製藍圖</v>
      </c>
      <c r="BX120" s="0" t="str">
        <f aca="false">IF(AND(03_能力總表_Master!$A120&lt;&gt;"",LEFT(03_能力總表_Master!$H120,2)="缺口"),MAX($BX$4:BX119)+1,"")</f>
        <v/>
      </c>
      <c r="BY120" s="0" t="str">
        <f aca="false">IF(AND(03_能力總表_Master!$A120&lt;&gt;"",03_能力總表_Master!$J120=12_夥伴視角_PartnerView!$C$4),MAX($BY$4:BY119)+1,"")</f>
        <v/>
      </c>
      <c r="CC120" s="0" t="str">
        <f aca="false">IF(AND(03_能力總表_Master!$A120&lt;&gt;"",IFERROR(INDEX(16_能力商機矩陣_CapOppMap!$D120:$CO120,MATCH(LEFT(17_商機作戰卡_OppView!$C$4,6),16_能力商機矩陣_CapOppMap!$D$4:$CO$4,0)),"")="✓"),MAX($CC$4:CC119)+1,"")</f>
        <v/>
      </c>
    </row>
    <row r="121" customFormat="false" ht="95.5" hidden="false" customHeight="false" outlineLevel="0" collapsed="false">
      <c r="A121" s="0" t="str">
        <f aca="false">IF(03_能力總表_Master!$A121="","",IF(LEFT(03_能力總表_Master!$H121,2)="群晶","● ",IF(ISNUMBER(SEARCH("已確認",03_能力總表_Master!$H121)),"◆ ",IF(ISNUMBER(SEARCH("缺口",03_能力總表_Master!$H121)),"○ ","◐ ")))&amp;RIGHT(03_能力總表_Master!$A121,3)&amp;" "&amp;03_能力總表_Master!$E121)</f>
        <v/>
      </c>
      <c r="B121" s="0" t="str">
        <f aca="false">IF(03_能力總表_Master!$A121="","",LEFT(03_能力總表_Master!$B121,3))</f>
        <v/>
      </c>
      <c r="C121" s="0" t="str">
        <f aca="false">IF(03_能力總表_Master!$A121="","",03_能力總表_Master!$C121)</f>
        <v/>
      </c>
      <c r="D121" s="363" t="str">
        <f aca="false">IF(AND($B121="D01",$C121="G0"),D120&amp;IF(D120="","",CHAR(10))&amp;$A121,D120)</f>
        <v>◐ 001 政府授權與計畫章程
◐ 002 利害關係人與權力地圖
◐ 005 聯盟治理與利益衝突</v>
      </c>
      <c r="E121" s="363" t="str">
        <f aca="false">IF(AND($B121="D01",$C121="G1"),E120&amp;IF(E120="","",CHAR(10))&amp;$A121,E120)</f>
        <v>◐ 003 交易模式選擇
◐ 004 法規與執照路徑</v>
      </c>
      <c r="F121" s="0" t="str">
        <f aca="false">IF(AND($B121="D01",$C121="G2"),F120&amp;IF(F120="","",CHAR(10))&amp;$A121,F120)</f>
        <v>◐ 006 績效契約與變更控制</v>
      </c>
      <c r="G121" s="0" t="str">
        <f aca="false">IF(AND($B121="D01",$C121="G3"),G120&amp;IF(G120="","",CHAR(10))&amp;$A121,G120)</f>
        <v/>
      </c>
      <c r="H121" s="0" t="str">
        <f aca="false">IF(AND($B121="D01",$C121="G4"),H120&amp;IF(H120="","",CHAR(10))&amp;$A121,H120)</f>
        <v/>
      </c>
      <c r="I121" s="0" t="str">
        <f aca="false">IF(AND($B121="D01",$C121="G5"),I120&amp;IF(I120="","",CHAR(10))&amp;$A121,I120)</f>
        <v/>
      </c>
      <c r="J121" s="0" t="str">
        <f aca="false">IF(AND($B121="D01",$C121="G6"),J120&amp;IF(J120="","",CHAR(10))&amp;$A121,J120)</f>
        <v/>
      </c>
      <c r="K121" s="0" t="str">
        <f aca="false">IF(AND($B121="D02",$C121="G0"),K120&amp;IF(K120="","",CHAR(10))&amp;$A121,K120)</f>
        <v/>
      </c>
      <c r="L121" s="363" t="str">
        <f aca="false">IF(AND($B121="D02",$C121="G1"),L120&amp;IF(L120="","",CHAR(10))&amp;$A121,L120)</f>
        <v>◐ 007 人口需求與病例量預測
◐ 008 醫院定位與服務組合
◐ 009 重點專科優先化
◐ 010 病人流程與容量設計
◐ 011 轉診與區域照護網絡
◐ 012 臨床治理與責任架構</v>
      </c>
      <c r="M121" s="0" t="str">
        <f aca="false">IF(AND($B121="D02",$C121="G2"),M120&amp;IF(M120="","",CHAR(10))&amp;$A121,M120)</f>
        <v/>
      </c>
      <c r="N121" s="0" t="str">
        <f aca="false">IF(AND($B121="D02",$C121="G3"),N120&amp;IF(N120="","",CHAR(10))&amp;$A121,N120)</f>
        <v/>
      </c>
      <c r="O121" s="0" t="str">
        <f aca="false">IF(AND($B121="D02",$C121="G4"),O120&amp;IF(O120="","",CHAR(10))&amp;$A121,O120)</f>
        <v/>
      </c>
      <c r="P121" s="0" t="str">
        <f aca="false">IF(AND($B121="D02",$C121="G5"),P120&amp;IF(P120="","",CHAR(10))&amp;$A121,P120)</f>
        <v/>
      </c>
      <c r="Q121" s="0" t="str">
        <f aca="false">IF(AND($B121="D02",$C121="G6"),Q120&amp;IF(Q120="","",CHAR(10))&amp;$A121,Q120)</f>
        <v/>
      </c>
      <c r="R121" s="0" t="str">
        <f aca="false">IF(AND($B121="D03",$C121="G0"),R120&amp;IF(R120="","",CHAR(10))&amp;$A121,R120)</f>
        <v/>
      </c>
      <c r="S121" s="0" t="str">
        <f aca="false">IF(AND($B121="D03",$C121="G1"),S120&amp;IF(S120="","",CHAR(10))&amp;$A121,S120)</f>
        <v>◐ 013 場址與醫院總體規劃</v>
      </c>
      <c r="T121" s="363" t="str">
        <f aca="false">IF(AND($B121="D03",$C121="G2"),T120&amp;IF(T120="","",CHAR(10))&amp;$A121,T120)</f>
        <v>◐ 014 醫療建築功能計畫
◐ 015 感染控制與潔污動線
◐ 019 綠色與氣候韌性醫院</v>
      </c>
      <c r="U121" s="363" t="str">
        <f aca="false">IF(AND($B121="D03",$C121="G3"),U120&amp;IF(U120="","",CHAR(10))&amp;$A121,U120)</f>
        <v>● 016 電力、備援與微電網
◐ 017 醫療氣體與關鍵公用系統
◐ 018 醫療廢棄物與水資源</v>
      </c>
      <c r="V121" s="0" t="str">
        <f aca="false">IF(AND($B121="D03",$C121="G4"),V120&amp;IF(V120="","",CHAR(10))&amp;$A121,V120)</f>
        <v/>
      </c>
      <c r="W121" s="0" t="str">
        <f aca="false">IF(AND($B121="D03",$C121="G5"),W120&amp;IF(W120="","",CHAR(10))&amp;$A121,W120)</f>
        <v/>
      </c>
      <c r="X121" s="0" t="str">
        <f aca="false">IF(AND($B121="D03",$C121="G6"),X120&amp;IF(X120="","",CHAR(10))&amp;$A121,X120)</f>
        <v/>
      </c>
      <c r="Y121" s="0" t="str">
        <f aca="false">IF(AND($B121="D04",$C121="G0"),Y120&amp;IF(Y120="","",CHAR(10))&amp;$A121,Y120)</f>
        <v/>
      </c>
      <c r="Z121" s="0" t="str">
        <f aca="false">IF(AND($B121="D04",$C121="G1"),Z120&amp;IF(Z120="","",CHAR(10))&amp;$A121,Z120)</f>
        <v/>
      </c>
      <c r="AA121" s="0" t="str">
        <f aca="false">IF(AND($B121="D04",$C121="G2"),AA120&amp;IF(AA120="","",CHAR(10))&amp;$A121,AA120)</f>
        <v/>
      </c>
      <c r="AB121" s="0" t="str">
        <f aca="false">IF(AND($B121="D04",$C121="G3"),AB120&amp;IF(AB120="","",CHAR(10))&amp;$A121,AB120)</f>
        <v>● 020 IDC與邊緣運算底座</v>
      </c>
      <c r="AC121" s="363" t="str">
        <f aca="false">IF(AND($B121="D04",$C121="G4"),AC120&amp;IF(AC120="","",CHAR(10))&amp;$A121,AC120)</f>
        <v>● 021 有線無線網路與分區
◐ 022 資安營運與零信任
● 023 BMS與能源管理
● 024 RTLS與資產／人員定位
● 025 智慧病房、護理呼叫與感測
● 026 災難復原與營運持續</v>
      </c>
      <c r="AD121" s="0" t="str">
        <f aca="false">IF(AND($B121="D04",$C121="G5"),AD120&amp;IF(AD120="","",CHAR(10))&amp;$A121,AD120)</f>
        <v/>
      </c>
      <c r="AE121" s="0" t="str">
        <f aca="false">IF(AND($B121="D04",$C121="G6"),AE120&amp;IF(AE120="","",CHAR(10))&amp;$A121,AE120)</f>
        <v/>
      </c>
      <c r="AF121" s="0" t="str">
        <f aca="false">IF(AND($B121="D05",$C121="G0"),AF120&amp;IF(AF120="","",CHAR(10))&amp;$A121,AF120)</f>
        <v/>
      </c>
      <c r="AG121" s="0" t="str">
        <f aca="false">IF(AND($B121="D05",$C121="G1"),AG120&amp;IF(AG120="","",CHAR(10))&amp;$A121,AG120)</f>
        <v/>
      </c>
      <c r="AH121" s="0" t="str">
        <f aca="false">IF(AND($B121="D05",$C121="G2"),AH120&amp;IF(AH120="","",CHAR(10))&amp;$A121,AH120)</f>
        <v>◐ 027 醫材需求與設備計畫</v>
      </c>
      <c r="AI121" s="0" t="str">
        <f aca="false">IF(AND($B121="D05",$C121="G3"),AI120&amp;IF(AI120="","",CHAR(10))&amp;$A121,AI120)</f>
        <v/>
      </c>
      <c r="AJ121" s="363" t="str">
        <f aca="false">IF(AND($B121="D05",$C121="G4"),AJ120&amp;IF(AJ120="","",CHAR(10))&amp;$A121,AJ120)</f>
        <v>○ 028 影像設備、PACS與報告流程
○ 029 實驗室自動化與LIS
○ 030 手術室與重症整合
◐ 031 醫材介接與裝置身分
◐ 032 醫療工程與設備生命週期</v>
      </c>
      <c r="AK121" s="0" t="str">
        <f aca="false">IF(AND($B121="D05",$C121="G5"),AK120&amp;IF(AK120="","",CHAR(10))&amp;$A121,AK120)</f>
        <v/>
      </c>
      <c r="AL121" s="0" t="str">
        <f aca="false">IF(AND($B121="D05",$C121="G6"),AL120&amp;IF(AL120="","",CHAR(10))&amp;$A121,AL120)</f>
        <v/>
      </c>
      <c r="AM121" s="0" t="str">
        <f aca="false">IF(AND($B121="D06",$C121="G0"),AM120&amp;IF(AM120="","",CHAR(10))&amp;$A121,AM120)</f>
        <v/>
      </c>
      <c r="AN121" s="0" t="str">
        <f aca="false">IF(AND($B121="D06",$C121="G1"),AN120&amp;IF(AN120="","",CHAR(10))&amp;$A121,AN120)</f>
        <v/>
      </c>
      <c r="AO121" s="0" t="str">
        <f aca="false">IF(AND($B121="D06",$C121="G2"),AO120&amp;IF(AO120="","",CHAR(10))&amp;$A121,AO120)</f>
        <v/>
      </c>
      <c r="AP121" s="363" t="str">
        <f aca="false">IF(AND($B121="D06",$C121="G3"),AP120&amp;IF(AP120="","",CHAR(10))&amp;$A121,AP120)</f>
        <v>◐ 033 HIS／EMR核心平台
◐ 036 臨床術語與主資料治理</v>
      </c>
      <c r="AQ121" s="363" t="str">
        <f aca="false">IF(AND($B121="D06",$C121="G4"),AQ120&amp;IF(AQ120="","",CHAR(10))&amp;$A121,AQ120)</f>
        <v>◐ 034 FHIR介接與API管理
○ 035 主病人索引與身分整合
◐ 037 電子醫囑、用藥與決策支援
◐ 038 資料平台、BI與營運指揮</v>
      </c>
      <c r="AR121" s="0" t="str">
        <f aca="false">IF(AND($B121="D06",$C121="G5"),AR120&amp;IF(AR120="","",CHAR(10))&amp;$A121,AR120)</f>
        <v>○ 039 病人入口、行動服務與VNeID準備</v>
      </c>
      <c r="AS121" s="0" t="str">
        <f aca="false">IF(AND($B121="D06",$C121="G6"),AS120&amp;IF(AS120="","",CHAR(10))&amp;$A121,AS120)</f>
        <v/>
      </c>
      <c r="AT121" s="0" t="str">
        <f aca="false">IF(AND($B121="D07",$C121="G0"),AT120&amp;IF(AT120="","",CHAR(10))&amp;$A121,AT120)</f>
        <v/>
      </c>
      <c r="AU121" s="0" t="str">
        <f aca="false">IF(AND($B121="D07",$C121="G1"),AU120&amp;IF(AU120="","",CHAR(10))&amp;$A121,AU120)</f>
        <v/>
      </c>
      <c r="AV121" s="0" t="str">
        <f aca="false">IF(AND($B121="D07",$C121="G2"),AV120&amp;IF(AV120="","",CHAR(10))&amp;$A121,AV120)</f>
        <v>◐ 040 品質管理與JCI路線圖</v>
      </c>
      <c r="AW121" s="363" t="str">
        <f aca="false">IF(AND($B121="D07",$C121="G3"),AW120&amp;IF(AW120="","",CHAR(10))&amp;$A121,AW120)</f>
        <v>◐ 041 感染預防與控制制度
◐ 043 事件通報與根因改善</v>
      </c>
      <c r="AX121" s="0" t="str">
        <f aca="false">IF(AND($B121="D07",$C121="G4"),AX120&amp;IF(AX120="","",CHAR(10))&amp;$A121,AX120)</f>
        <v>◐ 042 用藥安全閉環</v>
      </c>
      <c r="AY121" s="0" t="str">
        <f aca="false">IF(AND($B121="D07",$C121="G5"),AY120&amp;IF(AY120="","",CHAR(10))&amp;$A121,AY120)</f>
        <v>◐ 044 開院臨床安全驗證</v>
      </c>
      <c r="AZ121" s="0" t="str">
        <f aca="false">IF(AND($B121="D07",$C121="G6"),AZ120&amp;IF(AZ120="","",CHAR(10))&amp;$A121,AZ120)</f>
        <v/>
      </c>
      <c r="BA121" s="0" t="str">
        <f aca="false">IF(AND($B121="D08",$C121="G0"),BA120&amp;IF(BA120="","",CHAR(10))&amp;$A121,BA120)</f>
        <v/>
      </c>
      <c r="BB121" s="0" t="str">
        <f aca="false">IF(AND($B121="D08",$C121="G1"),BB120&amp;IF(BB120="","",CHAR(10))&amp;$A121,BB120)</f>
        <v/>
      </c>
      <c r="BC121" s="0" t="str">
        <f aca="false">IF(AND($B121="D08",$C121="G2"),BC120&amp;IF(BC120="","",CHAR(10))&amp;$A121,BC120)</f>
        <v>○ 045 人力與輪班模型</v>
      </c>
      <c r="BD121" s="0" t="str">
        <f aca="false">IF(AND($B121="D08",$C121="G3"),BD120&amp;IF(BD120="","",CHAR(10))&amp;$A121,BD120)</f>
        <v>◐ 046 職能矩陣與授權</v>
      </c>
      <c r="BE121" s="363" t="str">
        <f aca="false">IF(AND($B121="D08",$C121="G4"),BE120&amp;IF(BE120="","",CHAR(10))&amp;$A121,BE120)</f>
        <v>◐ 047 種子教師與技術移轉
◐ 049 變革管理與使用者採納</v>
      </c>
      <c r="BF121" s="0" t="str">
        <f aca="false">IF(AND($B121="D08",$C121="G5"),BF120&amp;IF(BF120="","",CHAR(10))&amp;$A121,BF120)</f>
        <v>◐ 048 模擬中心與開院演練</v>
      </c>
      <c r="BG121" s="0" t="str">
        <f aca="false">IF(AND($B121="D08",$C121="G6"),BG120&amp;IF(BG120="","",CHAR(10))&amp;$A121,BG120)</f>
        <v/>
      </c>
      <c r="BH121" s="0" t="str">
        <f aca="false">IF(AND($B121="D09",$C121="G0"),BH120&amp;IF(BH120="","",CHAR(10))&amp;$A121,BH120)</f>
        <v/>
      </c>
      <c r="BI121" s="0" t="str">
        <f aca="false">IF(AND($B121="D09",$C121="G1"),BI120&amp;IF(BI120="","",CHAR(10))&amp;$A121,BI120)</f>
        <v/>
      </c>
      <c r="BJ121" s="0" t="str">
        <f aca="false">IF(AND($B121="D09",$C121="G2"),BJ120&amp;IF(BJ120="","",CHAR(10))&amp;$A121,BJ120)</f>
        <v>◐ 050 整合採購與供應商治理</v>
      </c>
      <c r="BK121" s="0" t="str">
        <f aca="false">IF(AND($B121="D09",$C121="G3"),BK120&amp;IF(BK120="","",CHAR(10))&amp;$A121,BK120)</f>
        <v/>
      </c>
      <c r="BL121" s="363" t="str">
        <f aca="false">IF(AND($B121="D09",$C121="G4"),BL120&amp;IF(BL120="","",CHAR(10))&amp;$A121,BL120)</f>
        <v>◐ 051 藥品耗材與SPD物流
◐ 052 冷鏈與特殊物料
● 053 CMMS與設施維運</v>
      </c>
      <c r="BM121" s="0" t="str">
        <f aca="false">IF(AND($B121="D09",$C121="G5"),BM120&amp;IF(BM120="","",CHAR(10))&amp;$A121,BM120)</f>
        <v>◐ 054 在地備品、維修與汰換</v>
      </c>
      <c r="BN121" s="0" t="str">
        <f aca="false">IF(AND($B121="D09",$C121="G6"),BN120&amp;IF(BN120="","",CHAR(10))&amp;$A121,BN120)</f>
        <v/>
      </c>
      <c r="BO121" s="0" t="str">
        <f aca="false">IF(AND($B121="D10",$C121="G0"),BO120&amp;IF(BO120="","",CHAR(10))&amp;$A121,BO120)</f>
        <v/>
      </c>
      <c r="BP121" s="0" t="str">
        <f aca="false">IF(AND($B121="D10",$C121="G1"),BP120&amp;IF(BP120="","",CHAR(10))&amp;$A121,BP120)</f>
        <v>◐ 055 全生命週期成本模型</v>
      </c>
      <c r="BQ121" s="0" t="str">
        <f aca="false">IF(AND($B121="D10",$C121="G2"),BQ120&amp;IF(BQ120="","",CHAR(10))&amp;$A121,BQ120)</f>
        <v>◐ 059 PPP／JV財務與風險分配</v>
      </c>
      <c r="BR121" s="0" t="str">
        <f aca="false">IF(AND($B121="D10",$C121="G3"),BR120&amp;IF(BR120="","",CHAR(10))&amp;$A121,BR120)</f>
        <v/>
      </c>
      <c r="BS121" s="363" t="str">
        <f aca="false">IF(AND($B121="D10",$C121="G4"),BS120&amp;IF(BS120="","",CHAR(10))&amp;$A121,BS120)</f>
        <v>○ 056 健保申報與數位理賠
○ 057 現金流、支付與收入週期</v>
      </c>
      <c r="BT121" s="0" t="str">
        <f aca="false">IF(AND($B121="D10",$C121="G5"),BT120&amp;IF(BT120="","",CHAR(10))&amp;$A121,BT120)</f>
        <v>○ 058 國際醫療與高價值服務</v>
      </c>
      <c r="BU121" s="0" t="str">
        <f aca="false">IF(AND($B121="D10",$C121="G6"),BU120&amp;IF(BU120="","",CHAR(10))&amp;$A121,BU120)</f>
        <v>◐ 060 效益實現與複製藍圖</v>
      </c>
      <c r="BX121" s="0" t="str">
        <f aca="false">IF(AND(03_能力總表_Master!$A121&lt;&gt;"",LEFT(03_能力總表_Master!$H121,2)="缺口"),MAX($BX$4:BX120)+1,"")</f>
        <v/>
      </c>
      <c r="BY121" s="0" t="str">
        <f aca="false">IF(AND(03_能力總表_Master!$A121&lt;&gt;"",03_能力總表_Master!$J121=12_夥伴視角_PartnerView!$C$4),MAX($BY$4:BY120)+1,"")</f>
        <v/>
      </c>
      <c r="CC121" s="0" t="str">
        <f aca="false">IF(AND(03_能力總表_Master!$A121&lt;&gt;"",IFERROR(INDEX(16_能力商機矩陣_CapOppMap!$D121:$CO121,MATCH(LEFT(17_商機作戰卡_OppView!$C$4,6),16_能力商機矩陣_CapOppMap!$D$4:$CO$4,0)),"")="✓"),MAX($CC$4:CC120)+1,"")</f>
        <v/>
      </c>
    </row>
    <row r="122" customFormat="false" ht="95.5" hidden="false" customHeight="false" outlineLevel="0" collapsed="false">
      <c r="A122" s="0" t="str">
        <f aca="false">IF(03_能力總表_Master!$A122="","",IF(LEFT(03_能力總表_Master!$H122,2)="群晶","● ",IF(ISNUMBER(SEARCH("已確認",03_能力總表_Master!$H122)),"◆ ",IF(ISNUMBER(SEARCH("缺口",03_能力總表_Master!$H122)),"○ ","◐ ")))&amp;RIGHT(03_能力總表_Master!$A122,3)&amp;" "&amp;03_能力總表_Master!$E122)</f>
        <v/>
      </c>
      <c r="B122" s="0" t="str">
        <f aca="false">IF(03_能力總表_Master!$A122="","",LEFT(03_能力總表_Master!$B122,3))</f>
        <v/>
      </c>
      <c r="C122" s="0" t="str">
        <f aca="false">IF(03_能力總表_Master!$A122="","",03_能力總表_Master!$C122)</f>
        <v/>
      </c>
      <c r="D122" s="363" t="str">
        <f aca="false">IF(AND($B122="D01",$C122="G0"),D121&amp;IF(D121="","",CHAR(10))&amp;$A122,D121)</f>
        <v>◐ 001 政府授權與計畫章程
◐ 002 利害關係人與權力地圖
◐ 005 聯盟治理與利益衝突</v>
      </c>
      <c r="E122" s="363" t="str">
        <f aca="false">IF(AND($B122="D01",$C122="G1"),E121&amp;IF(E121="","",CHAR(10))&amp;$A122,E121)</f>
        <v>◐ 003 交易模式選擇
◐ 004 法規與執照路徑</v>
      </c>
      <c r="F122" s="0" t="str">
        <f aca="false">IF(AND($B122="D01",$C122="G2"),F121&amp;IF(F121="","",CHAR(10))&amp;$A122,F121)</f>
        <v>◐ 006 績效契約與變更控制</v>
      </c>
      <c r="G122" s="0" t="str">
        <f aca="false">IF(AND($B122="D01",$C122="G3"),G121&amp;IF(G121="","",CHAR(10))&amp;$A122,G121)</f>
        <v/>
      </c>
      <c r="H122" s="0" t="str">
        <f aca="false">IF(AND($B122="D01",$C122="G4"),H121&amp;IF(H121="","",CHAR(10))&amp;$A122,H121)</f>
        <v/>
      </c>
      <c r="I122" s="0" t="str">
        <f aca="false">IF(AND($B122="D01",$C122="G5"),I121&amp;IF(I121="","",CHAR(10))&amp;$A122,I121)</f>
        <v/>
      </c>
      <c r="J122" s="0" t="str">
        <f aca="false">IF(AND($B122="D01",$C122="G6"),J121&amp;IF(J121="","",CHAR(10))&amp;$A122,J121)</f>
        <v/>
      </c>
      <c r="K122" s="0" t="str">
        <f aca="false">IF(AND($B122="D02",$C122="G0"),K121&amp;IF(K121="","",CHAR(10))&amp;$A122,K121)</f>
        <v/>
      </c>
      <c r="L122" s="363" t="str">
        <f aca="false">IF(AND($B122="D02",$C122="G1"),L121&amp;IF(L121="","",CHAR(10))&amp;$A122,L121)</f>
        <v>◐ 007 人口需求與病例量預測
◐ 008 醫院定位與服務組合
◐ 009 重點專科優先化
◐ 010 病人流程與容量設計
◐ 011 轉診與區域照護網絡
◐ 012 臨床治理與責任架構</v>
      </c>
      <c r="M122" s="0" t="str">
        <f aca="false">IF(AND($B122="D02",$C122="G2"),M121&amp;IF(M121="","",CHAR(10))&amp;$A122,M121)</f>
        <v/>
      </c>
      <c r="N122" s="0" t="str">
        <f aca="false">IF(AND($B122="D02",$C122="G3"),N121&amp;IF(N121="","",CHAR(10))&amp;$A122,N121)</f>
        <v/>
      </c>
      <c r="O122" s="0" t="str">
        <f aca="false">IF(AND($B122="D02",$C122="G4"),O121&amp;IF(O121="","",CHAR(10))&amp;$A122,O121)</f>
        <v/>
      </c>
      <c r="P122" s="0" t="str">
        <f aca="false">IF(AND($B122="D02",$C122="G5"),P121&amp;IF(P121="","",CHAR(10))&amp;$A122,P121)</f>
        <v/>
      </c>
      <c r="Q122" s="0" t="str">
        <f aca="false">IF(AND($B122="D02",$C122="G6"),Q121&amp;IF(Q121="","",CHAR(10))&amp;$A122,Q121)</f>
        <v/>
      </c>
      <c r="R122" s="0" t="str">
        <f aca="false">IF(AND($B122="D03",$C122="G0"),R121&amp;IF(R121="","",CHAR(10))&amp;$A122,R121)</f>
        <v/>
      </c>
      <c r="S122" s="0" t="str">
        <f aca="false">IF(AND($B122="D03",$C122="G1"),S121&amp;IF(S121="","",CHAR(10))&amp;$A122,S121)</f>
        <v>◐ 013 場址與醫院總體規劃</v>
      </c>
      <c r="T122" s="363" t="str">
        <f aca="false">IF(AND($B122="D03",$C122="G2"),T121&amp;IF(T121="","",CHAR(10))&amp;$A122,T121)</f>
        <v>◐ 014 醫療建築功能計畫
◐ 015 感染控制與潔污動線
◐ 019 綠色與氣候韌性醫院</v>
      </c>
      <c r="U122" s="363" t="str">
        <f aca="false">IF(AND($B122="D03",$C122="G3"),U121&amp;IF(U121="","",CHAR(10))&amp;$A122,U121)</f>
        <v>● 016 電力、備援與微電網
◐ 017 醫療氣體與關鍵公用系統
◐ 018 醫療廢棄物與水資源</v>
      </c>
      <c r="V122" s="0" t="str">
        <f aca="false">IF(AND($B122="D03",$C122="G4"),V121&amp;IF(V121="","",CHAR(10))&amp;$A122,V121)</f>
        <v/>
      </c>
      <c r="W122" s="0" t="str">
        <f aca="false">IF(AND($B122="D03",$C122="G5"),W121&amp;IF(W121="","",CHAR(10))&amp;$A122,W121)</f>
        <v/>
      </c>
      <c r="X122" s="0" t="str">
        <f aca="false">IF(AND($B122="D03",$C122="G6"),X121&amp;IF(X121="","",CHAR(10))&amp;$A122,X121)</f>
        <v/>
      </c>
      <c r="Y122" s="0" t="str">
        <f aca="false">IF(AND($B122="D04",$C122="G0"),Y121&amp;IF(Y121="","",CHAR(10))&amp;$A122,Y121)</f>
        <v/>
      </c>
      <c r="Z122" s="0" t="str">
        <f aca="false">IF(AND($B122="D04",$C122="G1"),Z121&amp;IF(Z121="","",CHAR(10))&amp;$A122,Z121)</f>
        <v/>
      </c>
      <c r="AA122" s="0" t="str">
        <f aca="false">IF(AND($B122="D04",$C122="G2"),AA121&amp;IF(AA121="","",CHAR(10))&amp;$A122,AA121)</f>
        <v/>
      </c>
      <c r="AB122" s="0" t="str">
        <f aca="false">IF(AND($B122="D04",$C122="G3"),AB121&amp;IF(AB121="","",CHAR(10))&amp;$A122,AB121)</f>
        <v>● 020 IDC與邊緣運算底座</v>
      </c>
      <c r="AC122" s="363" t="str">
        <f aca="false">IF(AND($B122="D04",$C122="G4"),AC121&amp;IF(AC121="","",CHAR(10))&amp;$A122,AC121)</f>
        <v>● 021 有線無線網路與分區
◐ 022 資安營運與零信任
● 023 BMS與能源管理
● 024 RTLS與資產／人員定位
● 025 智慧病房、護理呼叫與感測
● 026 災難復原與營運持續</v>
      </c>
      <c r="AD122" s="0" t="str">
        <f aca="false">IF(AND($B122="D04",$C122="G5"),AD121&amp;IF(AD121="","",CHAR(10))&amp;$A122,AD121)</f>
        <v/>
      </c>
      <c r="AE122" s="0" t="str">
        <f aca="false">IF(AND($B122="D04",$C122="G6"),AE121&amp;IF(AE121="","",CHAR(10))&amp;$A122,AE121)</f>
        <v/>
      </c>
      <c r="AF122" s="0" t="str">
        <f aca="false">IF(AND($B122="D05",$C122="G0"),AF121&amp;IF(AF121="","",CHAR(10))&amp;$A122,AF121)</f>
        <v/>
      </c>
      <c r="AG122" s="0" t="str">
        <f aca="false">IF(AND($B122="D05",$C122="G1"),AG121&amp;IF(AG121="","",CHAR(10))&amp;$A122,AG121)</f>
        <v/>
      </c>
      <c r="AH122" s="0" t="str">
        <f aca="false">IF(AND($B122="D05",$C122="G2"),AH121&amp;IF(AH121="","",CHAR(10))&amp;$A122,AH121)</f>
        <v>◐ 027 醫材需求與設備計畫</v>
      </c>
      <c r="AI122" s="0" t="str">
        <f aca="false">IF(AND($B122="D05",$C122="G3"),AI121&amp;IF(AI121="","",CHAR(10))&amp;$A122,AI121)</f>
        <v/>
      </c>
      <c r="AJ122" s="363" t="str">
        <f aca="false">IF(AND($B122="D05",$C122="G4"),AJ121&amp;IF(AJ121="","",CHAR(10))&amp;$A122,AJ121)</f>
        <v>○ 028 影像設備、PACS與報告流程
○ 029 實驗室自動化與LIS
○ 030 手術室與重症整合
◐ 031 醫材介接與裝置身分
◐ 032 醫療工程與設備生命週期</v>
      </c>
      <c r="AK122" s="0" t="str">
        <f aca="false">IF(AND($B122="D05",$C122="G5"),AK121&amp;IF(AK121="","",CHAR(10))&amp;$A122,AK121)</f>
        <v/>
      </c>
      <c r="AL122" s="0" t="str">
        <f aca="false">IF(AND($B122="D05",$C122="G6"),AL121&amp;IF(AL121="","",CHAR(10))&amp;$A122,AL121)</f>
        <v/>
      </c>
      <c r="AM122" s="0" t="str">
        <f aca="false">IF(AND($B122="D06",$C122="G0"),AM121&amp;IF(AM121="","",CHAR(10))&amp;$A122,AM121)</f>
        <v/>
      </c>
      <c r="AN122" s="0" t="str">
        <f aca="false">IF(AND($B122="D06",$C122="G1"),AN121&amp;IF(AN121="","",CHAR(10))&amp;$A122,AN121)</f>
        <v/>
      </c>
      <c r="AO122" s="0" t="str">
        <f aca="false">IF(AND($B122="D06",$C122="G2"),AO121&amp;IF(AO121="","",CHAR(10))&amp;$A122,AO121)</f>
        <v/>
      </c>
      <c r="AP122" s="363" t="str">
        <f aca="false">IF(AND($B122="D06",$C122="G3"),AP121&amp;IF(AP121="","",CHAR(10))&amp;$A122,AP121)</f>
        <v>◐ 033 HIS／EMR核心平台
◐ 036 臨床術語與主資料治理</v>
      </c>
      <c r="AQ122" s="363" t="str">
        <f aca="false">IF(AND($B122="D06",$C122="G4"),AQ121&amp;IF(AQ121="","",CHAR(10))&amp;$A122,AQ121)</f>
        <v>◐ 034 FHIR介接與API管理
○ 035 主病人索引與身分整合
◐ 037 電子醫囑、用藥與決策支援
◐ 038 資料平台、BI與營運指揮</v>
      </c>
      <c r="AR122" s="0" t="str">
        <f aca="false">IF(AND($B122="D06",$C122="G5"),AR121&amp;IF(AR121="","",CHAR(10))&amp;$A122,AR121)</f>
        <v>○ 039 病人入口、行動服務與VNeID準備</v>
      </c>
      <c r="AS122" s="0" t="str">
        <f aca="false">IF(AND($B122="D06",$C122="G6"),AS121&amp;IF(AS121="","",CHAR(10))&amp;$A122,AS121)</f>
        <v/>
      </c>
      <c r="AT122" s="0" t="str">
        <f aca="false">IF(AND($B122="D07",$C122="G0"),AT121&amp;IF(AT121="","",CHAR(10))&amp;$A122,AT121)</f>
        <v/>
      </c>
      <c r="AU122" s="0" t="str">
        <f aca="false">IF(AND($B122="D07",$C122="G1"),AU121&amp;IF(AU121="","",CHAR(10))&amp;$A122,AU121)</f>
        <v/>
      </c>
      <c r="AV122" s="0" t="str">
        <f aca="false">IF(AND($B122="D07",$C122="G2"),AV121&amp;IF(AV121="","",CHAR(10))&amp;$A122,AV121)</f>
        <v>◐ 040 品質管理與JCI路線圖</v>
      </c>
      <c r="AW122" s="363" t="str">
        <f aca="false">IF(AND($B122="D07",$C122="G3"),AW121&amp;IF(AW121="","",CHAR(10))&amp;$A122,AW121)</f>
        <v>◐ 041 感染預防與控制制度
◐ 043 事件通報與根因改善</v>
      </c>
      <c r="AX122" s="0" t="str">
        <f aca="false">IF(AND($B122="D07",$C122="G4"),AX121&amp;IF(AX121="","",CHAR(10))&amp;$A122,AX121)</f>
        <v>◐ 042 用藥安全閉環</v>
      </c>
      <c r="AY122" s="0" t="str">
        <f aca="false">IF(AND($B122="D07",$C122="G5"),AY121&amp;IF(AY121="","",CHAR(10))&amp;$A122,AY121)</f>
        <v>◐ 044 開院臨床安全驗證</v>
      </c>
      <c r="AZ122" s="0" t="str">
        <f aca="false">IF(AND($B122="D07",$C122="G6"),AZ121&amp;IF(AZ121="","",CHAR(10))&amp;$A122,AZ121)</f>
        <v/>
      </c>
      <c r="BA122" s="0" t="str">
        <f aca="false">IF(AND($B122="D08",$C122="G0"),BA121&amp;IF(BA121="","",CHAR(10))&amp;$A122,BA121)</f>
        <v/>
      </c>
      <c r="BB122" s="0" t="str">
        <f aca="false">IF(AND($B122="D08",$C122="G1"),BB121&amp;IF(BB121="","",CHAR(10))&amp;$A122,BB121)</f>
        <v/>
      </c>
      <c r="BC122" s="0" t="str">
        <f aca="false">IF(AND($B122="D08",$C122="G2"),BC121&amp;IF(BC121="","",CHAR(10))&amp;$A122,BC121)</f>
        <v>○ 045 人力與輪班模型</v>
      </c>
      <c r="BD122" s="0" t="str">
        <f aca="false">IF(AND($B122="D08",$C122="G3"),BD121&amp;IF(BD121="","",CHAR(10))&amp;$A122,BD121)</f>
        <v>◐ 046 職能矩陣與授權</v>
      </c>
      <c r="BE122" s="363" t="str">
        <f aca="false">IF(AND($B122="D08",$C122="G4"),BE121&amp;IF(BE121="","",CHAR(10))&amp;$A122,BE121)</f>
        <v>◐ 047 種子教師與技術移轉
◐ 049 變革管理與使用者採納</v>
      </c>
      <c r="BF122" s="0" t="str">
        <f aca="false">IF(AND($B122="D08",$C122="G5"),BF121&amp;IF(BF121="","",CHAR(10))&amp;$A122,BF121)</f>
        <v>◐ 048 模擬中心與開院演練</v>
      </c>
      <c r="BG122" s="0" t="str">
        <f aca="false">IF(AND($B122="D08",$C122="G6"),BG121&amp;IF(BG121="","",CHAR(10))&amp;$A122,BG121)</f>
        <v/>
      </c>
      <c r="BH122" s="0" t="str">
        <f aca="false">IF(AND($B122="D09",$C122="G0"),BH121&amp;IF(BH121="","",CHAR(10))&amp;$A122,BH121)</f>
        <v/>
      </c>
      <c r="BI122" s="0" t="str">
        <f aca="false">IF(AND($B122="D09",$C122="G1"),BI121&amp;IF(BI121="","",CHAR(10))&amp;$A122,BI121)</f>
        <v/>
      </c>
      <c r="BJ122" s="0" t="str">
        <f aca="false">IF(AND($B122="D09",$C122="G2"),BJ121&amp;IF(BJ121="","",CHAR(10))&amp;$A122,BJ121)</f>
        <v>◐ 050 整合採購與供應商治理</v>
      </c>
      <c r="BK122" s="0" t="str">
        <f aca="false">IF(AND($B122="D09",$C122="G3"),BK121&amp;IF(BK121="","",CHAR(10))&amp;$A122,BK121)</f>
        <v/>
      </c>
      <c r="BL122" s="363" t="str">
        <f aca="false">IF(AND($B122="D09",$C122="G4"),BL121&amp;IF(BL121="","",CHAR(10))&amp;$A122,BL121)</f>
        <v>◐ 051 藥品耗材與SPD物流
◐ 052 冷鏈與特殊物料
● 053 CMMS與設施維運</v>
      </c>
      <c r="BM122" s="0" t="str">
        <f aca="false">IF(AND($B122="D09",$C122="G5"),BM121&amp;IF(BM121="","",CHAR(10))&amp;$A122,BM121)</f>
        <v>◐ 054 在地備品、維修與汰換</v>
      </c>
      <c r="BN122" s="0" t="str">
        <f aca="false">IF(AND($B122="D09",$C122="G6"),BN121&amp;IF(BN121="","",CHAR(10))&amp;$A122,BN121)</f>
        <v/>
      </c>
      <c r="BO122" s="0" t="str">
        <f aca="false">IF(AND($B122="D10",$C122="G0"),BO121&amp;IF(BO121="","",CHAR(10))&amp;$A122,BO121)</f>
        <v/>
      </c>
      <c r="BP122" s="0" t="str">
        <f aca="false">IF(AND($B122="D10",$C122="G1"),BP121&amp;IF(BP121="","",CHAR(10))&amp;$A122,BP121)</f>
        <v>◐ 055 全生命週期成本模型</v>
      </c>
      <c r="BQ122" s="0" t="str">
        <f aca="false">IF(AND($B122="D10",$C122="G2"),BQ121&amp;IF(BQ121="","",CHAR(10))&amp;$A122,BQ121)</f>
        <v>◐ 059 PPP／JV財務與風險分配</v>
      </c>
      <c r="BR122" s="0" t="str">
        <f aca="false">IF(AND($B122="D10",$C122="G3"),BR121&amp;IF(BR121="","",CHAR(10))&amp;$A122,BR121)</f>
        <v/>
      </c>
      <c r="BS122" s="363" t="str">
        <f aca="false">IF(AND($B122="D10",$C122="G4"),BS121&amp;IF(BS121="","",CHAR(10))&amp;$A122,BS121)</f>
        <v>○ 056 健保申報與數位理賠
○ 057 現金流、支付與收入週期</v>
      </c>
      <c r="BT122" s="0" t="str">
        <f aca="false">IF(AND($B122="D10",$C122="G5"),BT121&amp;IF(BT121="","",CHAR(10))&amp;$A122,BT121)</f>
        <v>○ 058 國際醫療與高價值服務</v>
      </c>
      <c r="BU122" s="0" t="str">
        <f aca="false">IF(AND($B122="D10",$C122="G6"),BU121&amp;IF(BU121="","",CHAR(10))&amp;$A122,BU121)</f>
        <v>◐ 060 效益實現與複製藍圖</v>
      </c>
      <c r="BX122" s="0" t="str">
        <f aca="false">IF(AND(03_能力總表_Master!$A122&lt;&gt;"",LEFT(03_能力總表_Master!$H122,2)="缺口"),MAX($BX$4:BX121)+1,"")</f>
        <v/>
      </c>
      <c r="BY122" s="0" t="str">
        <f aca="false">IF(AND(03_能力總表_Master!$A122&lt;&gt;"",03_能力總表_Master!$J122=12_夥伴視角_PartnerView!$C$4),MAX($BY$4:BY121)+1,"")</f>
        <v/>
      </c>
      <c r="CC122" s="0" t="str">
        <f aca="false">IF(AND(03_能力總表_Master!$A122&lt;&gt;"",IFERROR(INDEX(16_能力商機矩陣_CapOppMap!$D122:$CO122,MATCH(LEFT(17_商機作戰卡_OppView!$C$4,6),16_能力商機矩陣_CapOppMap!$D$4:$CO$4,0)),"")="✓"),MAX($CC$4:CC121)+1,"")</f>
        <v/>
      </c>
    </row>
    <row r="123" customFormat="false" ht="95.5" hidden="false" customHeight="false" outlineLevel="0" collapsed="false">
      <c r="A123" s="0" t="str">
        <f aca="false">IF(03_能力總表_Master!$A123="","",IF(LEFT(03_能力總表_Master!$H123,2)="群晶","● ",IF(ISNUMBER(SEARCH("已確認",03_能力總表_Master!$H123)),"◆ ",IF(ISNUMBER(SEARCH("缺口",03_能力總表_Master!$H123)),"○ ","◐ ")))&amp;RIGHT(03_能力總表_Master!$A123,3)&amp;" "&amp;03_能力總表_Master!$E123)</f>
        <v/>
      </c>
      <c r="B123" s="0" t="str">
        <f aca="false">IF(03_能力總表_Master!$A123="","",LEFT(03_能力總表_Master!$B123,3))</f>
        <v/>
      </c>
      <c r="C123" s="0" t="str">
        <f aca="false">IF(03_能力總表_Master!$A123="","",03_能力總表_Master!$C123)</f>
        <v/>
      </c>
      <c r="D123" s="363" t="str">
        <f aca="false">IF(AND($B123="D01",$C123="G0"),D122&amp;IF(D122="","",CHAR(10))&amp;$A123,D122)</f>
        <v>◐ 001 政府授權與計畫章程
◐ 002 利害關係人與權力地圖
◐ 005 聯盟治理與利益衝突</v>
      </c>
      <c r="E123" s="363" t="str">
        <f aca="false">IF(AND($B123="D01",$C123="G1"),E122&amp;IF(E122="","",CHAR(10))&amp;$A123,E122)</f>
        <v>◐ 003 交易模式選擇
◐ 004 法規與執照路徑</v>
      </c>
      <c r="F123" s="0" t="str">
        <f aca="false">IF(AND($B123="D01",$C123="G2"),F122&amp;IF(F122="","",CHAR(10))&amp;$A123,F122)</f>
        <v>◐ 006 績效契約與變更控制</v>
      </c>
      <c r="G123" s="0" t="str">
        <f aca="false">IF(AND($B123="D01",$C123="G3"),G122&amp;IF(G122="","",CHAR(10))&amp;$A123,G122)</f>
        <v/>
      </c>
      <c r="H123" s="0" t="str">
        <f aca="false">IF(AND($B123="D01",$C123="G4"),H122&amp;IF(H122="","",CHAR(10))&amp;$A123,H122)</f>
        <v/>
      </c>
      <c r="I123" s="0" t="str">
        <f aca="false">IF(AND($B123="D01",$C123="G5"),I122&amp;IF(I122="","",CHAR(10))&amp;$A123,I122)</f>
        <v/>
      </c>
      <c r="J123" s="0" t="str">
        <f aca="false">IF(AND($B123="D01",$C123="G6"),J122&amp;IF(J122="","",CHAR(10))&amp;$A123,J122)</f>
        <v/>
      </c>
      <c r="K123" s="0" t="str">
        <f aca="false">IF(AND($B123="D02",$C123="G0"),K122&amp;IF(K122="","",CHAR(10))&amp;$A123,K122)</f>
        <v/>
      </c>
      <c r="L123" s="363" t="str">
        <f aca="false">IF(AND($B123="D02",$C123="G1"),L122&amp;IF(L122="","",CHAR(10))&amp;$A123,L122)</f>
        <v>◐ 007 人口需求與病例量預測
◐ 008 醫院定位與服務組合
◐ 009 重點專科優先化
◐ 010 病人流程與容量設計
◐ 011 轉診與區域照護網絡
◐ 012 臨床治理與責任架構</v>
      </c>
      <c r="M123" s="0" t="str">
        <f aca="false">IF(AND($B123="D02",$C123="G2"),M122&amp;IF(M122="","",CHAR(10))&amp;$A123,M122)</f>
        <v/>
      </c>
      <c r="N123" s="0" t="str">
        <f aca="false">IF(AND($B123="D02",$C123="G3"),N122&amp;IF(N122="","",CHAR(10))&amp;$A123,N122)</f>
        <v/>
      </c>
      <c r="O123" s="0" t="str">
        <f aca="false">IF(AND($B123="D02",$C123="G4"),O122&amp;IF(O122="","",CHAR(10))&amp;$A123,O122)</f>
        <v/>
      </c>
      <c r="P123" s="0" t="str">
        <f aca="false">IF(AND($B123="D02",$C123="G5"),P122&amp;IF(P122="","",CHAR(10))&amp;$A123,P122)</f>
        <v/>
      </c>
      <c r="Q123" s="0" t="str">
        <f aca="false">IF(AND($B123="D02",$C123="G6"),Q122&amp;IF(Q122="","",CHAR(10))&amp;$A123,Q122)</f>
        <v/>
      </c>
      <c r="R123" s="0" t="str">
        <f aca="false">IF(AND($B123="D03",$C123="G0"),R122&amp;IF(R122="","",CHAR(10))&amp;$A123,R122)</f>
        <v/>
      </c>
      <c r="S123" s="0" t="str">
        <f aca="false">IF(AND($B123="D03",$C123="G1"),S122&amp;IF(S122="","",CHAR(10))&amp;$A123,S122)</f>
        <v>◐ 013 場址與醫院總體規劃</v>
      </c>
      <c r="T123" s="363" t="str">
        <f aca="false">IF(AND($B123="D03",$C123="G2"),T122&amp;IF(T122="","",CHAR(10))&amp;$A123,T122)</f>
        <v>◐ 014 醫療建築功能計畫
◐ 015 感染控制與潔污動線
◐ 019 綠色與氣候韌性醫院</v>
      </c>
      <c r="U123" s="363" t="str">
        <f aca="false">IF(AND($B123="D03",$C123="G3"),U122&amp;IF(U122="","",CHAR(10))&amp;$A123,U122)</f>
        <v>● 016 電力、備援與微電網
◐ 017 醫療氣體與關鍵公用系統
◐ 018 醫療廢棄物與水資源</v>
      </c>
      <c r="V123" s="0" t="str">
        <f aca="false">IF(AND($B123="D03",$C123="G4"),V122&amp;IF(V122="","",CHAR(10))&amp;$A123,V122)</f>
        <v/>
      </c>
      <c r="W123" s="0" t="str">
        <f aca="false">IF(AND($B123="D03",$C123="G5"),W122&amp;IF(W122="","",CHAR(10))&amp;$A123,W122)</f>
        <v/>
      </c>
      <c r="X123" s="0" t="str">
        <f aca="false">IF(AND($B123="D03",$C123="G6"),X122&amp;IF(X122="","",CHAR(10))&amp;$A123,X122)</f>
        <v/>
      </c>
      <c r="Y123" s="0" t="str">
        <f aca="false">IF(AND($B123="D04",$C123="G0"),Y122&amp;IF(Y122="","",CHAR(10))&amp;$A123,Y122)</f>
        <v/>
      </c>
      <c r="Z123" s="0" t="str">
        <f aca="false">IF(AND($B123="D04",$C123="G1"),Z122&amp;IF(Z122="","",CHAR(10))&amp;$A123,Z122)</f>
        <v/>
      </c>
      <c r="AA123" s="0" t="str">
        <f aca="false">IF(AND($B123="D04",$C123="G2"),AA122&amp;IF(AA122="","",CHAR(10))&amp;$A123,AA122)</f>
        <v/>
      </c>
      <c r="AB123" s="0" t="str">
        <f aca="false">IF(AND($B123="D04",$C123="G3"),AB122&amp;IF(AB122="","",CHAR(10))&amp;$A123,AB122)</f>
        <v>● 020 IDC與邊緣運算底座</v>
      </c>
      <c r="AC123" s="363" t="str">
        <f aca="false">IF(AND($B123="D04",$C123="G4"),AC122&amp;IF(AC122="","",CHAR(10))&amp;$A123,AC122)</f>
        <v>● 021 有線無線網路與分區
◐ 022 資安營運與零信任
● 023 BMS與能源管理
● 024 RTLS與資產／人員定位
● 025 智慧病房、護理呼叫與感測
● 026 災難復原與營運持續</v>
      </c>
      <c r="AD123" s="0" t="str">
        <f aca="false">IF(AND($B123="D04",$C123="G5"),AD122&amp;IF(AD122="","",CHAR(10))&amp;$A123,AD122)</f>
        <v/>
      </c>
      <c r="AE123" s="0" t="str">
        <f aca="false">IF(AND($B123="D04",$C123="G6"),AE122&amp;IF(AE122="","",CHAR(10))&amp;$A123,AE122)</f>
        <v/>
      </c>
      <c r="AF123" s="0" t="str">
        <f aca="false">IF(AND($B123="D05",$C123="G0"),AF122&amp;IF(AF122="","",CHAR(10))&amp;$A123,AF122)</f>
        <v/>
      </c>
      <c r="AG123" s="0" t="str">
        <f aca="false">IF(AND($B123="D05",$C123="G1"),AG122&amp;IF(AG122="","",CHAR(10))&amp;$A123,AG122)</f>
        <v/>
      </c>
      <c r="AH123" s="0" t="str">
        <f aca="false">IF(AND($B123="D05",$C123="G2"),AH122&amp;IF(AH122="","",CHAR(10))&amp;$A123,AH122)</f>
        <v>◐ 027 醫材需求與設備計畫</v>
      </c>
      <c r="AI123" s="0" t="str">
        <f aca="false">IF(AND($B123="D05",$C123="G3"),AI122&amp;IF(AI122="","",CHAR(10))&amp;$A123,AI122)</f>
        <v/>
      </c>
      <c r="AJ123" s="363" t="str">
        <f aca="false">IF(AND($B123="D05",$C123="G4"),AJ122&amp;IF(AJ122="","",CHAR(10))&amp;$A123,AJ122)</f>
        <v>○ 028 影像設備、PACS與報告流程
○ 029 實驗室自動化與LIS
○ 030 手術室與重症整合
◐ 031 醫材介接與裝置身分
◐ 032 醫療工程與設備生命週期</v>
      </c>
      <c r="AK123" s="0" t="str">
        <f aca="false">IF(AND($B123="D05",$C123="G5"),AK122&amp;IF(AK122="","",CHAR(10))&amp;$A123,AK122)</f>
        <v/>
      </c>
      <c r="AL123" s="0" t="str">
        <f aca="false">IF(AND($B123="D05",$C123="G6"),AL122&amp;IF(AL122="","",CHAR(10))&amp;$A123,AL122)</f>
        <v/>
      </c>
      <c r="AM123" s="0" t="str">
        <f aca="false">IF(AND($B123="D06",$C123="G0"),AM122&amp;IF(AM122="","",CHAR(10))&amp;$A123,AM122)</f>
        <v/>
      </c>
      <c r="AN123" s="0" t="str">
        <f aca="false">IF(AND($B123="D06",$C123="G1"),AN122&amp;IF(AN122="","",CHAR(10))&amp;$A123,AN122)</f>
        <v/>
      </c>
      <c r="AO123" s="0" t="str">
        <f aca="false">IF(AND($B123="D06",$C123="G2"),AO122&amp;IF(AO122="","",CHAR(10))&amp;$A123,AO122)</f>
        <v/>
      </c>
      <c r="AP123" s="363" t="str">
        <f aca="false">IF(AND($B123="D06",$C123="G3"),AP122&amp;IF(AP122="","",CHAR(10))&amp;$A123,AP122)</f>
        <v>◐ 033 HIS／EMR核心平台
◐ 036 臨床術語與主資料治理</v>
      </c>
      <c r="AQ123" s="363" t="str">
        <f aca="false">IF(AND($B123="D06",$C123="G4"),AQ122&amp;IF(AQ122="","",CHAR(10))&amp;$A123,AQ122)</f>
        <v>◐ 034 FHIR介接與API管理
○ 035 主病人索引與身分整合
◐ 037 電子醫囑、用藥與決策支援
◐ 038 資料平台、BI與營運指揮</v>
      </c>
      <c r="AR123" s="0" t="str">
        <f aca="false">IF(AND($B123="D06",$C123="G5"),AR122&amp;IF(AR122="","",CHAR(10))&amp;$A123,AR122)</f>
        <v>○ 039 病人入口、行動服務與VNeID準備</v>
      </c>
      <c r="AS123" s="0" t="str">
        <f aca="false">IF(AND($B123="D06",$C123="G6"),AS122&amp;IF(AS122="","",CHAR(10))&amp;$A123,AS122)</f>
        <v/>
      </c>
      <c r="AT123" s="0" t="str">
        <f aca="false">IF(AND($B123="D07",$C123="G0"),AT122&amp;IF(AT122="","",CHAR(10))&amp;$A123,AT122)</f>
        <v/>
      </c>
      <c r="AU123" s="0" t="str">
        <f aca="false">IF(AND($B123="D07",$C123="G1"),AU122&amp;IF(AU122="","",CHAR(10))&amp;$A123,AU122)</f>
        <v/>
      </c>
      <c r="AV123" s="0" t="str">
        <f aca="false">IF(AND($B123="D07",$C123="G2"),AV122&amp;IF(AV122="","",CHAR(10))&amp;$A123,AV122)</f>
        <v>◐ 040 品質管理與JCI路線圖</v>
      </c>
      <c r="AW123" s="363" t="str">
        <f aca="false">IF(AND($B123="D07",$C123="G3"),AW122&amp;IF(AW122="","",CHAR(10))&amp;$A123,AW122)</f>
        <v>◐ 041 感染預防與控制制度
◐ 043 事件通報與根因改善</v>
      </c>
      <c r="AX123" s="0" t="str">
        <f aca="false">IF(AND($B123="D07",$C123="G4"),AX122&amp;IF(AX122="","",CHAR(10))&amp;$A123,AX122)</f>
        <v>◐ 042 用藥安全閉環</v>
      </c>
      <c r="AY123" s="0" t="str">
        <f aca="false">IF(AND($B123="D07",$C123="G5"),AY122&amp;IF(AY122="","",CHAR(10))&amp;$A123,AY122)</f>
        <v>◐ 044 開院臨床安全驗證</v>
      </c>
      <c r="AZ123" s="0" t="str">
        <f aca="false">IF(AND($B123="D07",$C123="G6"),AZ122&amp;IF(AZ122="","",CHAR(10))&amp;$A123,AZ122)</f>
        <v/>
      </c>
      <c r="BA123" s="0" t="str">
        <f aca="false">IF(AND($B123="D08",$C123="G0"),BA122&amp;IF(BA122="","",CHAR(10))&amp;$A123,BA122)</f>
        <v/>
      </c>
      <c r="BB123" s="0" t="str">
        <f aca="false">IF(AND($B123="D08",$C123="G1"),BB122&amp;IF(BB122="","",CHAR(10))&amp;$A123,BB122)</f>
        <v/>
      </c>
      <c r="BC123" s="0" t="str">
        <f aca="false">IF(AND($B123="D08",$C123="G2"),BC122&amp;IF(BC122="","",CHAR(10))&amp;$A123,BC122)</f>
        <v>○ 045 人力與輪班模型</v>
      </c>
      <c r="BD123" s="0" t="str">
        <f aca="false">IF(AND($B123="D08",$C123="G3"),BD122&amp;IF(BD122="","",CHAR(10))&amp;$A123,BD122)</f>
        <v>◐ 046 職能矩陣與授權</v>
      </c>
      <c r="BE123" s="363" t="str">
        <f aca="false">IF(AND($B123="D08",$C123="G4"),BE122&amp;IF(BE122="","",CHAR(10))&amp;$A123,BE122)</f>
        <v>◐ 047 種子教師與技術移轉
◐ 049 變革管理與使用者採納</v>
      </c>
      <c r="BF123" s="0" t="str">
        <f aca="false">IF(AND($B123="D08",$C123="G5"),BF122&amp;IF(BF122="","",CHAR(10))&amp;$A123,BF122)</f>
        <v>◐ 048 模擬中心與開院演練</v>
      </c>
      <c r="BG123" s="0" t="str">
        <f aca="false">IF(AND($B123="D08",$C123="G6"),BG122&amp;IF(BG122="","",CHAR(10))&amp;$A123,BG122)</f>
        <v/>
      </c>
      <c r="BH123" s="0" t="str">
        <f aca="false">IF(AND($B123="D09",$C123="G0"),BH122&amp;IF(BH122="","",CHAR(10))&amp;$A123,BH122)</f>
        <v/>
      </c>
      <c r="BI123" s="0" t="str">
        <f aca="false">IF(AND($B123="D09",$C123="G1"),BI122&amp;IF(BI122="","",CHAR(10))&amp;$A123,BI122)</f>
        <v/>
      </c>
      <c r="BJ123" s="0" t="str">
        <f aca="false">IF(AND($B123="D09",$C123="G2"),BJ122&amp;IF(BJ122="","",CHAR(10))&amp;$A123,BJ122)</f>
        <v>◐ 050 整合採購與供應商治理</v>
      </c>
      <c r="BK123" s="0" t="str">
        <f aca="false">IF(AND($B123="D09",$C123="G3"),BK122&amp;IF(BK122="","",CHAR(10))&amp;$A123,BK122)</f>
        <v/>
      </c>
      <c r="BL123" s="363" t="str">
        <f aca="false">IF(AND($B123="D09",$C123="G4"),BL122&amp;IF(BL122="","",CHAR(10))&amp;$A123,BL122)</f>
        <v>◐ 051 藥品耗材與SPD物流
◐ 052 冷鏈與特殊物料
● 053 CMMS與設施維運</v>
      </c>
      <c r="BM123" s="0" t="str">
        <f aca="false">IF(AND($B123="D09",$C123="G5"),BM122&amp;IF(BM122="","",CHAR(10))&amp;$A123,BM122)</f>
        <v>◐ 054 在地備品、維修與汰換</v>
      </c>
      <c r="BN123" s="0" t="str">
        <f aca="false">IF(AND($B123="D09",$C123="G6"),BN122&amp;IF(BN122="","",CHAR(10))&amp;$A123,BN122)</f>
        <v/>
      </c>
      <c r="BO123" s="0" t="str">
        <f aca="false">IF(AND($B123="D10",$C123="G0"),BO122&amp;IF(BO122="","",CHAR(10))&amp;$A123,BO122)</f>
        <v/>
      </c>
      <c r="BP123" s="0" t="str">
        <f aca="false">IF(AND($B123="D10",$C123="G1"),BP122&amp;IF(BP122="","",CHAR(10))&amp;$A123,BP122)</f>
        <v>◐ 055 全生命週期成本模型</v>
      </c>
      <c r="BQ123" s="0" t="str">
        <f aca="false">IF(AND($B123="D10",$C123="G2"),BQ122&amp;IF(BQ122="","",CHAR(10))&amp;$A123,BQ122)</f>
        <v>◐ 059 PPP／JV財務與風險分配</v>
      </c>
      <c r="BR123" s="0" t="str">
        <f aca="false">IF(AND($B123="D10",$C123="G3"),BR122&amp;IF(BR122="","",CHAR(10))&amp;$A123,BR122)</f>
        <v/>
      </c>
      <c r="BS123" s="363" t="str">
        <f aca="false">IF(AND($B123="D10",$C123="G4"),BS122&amp;IF(BS122="","",CHAR(10))&amp;$A123,BS122)</f>
        <v>○ 056 健保申報與數位理賠
○ 057 現金流、支付與收入週期</v>
      </c>
      <c r="BT123" s="0" t="str">
        <f aca="false">IF(AND($B123="D10",$C123="G5"),BT122&amp;IF(BT122="","",CHAR(10))&amp;$A123,BT122)</f>
        <v>○ 058 國際醫療與高價值服務</v>
      </c>
      <c r="BU123" s="0" t="str">
        <f aca="false">IF(AND($B123="D10",$C123="G6"),BU122&amp;IF(BU122="","",CHAR(10))&amp;$A123,BU122)</f>
        <v>◐ 060 效益實現與複製藍圖</v>
      </c>
      <c r="BX123" s="0" t="str">
        <f aca="false">IF(AND(03_能力總表_Master!$A123&lt;&gt;"",LEFT(03_能力總表_Master!$H123,2)="缺口"),MAX($BX$4:BX122)+1,"")</f>
        <v/>
      </c>
      <c r="BY123" s="0" t="str">
        <f aca="false">IF(AND(03_能力總表_Master!$A123&lt;&gt;"",03_能力總表_Master!$J123=12_夥伴視角_PartnerView!$C$4),MAX($BY$4:BY122)+1,"")</f>
        <v/>
      </c>
      <c r="CC123" s="0" t="str">
        <f aca="false">IF(AND(03_能力總表_Master!$A123&lt;&gt;"",IFERROR(INDEX(16_能力商機矩陣_CapOppMap!$D123:$CO123,MATCH(LEFT(17_商機作戰卡_OppView!$C$4,6),16_能力商機矩陣_CapOppMap!$D$4:$CO$4,0)),"")="✓"),MAX($CC$4:CC122)+1,"")</f>
        <v/>
      </c>
    </row>
    <row r="124" customFormat="false" ht="95.5" hidden="false" customHeight="false" outlineLevel="0" collapsed="false">
      <c r="A124" s="0" t="str">
        <f aca="false">IF(03_能力總表_Master!$A124="","",IF(LEFT(03_能力總表_Master!$H124,2)="群晶","● ",IF(ISNUMBER(SEARCH("已確認",03_能力總表_Master!$H124)),"◆ ",IF(ISNUMBER(SEARCH("缺口",03_能力總表_Master!$H124)),"○ ","◐ ")))&amp;RIGHT(03_能力總表_Master!$A124,3)&amp;" "&amp;03_能力總表_Master!$E124)</f>
        <v/>
      </c>
      <c r="B124" s="0" t="str">
        <f aca="false">IF(03_能力總表_Master!$A124="","",LEFT(03_能力總表_Master!$B124,3))</f>
        <v/>
      </c>
      <c r="C124" s="0" t="str">
        <f aca="false">IF(03_能力總表_Master!$A124="","",03_能力總表_Master!$C124)</f>
        <v/>
      </c>
      <c r="D124" s="363" t="str">
        <f aca="false">IF(AND($B124="D01",$C124="G0"),D123&amp;IF(D123="","",CHAR(10))&amp;$A124,D123)</f>
        <v>◐ 001 政府授權與計畫章程
◐ 002 利害關係人與權力地圖
◐ 005 聯盟治理與利益衝突</v>
      </c>
      <c r="E124" s="363" t="str">
        <f aca="false">IF(AND($B124="D01",$C124="G1"),E123&amp;IF(E123="","",CHAR(10))&amp;$A124,E123)</f>
        <v>◐ 003 交易模式選擇
◐ 004 法規與執照路徑</v>
      </c>
      <c r="F124" s="0" t="str">
        <f aca="false">IF(AND($B124="D01",$C124="G2"),F123&amp;IF(F123="","",CHAR(10))&amp;$A124,F123)</f>
        <v>◐ 006 績效契約與變更控制</v>
      </c>
      <c r="G124" s="0" t="str">
        <f aca="false">IF(AND($B124="D01",$C124="G3"),G123&amp;IF(G123="","",CHAR(10))&amp;$A124,G123)</f>
        <v/>
      </c>
      <c r="H124" s="0" t="str">
        <f aca="false">IF(AND($B124="D01",$C124="G4"),H123&amp;IF(H123="","",CHAR(10))&amp;$A124,H123)</f>
        <v/>
      </c>
      <c r="I124" s="0" t="str">
        <f aca="false">IF(AND($B124="D01",$C124="G5"),I123&amp;IF(I123="","",CHAR(10))&amp;$A124,I123)</f>
        <v/>
      </c>
      <c r="J124" s="0" t="str">
        <f aca="false">IF(AND($B124="D01",$C124="G6"),J123&amp;IF(J123="","",CHAR(10))&amp;$A124,J123)</f>
        <v/>
      </c>
      <c r="K124" s="0" t="str">
        <f aca="false">IF(AND($B124="D02",$C124="G0"),K123&amp;IF(K123="","",CHAR(10))&amp;$A124,K123)</f>
        <v/>
      </c>
      <c r="L124" s="363" t="str">
        <f aca="false">IF(AND($B124="D02",$C124="G1"),L123&amp;IF(L123="","",CHAR(10))&amp;$A124,L123)</f>
        <v>◐ 007 人口需求與病例量預測
◐ 008 醫院定位與服務組合
◐ 009 重點專科優先化
◐ 010 病人流程與容量設計
◐ 011 轉診與區域照護網絡
◐ 012 臨床治理與責任架構</v>
      </c>
      <c r="M124" s="0" t="str">
        <f aca="false">IF(AND($B124="D02",$C124="G2"),M123&amp;IF(M123="","",CHAR(10))&amp;$A124,M123)</f>
        <v/>
      </c>
      <c r="N124" s="0" t="str">
        <f aca="false">IF(AND($B124="D02",$C124="G3"),N123&amp;IF(N123="","",CHAR(10))&amp;$A124,N123)</f>
        <v/>
      </c>
      <c r="O124" s="0" t="str">
        <f aca="false">IF(AND($B124="D02",$C124="G4"),O123&amp;IF(O123="","",CHAR(10))&amp;$A124,O123)</f>
        <v/>
      </c>
      <c r="P124" s="0" t="str">
        <f aca="false">IF(AND($B124="D02",$C124="G5"),P123&amp;IF(P123="","",CHAR(10))&amp;$A124,P123)</f>
        <v/>
      </c>
      <c r="Q124" s="0" t="str">
        <f aca="false">IF(AND($B124="D02",$C124="G6"),Q123&amp;IF(Q123="","",CHAR(10))&amp;$A124,Q123)</f>
        <v/>
      </c>
      <c r="R124" s="0" t="str">
        <f aca="false">IF(AND($B124="D03",$C124="G0"),R123&amp;IF(R123="","",CHAR(10))&amp;$A124,R123)</f>
        <v/>
      </c>
      <c r="S124" s="0" t="str">
        <f aca="false">IF(AND($B124="D03",$C124="G1"),S123&amp;IF(S123="","",CHAR(10))&amp;$A124,S123)</f>
        <v>◐ 013 場址與醫院總體規劃</v>
      </c>
      <c r="T124" s="363" t="str">
        <f aca="false">IF(AND($B124="D03",$C124="G2"),T123&amp;IF(T123="","",CHAR(10))&amp;$A124,T123)</f>
        <v>◐ 014 醫療建築功能計畫
◐ 015 感染控制與潔污動線
◐ 019 綠色與氣候韌性醫院</v>
      </c>
      <c r="U124" s="363" t="str">
        <f aca="false">IF(AND($B124="D03",$C124="G3"),U123&amp;IF(U123="","",CHAR(10))&amp;$A124,U123)</f>
        <v>● 016 電力、備援與微電網
◐ 017 醫療氣體與關鍵公用系統
◐ 018 醫療廢棄物與水資源</v>
      </c>
      <c r="V124" s="0" t="str">
        <f aca="false">IF(AND($B124="D03",$C124="G4"),V123&amp;IF(V123="","",CHAR(10))&amp;$A124,V123)</f>
        <v/>
      </c>
      <c r="W124" s="0" t="str">
        <f aca="false">IF(AND($B124="D03",$C124="G5"),W123&amp;IF(W123="","",CHAR(10))&amp;$A124,W123)</f>
        <v/>
      </c>
      <c r="X124" s="0" t="str">
        <f aca="false">IF(AND($B124="D03",$C124="G6"),X123&amp;IF(X123="","",CHAR(10))&amp;$A124,X123)</f>
        <v/>
      </c>
      <c r="Y124" s="0" t="str">
        <f aca="false">IF(AND($B124="D04",$C124="G0"),Y123&amp;IF(Y123="","",CHAR(10))&amp;$A124,Y123)</f>
        <v/>
      </c>
      <c r="Z124" s="0" t="str">
        <f aca="false">IF(AND($B124="D04",$C124="G1"),Z123&amp;IF(Z123="","",CHAR(10))&amp;$A124,Z123)</f>
        <v/>
      </c>
      <c r="AA124" s="0" t="str">
        <f aca="false">IF(AND($B124="D04",$C124="G2"),AA123&amp;IF(AA123="","",CHAR(10))&amp;$A124,AA123)</f>
        <v/>
      </c>
      <c r="AB124" s="0" t="str">
        <f aca="false">IF(AND($B124="D04",$C124="G3"),AB123&amp;IF(AB123="","",CHAR(10))&amp;$A124,AB123)</f>
        <v>● 020 IDC與邊緣運算底座</v>
      </c>
      <c r="AC124" s="363" t="str">
        <f aca="false">IF(AND($B124="D04",$C124="G4"),AC123&amp;IF(AC123="","",CHAR(10))&amp;$A124,AC123)</f>
        <v>● 021 有線無線網路與分區
◐ 022 資安營運與零信任
● 023 BMS與能源管理
● 024 RTLS與資產／人員定位
● 025 智慧病房、護理呼叫與感測
● 026 災難復原與營運持續</v>
      </c>
      <c r="AD124" s="0" t="str">
        <f aca="false">IF(AND($B124="D04",$C124="G5"),AD123&amp;IF(AD123="","",CHAR(10))&amp;$A124,AD123)</f>
        <v/>
      </c>
      <c r="AE124" s="0" t="str">
        <f aca="false">IF(AND($B124="D04",$C124="G6"),AE123&amp;IF(AE123="","",CHAR(10))&amp;$A124,AE123)</f>
        <v/>
      </c>
      <c r="AF124" s="0" t="str">
        <f aca="false">IF(AND($B124="D05",$C124="G0"),AF123&amp;IF(AF123="","",CHAR(10))&amp;$A124,AF123)</f>
        <v/>
      </c>
      <c r="AG124" s="0" t="str">
        <f aca="false">IF(AND($B124="D05",$C124="G1"),AG123&amp;IF(AG123="","",CHAR(10))&amp;$A124,AG123)</f>
        <v/>
      </c>
      <c r="AH124" s="0" t="str">
        <f aca="false">IF(AND($B124="D05",$C124="G2"),AH123&amp;IF(AH123="","",CHAR(10))&amp;$A124,AH123)</f>
        <v>◐ 027 醫材需求與設備計畫</v>
      </c>
      <c r="AI124" s="0" t="str">
        <f aca="false">IF(AND($B124="D05",$C124="G3"),AI123&amp;IF(AI123="","",CHAR(10))&amp;$A124,AI123)</f>
        <v/>
      </c>
      <c r="AJ124" s="363" t="str">
        <f aca="false">IF(AND($B124="D05",$C124="G4"),AJ123&amp;IF(AJ123="","",CHAR(10))&amp;$A124,AJ123)</f>
        <v>○ 028 影像設備、PACS與報告流程
○ 029 實驗室自動化與LIS
○ 030 手術室與重症整合
◐ 031 醫材介接與裝置身分
◐ 032 醫療工程與設備生命週期</v>
      </c>
      <c r="AK124" s="0" t="str">
        <f aca="false">IF(AND($B124="D05",$C124="G5"),AK123&amp;IF(AK123="","",CHAR(10))&amp;$A124,AK123)</f>
        <v/>
      </c>
      <c r="AL124" s="0" t="str">
        <f aca="false">IF(AND($B124="D05",$C124="G6"),AL123&amp;IF(AL123="","",CHAR(10))&amp;$A124,AL123)</f>
        <v/>
      </c>
      <c r="AM124" s="0" t="str">
        <f aca="false">IF(AND($B124="D06",$C124="G0"),AM123&amp;IF(AM123="","",CHAR(10))&amp;$A124,AM123)</f>
        <v/>
      </c>
      <c r="AN124" s="0" t="str">
        <f aca="false">IF(AND($B124="D06",$C124="G1"),AN123&amp;IF(AN123="","",CHAR(10))&amp;$A124,AN123)</f>
        <v/>
      </c>
      <c r="AO124" s="0" t="str">
        <f aca="false">IF(AND($B124="D06",$C124="G2"),AO123&amp;IF(AO123="","",CHAR(10))&amp;$A124,AO123)</f>
        <v/>
      </c>
      <c r="AP124" s="363" t="str">
        <f aca="false">IF(AND($B124="D06",$C124="G3"),AP123&amp;IF(AP123="","",CHAR(10))&amp;$A124,AP123)</f>
        <v>◐ 033 HIS／EMR核心平台
◐ 036 臨床術語與主資料治理</v>
      </c>
      <c r="AQ124" s="363" t="str">
        <f aca="false">IF(AND($B124="D06",$C124="G4"),AQ123&amp;IF(AQ123="","",CHAR(10))&amp;$A124,AQ123)</f>
        <v>◐ 034 FHIR介接與API管理
○ 035 主病人索引與身分整合
◐ 037 電子醫囑、用藥與決策支援
◐ 038 資料平台、BI與營運指揮</v>
      </c>
      <c r="AR124" s="0" t="str">
        <f aca="false">IF(AND($B124="D06",$C124="G5"),AR123&amp;IF(AR123="","",CHAR(10))&amp;$A124,AR123)</f>
        <v>○ 039 病人入口、行動服務與VNeID準備</v>
      </c>
      <c r="AS124" s="0" t="str">
        <f aca="false">IF(AND($B124="D06",$C124="G6"),AS123&amp;IF(AS123="","",CHAR(10))&amp;$A124,AS123)</f>
        <v/>
      </c>
      <c r="AT124" s="0" t="str">
        <f aca="false">IF(AND($B124="D07",$C124="G0"),AT123&amp;IF(AT123="","",CHAR(10))&amp;$A124,AT123)</f>
        <v/>
      </c>
      <c r="AU124" s="0" t="str">
        <f aca="false">IF(AND($B124="D07",$C124="G1"),AU123&amp;IF(AU123="","",CHAR(10))&amp;$A124,AU123)</f>
        <v/>
      </c>
      <c r="AV124" s="0" t="str">
        <f aca="false">IF(AND($B124="D07",$C124="G2"),AV123&amp;IF(AV123="","",CHAR(10))&amp;$A124,AV123)</f>
        <v>◐ 040 品質管理與JCI路線圖</v>
      </c>
      <c r="AW124" s="363" t="str">
        <f aca="false">IF(AND($B124="D07",$C124="G3"),AW123&amp;IF(AW123="","",CHAR(10))&amp;$A124,AW123)</f>
        <v>◐ 041 感染預防與控制制度
◐ 043 事件通報與根因改善</v>
      </c>
      <c r="AX124" s="0" t="str">
        <f aca="false">IF(AND($B124="D07",$C124="G4"),AX123&amp;IF(AX123="","",CHAR(10))&amp;$A124,AX123)</f>
        <v>◐ 042 用藥安全閉環</v>
      </c>
      <c r="AY124" s="0" t="str">
        <f aca="false">IF(AND($B124="D07",$C124="G5"),AY123&amp;IF(AY123="","",CHAR(10))&amp;$A124,AY123)</f>
        <v>◐ 044 開院臨床安全驗證</v>
      </c>
      <c r="AZ124" s="0" t="str">
        <f aca="false">IF(AND($B124="D07",$C124="G6"),AZ123&amp;IF(AZ123="","",CHAR(10))&amp;$A124,AZ123)</f>
        <v/>
      </c>
      <c r="BA124" s="0" t="str">
        <f aca="false">IF(AND($B124="D08",$C124="G0"),BA123&amp;IF(BA123="","",CHAR(10))&amp;$A124,BA123)</f>
        <v/>
      </c>
      <c r="BB124" s="0" t="str">
        <f aca="false">IF(AND($B124="D08",$C124="G1"),BB123&amp;IF(BB123="","",CHAR(10))&amp;$A124,BB123)</f>
        <v/>
      </c>
      <c r="BC124" s="0" t="str">
        <f aca="false">IF(AND($B124="D08",$C124="G2"),BC123&amp;IF(BC123="","",CHAR(10))&amp;$A124,BC123)</f>
        <v>○ 045 人力與輪班模型</v>
      </c>
      <c r="BD124" s="0" t="str">
        <f aca="false">IF(AND($B124="D08",$C124="G3"),BD123&amp;IF(BD123="","",CHAR(10))&amp;$A124,BD123)</f>
        <v>◐ 046 職能矩陣與授權</v>
      </c>
      <c r="BE124" s="363" t="str">
        <f aca="false">IF(AND($B124="D08",$C124="G4"),BE123&amp;IF(BE123="","",CHAR(10))&amp;$A124,BE123)</f>
        <v>◐ 047 種子教師與技術移轉
◐ 049 變革管理與使用者採納</v>
      </c>
      <c r="BF124" s="0" t="str">
        <f aca="false">IF(AND($B124="D08",$C124="G5"),BF123&amp;IF(BF123="","",CHAR(10))&amp;$A124,BF123)</f>
        <v>◐ 048 模擬中心與開院演練</v>
      </c>
      <c r="BG124" s="0" t="str">
        <f aca="false">IF(AND($B124="D08",$C124="G6"),BG123&amp;IF(BG123="","",CHAR(10))&amp;$A124,BG123)</f>
        <v/>
      </c>
      <c r="BH124" s="0" t="str">
        <f aca="false">IF(AND($B124="D09",$C124="G0"),BH123&amp;IF(BH123="","",CHAR(10))&amp;$A124,BH123)</f>
        <v/>
      </c>
      <c r="BI124" s="0" t="str">
        <f aca="false">IF(AND($B124="D09",$C124="G1"),BI123&amp;IF(BI123="","",CHAR(10))&amp;$A124,BI123)</f>
        <v/>
      </c>
      <c r="BJ124" s="0" t="str">
        <f aca="false">IF(AND($B124="D09",$C124="G2"),BJ123&amp;IF(BJ123="","",CHAR(10))&amp;$A124,BJ123)</f>
        <v>◐ 050 整合採購與供應商治理</v>
      </c>
      <c r="BK124" s="0" t="str">
        <f aca="false">IF(AND($B124="D09",$C124="G3"),BK123&amp;IF(BK123="","",CHAR(10))&amp;$A124,BK123)</f>
        <v/>
      </c>
      <c r="BL124" s="363" t="str">
        <f aca="false">IF(AND($B124="D09",$C124="G4"),BL123&amp;IF(BL123="","",CHAR(10))&amp;$A124,BL123)</f>
        <v>◐ 051 藥品耗材與SPD物流
◐ 052 冷鏈與特殊物料
● 053 CMMS與設施維運</v>
      </c>
      <c r="BM124" s="0" t="str">
        <f aca="false">IF(AND($B124="D09",$C124="G5"),BM123&amp;IF(BM123="","",CHAR(10))&amp;$A124,BM123)</f>
        <v>◐ 054 在地備品、維修與汰換</v>
      </c>
      <c r="BN124" s="0" t="str">
        <f aca="false">IF(AND($B124="D09",$C124="G6"),BN123&amp;IF(BN123="","",CHAR(10))&amp;$A124,BN123)</f>
        <v/>
      </c>
      <c r="BO124" s="0" t="str">
        <f aca="false">IF(AND($B124="D10",$C124="G0"),BO123&amp;IF(BO123="","",CHAR(10))&amp;$A124,BO123)</f>
        <v/>
      </c>
      <c r="BP124" s="0" t="str">
        <f aca="false">IF(AND($B124="D10",$C124="G1"),BP123&amp;IF(BP123="","",CHAR(10))&amp;$A124,BP123)</f>
        <v>◐ 055 全生命週期成本模型</v>
      </c>
      <c r="BQ124" s="0" t="str">
        <f aca="false">IF(AND($B124="D10",$C124="G2"),BQ123&amp;IF(BQ123="","",CHAR(10))&amp;$A124,BQ123)</f>
        <v>◐ 059 PPP／JV財務與風險分配</v>
      </c>
      <c r="BR124" s="0" t="str">
        <f aca="false">IF(AND($B124="D10",$C124="G3"),BR123&amp;IF(BR123="","",CHAR(10))&amp;$A124,BR123)</f>
        <v/>
      </c>
      <c r="BS124" s="363" t="str">
        <f aca="false">IF(AND($B124="D10",$C124="G4"),BS123&amp;IF(BS123="","",CHAR(10))&amp;$A124,BS123)</f>
        <v>○ 056 健保申報與數位理賠
○ 057 現金流、支付與收入週期</v>
      </c>
      <c r="BT124" s="0" t="str">
        <f aca="false">IF(AND($B124="D10",$C124="G5"),BT123&amp;IF(BT123="","",CHAR(10))&amp;$A124,BT123)</f>
        <v>○ 058 國際醫療與高價值服務</v>
      </c>
      <c r="BU124" s="0" t="str">
        <f aca="false">IF(AND($B124="D10",$C124="G6"),BU123&amp;IF(BU123="","",CHAR(10))&amp;$A124,BU123)</f>
        <v>◐ 060 效益實現與複製藍圖</v>
      </c>
      <c r="BX124" s="0" t="str">
        <f aca="false">IF(AND(03_能力總表_Master!$A124&lt;&gt;"",LEFT(03_能力總表_Master!$H124,2)="缺口"),MAX($BX$4:BX123)+1,"")</f>
        <v/>
      </c>
      <c r="BY124" s="0" t="str">
        <f aca="false">IF(AND(03_能力總表_Master!$A124&lt;&gt;"",03_能力總表_Master!$J124=12_夥伴視角_PartnerView!$C$4),MAX($BY$4:BY123)+1,"")</f>
        <v/>
      </c>
      <c r="CC124" s="0" t="str">
        <f aca="false">IF(AND(03_能力總表_Master!$A124&lt;&gt;"",IFERROR(INDEX(16_能力商機矩陣_CapOppMap!$D124:$CO124,MATCH(LEFT(17_商機作戰卡_OppView!$C$4,6),16_能力商機矩陣_CapOppMap!$D$4:$CO$4,0)),"")="✓"),MAX($CC$4:CC123)+1,"")</f>
        <v/>
      </c>
    </row>
    <row r="125" customFormat="false" ht="95.5" hidden="false" customHeight="false" outlineLevel="0" collapsed="false">
      <c r="A125" s="0" t="str">
        <f aca="false">IF(03_能力總表_Master!$A125="","",IF(LEFT(03_能力總表_Master!$H125,2)="群晶","● ",IF(ISNUMBER(SEARCH("已確認",03_能力總表_Master!$H125)),"◆ ",IF(ISNUMBER(SEARCH("缺口",03_能力總表_Master!$H125)),"○ ","◐ ")))&amp;RIGHT(03_能力總表_Master!$A125,3)&amp;" "&amp;03_能力總表_Master!$E125)</f>
        <v/>
      </c>
      <c r="B125" s="0" t="str">
        <f aca="false">IF(03_能力總表_Master!$A125="","",LEFT(03_能力總表_Master!$B125,3))</f>
        <v/>
      </c>
      <c r="C125" s="0" t="str">
        <f aca="false">IF(03_能力總表_Master!$A125="","",03_能力總表_Master!$C125)</f>
        <v/>
      </c>
      <c r="D125" s="363" t="str">
        <f aca="false">IF(AND($B125="D01",$C125="G0"),D124&amp;IF(D124="","",CHAR(10))&amp;$A125,D124)</f>
        <v>◐ 001 政府授權與計畫章程
◐ 002 利害關係人與權力地圖
◐ 005 聯盟治理與利益衝突</v>
      </c>
      <c r="E125" s="363" t="str">
        <f aca="false">IF(AND($B125="D01",$C125="G1"),E124&amp;IF(E124="","",CHAR(10))&amp;$A125,E124)</f>
        <v>◐ 003 交易模式選擇
◐ 004 法規與執照路徑</v>
      </c>
      <c r="F125" s="0" t="str">
        <f aca="false">IF(AND($B125="D01",$C125="G2"),F124&amp;IF(F124="","",CHAR(10))&amp;$A125,F124)</f>
        <v>◐ 006 績效契約與變更控制</v>
      </c>
      <c r="G125" s="0" t="str">
        <f aca="false">IF(AND($B125="D01",$C125="G3"),G124&amp;IF(G124="","",CHAR(10))&amp;$A125,G124)</f>
        <v/>
      </c>
      <c r="H125" s="0" t="str">
        <f aca="false">IF(AND($B125="D01",$C125="G4"),H124&amp;IF(H124="","",CHAR(10))&amp;$A125,H124)</f>
        <v/>
      </c>
      <c r="I125" s="0" t="str">
        <f aca="false">IF(AND($B125="D01",$C125="G5"),I124&amp;IF(I124="","",CHAR(10))&amp;$A125,I124)</f>
        <v/>
      </c>
      <c r="J125" s="0" t="str">
        <f aca="false">IF(AND($B125="D01",$C125="G6"),J124&amp;IF(J124="","",CHAR(10))&amp;$A125,J124)</f>
        <v/>
      </c>
      <c r="K125" s="0" t="str">
        <f aca="false">IF(AND($B125="D02",$C125="G0"),K124&amp;IF(K124="","",CHAR(10))&amp;$A125,K124)</f>
        <v/>
      </c>
      <c r="L125" s="363" t="str">
        <f aca="false">IF(AND($B125="D02",$C125="G1"),L124&amp;IF(L124="","",CHAR(10))&amp;$A125,L124)</f>
        <v>◐ 007 人口需求與病例量預測
◐ 008 醫院定位與服務組合
◐ 009 重點專科優先化
◐ 010 病人流程與容量設計
◐ 011 轉診與區域照護網絡
◐ 012 臨床治理與責任架構</v>
      </c>
      <c r="M125" s="0" t="str">
        <f aca="false">IF(AND($B125="D02",$C125="G2"),M124&amp;IF(M124="","",CHAR(10))&amp;$A125,M124)</f>
        <v/>
      </c>
      <c r="N125" s="0" t="str">
        <f aca="false">IF(AND($B125="D02",$C125="G3"),N124&amp;IF(N124="","",CHAR(10))&amp;$A125,N124)</f>
        <v/>
      </c>
      <c r="O125" s="0" t="str">
        <f aca="false">IF(AND($B125="D02",$C125="G4"),O124&amp;IF(O124="","",CHAR(10))&amp;$A125,O124)</f>
        <v/>
      </c>
      <c r="P125" s="0" t="str">
        <f aca="false">IF(AND($B125="D02",$C125="G5"),P124&amp;IF(P124="","",CHAR(10))&amp;$A125,P124)</f>
        <v/>
      </c>
      <c r="Q125" s="0" t="str">
        <f aca="false">IF(AND($B125="D02",$C125="G6"),Q124&amp;IF(Q124="","",CHAR(10))&amp;$A125,Q124)</f>
        <v/>
      </c>
      <c r="R125" s="0" t="str">
        <f aca="false">IF(AND($B125="D03",$C125="G0"),R124&amp;IF(R124="","",CHAR(10))&amp;$A125,R124)</f>
        <v/>
      </c>
      <c r="S125" s="0" t="str">
        <f aca="false">IF(AND($B125="D03",$C125="G1"),S124&amp;IF(S124="","",CHAR(10))&amp;$A125,S124)</f>
        <v>◐ 013 場址與醫院總體規劃</v>
      </c>
      <c r="T125" s="363" t="str">
        <f aca="false">IF(AND($B125="D03",$C125="G2"),T124&amp;IF(T124="","",CHAR(10))&amp;$A125,T124)</f>
        <v>◐ 014 醫療建築功能計畫
◐ 015 感染控制與潔污動線
◐ 019 綠色與氣候韌性醫院</v>
      </c>
      <c r="U125" s="363" t="str">
        <f aca="false">IF(AND($B125="D03",$C125="G3"),U124&amp;IF(U124="","",CHAR(10))&amp;$A125,U124)</f>
        <v>● 016 電力、備援與微電網
◐ 017 醫療氣體與關鍵公用系統
◐ 018 醫療廢棄物與水資源</v>
      </c>
      <c r="V125" s="0" t="str">
        <f aca="false">IF(AND($B125="D03",$C125="G4"),V124&amp;IF(V124="","",CHAR(10))&amp;$A125,V124)</f>
        <v/>
      </c>
      <c r="W125" s="0" t="str">
        <f aca="false">IF(AND($B125="D03",$C125="G5"),W124&amp;IF(W124="","",CHAR(10))&amp;$A125,W124)</f>
        <v/>
      </c>
      <c r="X125" s="0" t="str">
        <f aca="false">IF(AND($B125="D03",$C125="G6"),X124&amp;IF(X124="","",CHAR(10))&amp;$A125,X124)</f>
        <v/>
      </c>
      <c r="Y125" s="0" t="str">
        <f aca="false">IF(AND($B125="D04",$C125="G0"),Y124&amp;IF(Y124="","",CHAR(10))&amp;$A125,Y124)</f>
        <v/>
      </c>
      <c r="Z125" s="0" t="str">
        <f aca="false">IF(AND($B125="D04",$C125="G1"),Z124&amp;IF(Z124="","",CHAR(10))&amp;$A125,Z124)</f>
        <v/>
      </c>
      <c r="AA125" s="0" t="str">
        <f aca="false">IF(AND($B125="D04",$C125="G2"),AA124&amp;IF(AA124="","",CHAR(10))&amp;$A125,AA124)</f>
        <v/>
      </c>
      <c r="AB125" s="0" t="str">
        <f aca="false">IF(AND($B125="D04",$C125="G3"),AB124&amp;IF(AB124="","",CHAR(10))&amp;$A125,AB124)</f>
        <v>● 020 IDC與邊緣運算底座</v>
      </c>
      <c r="AC125" s="363" t="str">
        <f aca="false">IF(AND($B125="D04",$C125="G4"),AC124&amp;IF(AC124="","",CHAR(10))&amp;$A125,AC124)</f>
        <v>● 021 有線無線網路與分區
◐ 022 資安營運與零信任
● 023 BMS與能源管理
● 024 RTLS與資產／人員定位
● 025 智慧病房、護理呼叫與感測
● 026 災難復原與營運持續</v>
      </c>
      <c r="AD125" s="0" t="str">
        <f aca="false">IF(AND($B125="D04",$C125="G5"),AD124&amp;IF(AD124="","",CHAR(10))&amp;$A125,AD124)</f>
        <v/>
      </c>
      <c r="AE125" s="0" t="str">
        <f aca="false">IF(AND($B125="D04",$C125="G6"),AE124&amp;IF(AE124="","",CHAR(10))&amp;$A125,AE124)</f>
        <v/>
      </c>
      <c r="AF125" s="0" t="str">
        <f aca="false">IF(AND($B125="D05",$C125="G0"),AF124&amp;IF(AF124="","",CHAR(10))&amp;$A125,AF124)</f>
        <v/>
      </c>
      <c r="AG125" s="0" t="str">
        <f aca="false">IF(AND($B125="D05",$C125="G1"),AG124&amp;IF(AG124="","",CHAR(10))&amp;$A125,AG124)</f>
        <v/>
      </c>
      <c r="AH125" s="0" t="str">
        <f aca="false">IF(AND($B125="D05",$C125="G2"),AH124&amp;IF(AH124="","",CHAR(10))&amp;$A125,AH124)</f>
        <v>◐ 027 醫材需求與設備計畫</v>
      </c>
      <c r="AI125" s="0" t="str">
        <f aca="false">IF(AND($B125="D05",$C125="G3"),AI124&amp;IF(AI124="","",CHAR(10))&amp;$A125,AI124)</f>
        <v/>
      </c>
      <c r="AJ125" s="363" t="str">
        <f aca="false">IF(AND($B125="D05",$C125="G4"),AJ124&amp;IF(AJ124="","",CHAR(10))&amp;$A125,AJ124)</f>
        <v>○ 028 影像設備、PACS與報告流程
○ 029 實驗室自動化與LIS
○ 030 手術室與重症整合
◐ 031 醫材介接與裝置身分
◐ 032 醫療工程與設備生命週期</v>
      </c>
      <c r="AK125" s="0" t="str">
        <f aca="false">IF(AND($B125="D05",$C125="G5"),AK124&amp;IF(AK124="","",CHAR(10))&amp;$A125,AK124)</f>
        <v/>
      </c>
      <c r="AL125" s="0" t="str">
        <f aca="false">IF(AND($B125="D05",$C125="G6"),AL124&amp;IF(AL124="","",CHAR(10))&amp;$A125,AL124)</f>
        <v/>
      </c>
      <c r="AM125" s="0" t="str">
        <f aca="false">IF(AND($B125="D06",$C125="G0"),AM124&amp;IF(AM124="","",CHAR(10))&amp;$A125,AM124)</f>
        <v/>
      </c>
      <c r="AN125" s="0" t="str">
        <f aca="false">IF(AND($B125="D06",$C125="G1"),AN124&amp;IF(AN124="","",CHAR(10))&amp;$A125,AN124)</f>
        <v/>
      </c>
      <c r="AO125" s="0" t="str">
        <f aca="false">IF(AND($B125="D06",$C125="G2"),AO124&amp;IF(AO124="","",CHAR(10))&amp;$A125,AO124)</f>
        <v/>
      </c>
      <c r="AP125" s="363" t="str">
        <f aca="false">IF(AND($B125="D06",$C125="G3"),AP124&amp;IF(AP124="","",CHAR(10))&amp;$A125,AP124)</f>
        <v>◐ 033 HIS／EMR核心平台
◐ 036 臨床術語與主資料治理</v>
      </c>
      <c r="AQ125" s="363" t="str">
        <f aca="false">IF(AND($B125="D06",$C125="G4"),AQ124&amp;IF(AQ124="","",CHAR(10))&amp;$A125,AQ124)</f>
        <v>◐ 034 FHIR介接與API管理
○ 035 主病人索引與身分整合
◐ 037 電子醫囑、用藥與決策支援
◐ 038 資料平台、BI與營運指揮</v>
      </c>
      <c r="AR125" s="0" t="str">
        <f aca="false">IF(AND($B125="D06",$C125="G5"),AR124&amp;IF(AR124="","",CHAR(10))&amp;$A125,AR124)</f>
        <v>○ 039 病人入口、行動服務與VNeID準備</v>
      </c>
      <c r="AS125" s="0" t="str">
        <f aca="false">IF(AND($B125="D06",$C125="G6"),AS124&amp;IF(AS124="","",CHAR(10))&amp;$A125,AS124)</f>
        <v/>
      </c>
      <c r="AT125" s="0" t="str">
        <f aca="false">IF(AND($B125="D07",$C125="G0"),AT124&amp;IF(AT124="","",CHAR(10))&amp;$A125,AT124)</f>
        <v/>
      </c>
      <c r="AU125" s="0" t="str">
        <f aca="false">IF(AND($B125="D07",$C125="G1"),AU124&amp;IF(AU124="","",CHAR(10))&amp;$A125,AU124)</f>
        <v/>
      </c>
      <c r="AV125" s="0" t="str">
        <f aca="false">IF(AND($B125="D07",$C125="G2"),AV124&amp;IF(AV124="","",CHAR(10))&amp;$A125,AV124)</f>
        <v>◐ 040 品質管理與JCI路線圖</v>
      </c>
      <c r="AW125" s="363" t="str">
        <f aca="false">IF(AND($B125="D07",$C125="G3"),AW124&amp;IF(AW124="","",CHAR(10))&amp;$A125,AW124)</f>
        <v>◐ 041 感染預防與控制制度
◐ 043 事件通報與根因改善</v>
      </c>
      <c r="AX125" s="0" t="str">
        <f aca="false">IF(AND($B125="D07",$C125="G4"),AX124&amp;IF(AX124="","",CHAR(10))&amp;$A125,AX124)</f>
        <v>◐ 042 用藥安全閉環</v>
      </c>
      <c r="AY125" s="0" t="str">
        <f aca="false">IF(AND($B125="D07",$C125="G5"),AY124&amp;IF(AY124="","",CHAR(10))&amp;$A125,AY124)</f>
        <v>◐ 044 開院臨床安全驗證</v>
      </c>
      <c r="AZ125" s="0" t="str">
        <f aca="false">IF(AND($B125="D07",$C125="G6"),AZ124&amp;IF(AZ124="","",CHAR(10))&amp;$A125,AZ124)</f>
        <v/>
      </c>
      <c r="BA125" s="0" t="str">
        <f aca="false">IF(AND($B125="D08",$C125="G0"),BA124&amp;IF(BA124="","",CHAR(10))&amp;$A125,BA124)</f>
        <v/>
      </c>
      <c r="BB125" s="0" t="str">
        <f aca="false">IF(AND($B125="D08",$C125="G1"),BB124&amp;IF(BB124="","",CHAR(10))&amp;$A125,BB124)</f>
        <v/>
      </c>
      <c r="BC125" s="0" t="str">
        <f aca="false">IF(AND($B125="D08",$C125="G2"),BC124&amp;IF(BC124="","",CHAR(10))&amp;$A125,BC124)</f>
        <v>○ 045 人力與輪班模型</v>
      </c>
      <c r="BD125" s="0" t="str">
        <f aca="false">IF(AND($B125="D08",$C125="G3"),BD124&amp;IF(BD124="","",CHAR(10))&amp;$A125,BD124)</f>
        <v>◐ 046 職能矩陣與授權</v>
      </c>
      <c r="BE125" s="363" t="str">
        <f aca="false">IF(AND($B125="D08",$C125="G4"),BE124&amp;IF(BE124="","",CHAR(10))&amp;$A125,BE124)</f>
        <v>◐ 047 種子教師與技術移轉
◐ 049 變革管理與使用者採納</v>
      </c>
      <c r="BF125" s="0" t="str">
        <f aca="false">IF(AND($B125="D08",$C125="G5"),BF124&amp;IF(BF124="","",CHAR(10))&amp;$A125,BF124)</f>
        <v>◐ 048 模擬中心與開院演練</v>
      </c>
      <c r="BG125" s="0" t="str">
        <f aca="false">IF(AND($B125="D08",$C125="G6"),BG124&amp;IF(BG124="","",CHAR(10))&amp;$A125,BG124)</f>
        <v/>
      </c>
      <c r="BH125" s="0" t="str">
        <f aca="false">IF(AND($B125="D09",$C125="G0"),BH124&amp;IF(BH124="","",CHAR(10))&amp;$A125,BH124)</f>
        <v/>
      </c>
      <c r="BI125" s="0" t="str">
        <f aca="false">IF(AND($B125="D09",$C125="G1"),BI124&amp;IF(BI124="","",CHAR(10))&amp;$A125,BI124)</f>
        <v/>
      </c>
      <c r="BJ125" s="0" t="str">
        <f aca="false">IF(AND($B125="D09",$C125="G2"),BJ124&amp;IF(BJ124="","",CHAR(10))&amp;$A125,BJ124)</f>
        <v>◐ 050 整合採購與供應商治理</v>
      </c>
      <c r="BK125" s="0" t="str">
        <f aca="false">IF(AND($B125="D09",$C125="G3"),BK124&amp;IF(BK124="","",CHAR(10))&amp;$A125,BK124)</f>
        <v/>
      </c>
      <c r="BL125" s="363" t="str">
        <f aca="false">IF(AND($B125="D09",$C125="G4"),BL124&amp;IF(BL124="","",CHAR(10))&amp;$A125,BL124)</f>
        <v>◐ 051 藥品耗材與SPD物流
◐ 052 冷鏈與特殊物料
● 053 CMMS與設施維運</v>
      </c>
      <c r="BM125" s="0" t="str">
        <f aca="false">IF(AND($B125="D09",$C125="G5"),BM124&amp;IF(BM124="","",CHAR(10))&amp;$A125,BM124)</f>
        <v>◐ 054 在地備品、維修與汰換</v>
      </c>
      <c r="BN125" s="0" t="str">
        <f aca="false">IF(AND($B125="D09",$C125="G6"),BN124&amp;IF(BN124="","",CHAR(10))&amp;$A125,BN124)</f>
        <v/>
      </c>
      <c r="BO125" s="0" t="str">
        <f aca="false">IF(AND($B125="D10",$C125="G0"),BO124&amp;IF(BO124="","",CHAR(10))&amp;$A125,BO124)</f>
        <v/>
      </c>
      <c r="BP125" s="0" t="str">
        <f aca="false">IF(AND($B125="D10",$C125="G1"),BP124&amp;IF(BP124="","",CHAR(10))&amp;$A125,BP124)</f>
        <v>◐ 055 全生命週期成本模型</v>
      </c>
      <c r="BQ125" s="0" t="str">
        <f aca="false">IF(AND($B125="D10",$C125="G2"),BQ124&amp;IF(BQ124="","",CHAR(10))&amp;$A125,BQ124)</f>
        <v>◐ 059 PPP／JV財務與風險分配</v>
      </c>
      <c r="BR125" s="0" t="str">
        <f aca="false">IF(AND($B125="D10",$C125="G3"),BR124&amp;IF(BR124="","",CHAR(10))&amp;$A125,BR124)</f>
        <v/>
      </c>
      <c r="BS125" s="363" t="str">
        <f aca="false">IF(AND($B125="D10",$C125="G4"),BS124&amp;IF(BS124="","",CHAR(10))&amp;$A125,BS124)</f>
        <v>○ 056 健保申報與數位理賠
○ 057 現金流、支付與收入週期</v>
      </c>
      <c r="BT125" s="0" t="str">
        <f aca="false">IF(AND($B125="D10",$C125="G5"),BT124&amp;IF(BT124="","",CHAR(10))&amp;$A125,BT124)</f>
        <v>○ 058 國際醫療與高價值服務</v>
      </c>
      <c r="BU125" s="0" t="str">
        <f aca="false">IF(AND($B125="D10",$C125="G6"),BU124&amp;IF(BU124="","",CHAR(10))&amp;$A125,BU124)</f>
        <v>◐ 060 效益實現與複製藍圖</v>
      </c>
      <c r="BX125" s="0" t="str">
        <f aca="false">IF(AND(03_能力總表_Master!$A125&lt;&gt;"",LEFT(03_能力總表_Master!$H125,2)="缺口"),MAX($BX$4:BX124)+1,"")</f>
        <v/>
      </c>
      <c r="BY125" s="0" t="str">
        <f aca="false">IF(AND(03_能力總表_Master!$A125&lt;&gt;"",03_能力總表_Master!$J125=12_夥伴視角_PartnerView!$C$4),MAX($BY$4:BY124)+1,"")</f>
        <v/>
      </c>
      <c r="CC125" s="0" t="str">
        <f aca="false">IF(AND(03_能力總表_Master!$A125&lt;&gt;"",IFERROR(INDEX(16_能力商機矩陣_CapOppMap!$D125:$CO125,MATCH(LEFT(17_商機作戰卡_OppView!$C$4,6),16_能力商機矩陣_CapOppMap!$D$4:$CO$4,0)),"")="✓"),MAX($CC$4:CC124)+1,"")</f>
        <v/>
      </c>
    </row>
    <row r="126" customFormat="false" ht="95.5" hidden="false" customHeight="false" outlineLevel="0" collapsed="false">
      <c r="A126" s="0" t="str">
        <f aca="false">IF(03_能力總表_Master!$A126="","",IF(LEFT(03_能力總表_Master!$H126,2)="群晶","● ",IF(ISNUMBER(SEARCH("已確認",03_能力總表_Master!$H126)),"◆ ",IF(ISNUMBER(SEARCH("缺口",03_能力總表_Master!$H126)),"○ ","◐ ")))&amp;RIGHT(03_能力總表_Master!$A126,3)&amp;" "&amp;03_能力總表_Master!$E126)</f>
        <v/>
      </c>
      <c r="B126" s="0" t="str">
        <f aca="false">IF(03_能力總表_Master!$A126="","",LEFT(03_能力總表_Master!$B126,3))</f>
        <v/>
      </c>
      <c r="C126" s="0" t="str">
        <f aca="false">IF(03_能力總表_Master!$A126="","",03_能力總表_Master!$C126)</f>
        <v/>
      </c>
      <c r="D126" s="363" t="str">
        <f aca="false">IF(AND($B126="D01",$C126="G0"),D125&amp;IF(D125="","",CHAR(10))&amp;$A126,D125)</f>
        <v>◐ 001 政府授權與計畫章程
◐ 002 利害關係人與權力地圖
◐ 005 聯盟治理與利益衝突</v>
      </c>
      <c r="E126" s="363" t="str">
        <f aca="false">IF(AND($B126="D01",$C126="G1"),E125&amp;IF(E125="","",CHAR(10))&amp;$A126,E125)</f>
        <v>◐ 003 交易模式選擇
◐ 004 法規與執照路徑</v>
      </c>
      <c r="F126" s="0" t="str">
        <f aca="false">IF(AND($B126="D01",$C126="G2"),F125&amp;IF(F125="","",CHAR(10))&amp;$A126,F125)</f>
        <v>◐ 006 績效契約與變更控制</v>
      </c>
      <c r="G126" s="0" t="str">
        <f aca="false">IF(AND($B126="D01",$C126="G3"),G125&amp;IF(G125="","",CHAR(10))&amp;$A126,G125)</f>
        <v/>
      </c>
      <c r="H126" s="0" t="str">
        <f aca="false">IF(AND($B126="D01",$C126="G4"),H125&amp;IF(H125="","",CHAR(10))&amp;$A126,H125)</f>
        <v/>
      </c>
      <c r="I126" s="0" t="str">
        <f aca="false">IF(AND($B126="D01",$C126="G5"),I125&amp;IF(I125="","",CHAR(10))&amp;$A126,I125)</f>
        <v/>
      </c>
      <c r="J126" s="0" t="str">
        <f aca="false">IF(AND($B126="D01",$C126="G6"),J125&amp;IF(J125="","",CHAR(10))&amp;$A126,J125)</f>
        <v/>
      </c>
      <c r="K126" s="0" t="str">
        <f aca="false">IF(AND($B126="D02",$C126="G0"),K125&amp;IF(K125="","",CHAR(10))&amp;$A126,K125)</f>
        <v/>
      </c>
      <c r="L126" s="363" t="str">
        <f aca="false">IF(AND($B126="D02",$C126="G1"),L125&amp;IF(L125="","",CHAR(10))&amp;$A126,L125)</f>
        <v>◐ 007 人口需求與病例量預測
◐ 008 醫院定位與服務組合
◐ 009 重點專科優先化
◐ 010 病人流程與容量設計
◐ 011 轉診與區域照護網絡
◐ 012 臨床治理與責任架構</v>
      </c>
      <c r="M126" s="0" t="str">
        <f aca="false">IF(AND($B126="D02",$C126="G2"),M125&amp;IF(M125="","",CHAR(10))&amp;$A126,M125)</f>
        <v/>
      </c>
      <c r="N126" s="0" t="str">
        <f aca="false">IF(AND($B126="D02",$C126="G3"),N125&amp;IF(N125="","",CHAR(10))&amp;$A126,N125)</f>
        <v/>
      </c>
      <c r="O126" s="0" t="str">
        <f aca="false">IF(AND($B126="D02",$C126="G4"),O125&amp;IF(O125="","",CHAR(10))&amp;$A126,O125)</f>
        <v/>
      </c>
      <c r="P126" s="0" t="str">
        <f aca="false">IF(AND($B126="D02",$C126="G5"),P125&amp;IF(P125="","",CHAR(10))&amp;$A126,P125)</f>
        <v/>
      </c>
      <c r="Q126" s="0" t="str">
        <f aca="false">IF(AND($B126="D02",$C126="G6"),Q125&amp;IF(Q125="","",CHAR(10))&amp;$A126,Q125)</f>
        <v/>
      </c>
      <c r="R126" s="0" t="str">
        <f aca="false">IF(AND($B126="D03",$C126="G0"),R125&amp;IF(R125="","",CHAR(10))&amp;$A126,R125)</f>
        <v/>
      </c>
      <c r="S126" s="0" t="str">
        <f aca="false">IF(AND($B126="D03",$C126="G1"),S125&amp;IF(S125="","",CHAR(10))&amp;$A126,S125)</f>
        <v>◐ 013 場址與醫院總體規劃</v>
      </c>
      <c r="T126" s="363" t="str">
        <f aca="false">IF(AND($B126="D03",$C126="G2"),T125&amp;IF(T125="","",CHAR(10))&amp;$A126,T125)</f>
        <v>◐ 014 醫療建築功能計畫
◐ 015 感染控制與潔污動線
◐ 019 綠色與氣候韌性醫院</v>
      </c>
      <c r="U126" s="363" t="str">
        <f aca="false">IF(AND($B126="D03",$C126="G3"),U125&amp;IF(U125="","",CHAR(10))&amp;$A126,U125)</f>
        <v>● 016 電力、備援與微電網
◐ 017 醫療氣體與關鍵公用系統
◐ 018 醫療廢棄物與水資源</v>
      </c>
      <c r="V126" s="0" t="str">
        <f aca="false">IF(AND($B126="D03",$C126="G4"),V125&amp;IF(V125="","",CHAR(10))&amp;$A126,V125)</f>
        <v/>
      </c>
      <c r="W126" s="0" t="str">
        <f aca="false">IF(AND($B126="D03",$C126="G5"),W125&amp;IF(W125="","",CHAR(10))&amp;$A126,W125)</f>
        <v/>
      </c>
      <c r="X126" s="0" t="str">
        <f aca="false">IF(AND($B126="D03",$C126="G6"),X125&amp;IF(X125="","",CHAR(10))&amp;$A126,X125)</f>
        <v/>
      </c>
      <c r="Y126" s="0" t="str">
        <f aca="false">IF(AND($B126="D04",$C126="G0"),Y125&amp;IF(Y125="","",CHAR(10))&amp;$A126,Y125)</f>
        <v/>
      </c>
      <c r="Z126" s="0" t="str">
        <f aca="false">IF(AND($B126="D04",$C126="G1"),Z125&amp;IF(Z125="","",CHAR(10))&amp;$A126,Z125)</f>
        <v/>
      </c>
      <c r="AA126" s="0" t="str">
        <f aca="false">IF(AND($B126="D04",$C126="G2"),AA125&amp;IF(AA125="","",CHAR(10))&amp;$A126,AA125)</f>
        <v/>
      </c>
      <c r="AB126" s="0" t="str">
        <f aca="false">IF(AND($B126="D04",$C126="G3"),AB125&amp;IF(AB125="","",CHAR(10))&amp;$A126,AB125)</f>
        <v>● 020 IDC與邊緣運算底座</v>
      </c>
      <c r="AC126" s="363" t="str">
        <f aca="false">IF(AND($B126="D04",$C126="G4"),AC125&amp;IF(AC125="","",CHAR(10))&amp;$A126,AC125)</f>
        <v>● 021 有線無線網路與分區
◐ 022 資安營運與零信任
● 023 BMS與能源管理
● 024 RTLS與資產／人員定位
● 025 智慧病房、護理呼叫與感測
● 026 災難復原與營運持續</v>
      </c>
      <c r="AD126" s="0" t="str">
        <f aca="false">IF(AND($B126="D04",$C126="G5"),AD125&amp;IF(AD125="","",CHAR(10))&amp;$A126,AD125)</f>
        <v/>
      </c>
      <c r="AE126" s="0" t="str">
        <f aca="false">IF(AND($B126="D04",$C126="G6"),AE125&amp;IF(AE125="","",CHAR(10))&amp;$A126,AE125)</f>
        <v/>
      </c>
      <c r="AF126" s="0" t="str">
        <f aca="false">IF(AND($B126="D05",$C126="G0"),AF125&amp;IF(AF125="","",CHAR(10))&amp;$A126,AF125)</f>
        <v/>
      </c>
      <c r="AG126" s="0" t="str">
        <f aca="false">IF(AND($B126="D05",$C126="G1"),AG125&amp;IF(AG125="","",CHAR(10))&amp;$A126,AG125)</f>
        <v/>
      </c>
      <c r="AH126" s="0" t="str">
        <f aca="false">IF(AND($B126="D05",$C126="G2"),AH125&amp;IF(AH125="","",CHAR(10))&amp;$A126,AH125)</f>
        <v>◐ 027 醫材需求與設備計畫</v>
      </c>
      <c r="AI126" s="0" t="str">
        <f aca="false">IF(AND($B126="D05",$C126="G3"),AI125&amp;IF(AI125="","",CHAR(10))&amp;$A126,AI125)</f>
        <v/>
      </c>
      <c r="AJ126" s="363" t="str">
        <f aca="false">IF(AND($B126="D05",$C126="G4"),AJ125&amp;IF(AJ125="","",CHAR(10))&amp;$A126,AJ125)</f>
        <v>○ 028 影像設備、PACS與報告流程
○ 029 實驗室自動化與LIS
○ 030 手術室與重症整合
◐ 031 醫材介接與裝置身分
◐ 032 醫療工程與設備生命週期</v>
      </c>
      <c r="AK126" s="0" t="str">
        <f aca="false">IF(AND($B126="D05",$C126="G5"),AK125&amp;IF(AK125="","",CHAR(10))&amp;$A126,AK125)</f>
        <v/>
      </c>
      <c r="AL126" s="0" t="str">
        <f aca="false">IF(AND($B126="D05",$C126="G6"),AL125&amp;IF(AL125="","",CHAR(10))&amp;$A126,AL125)</f>
        <v/>
      </c>
      <c r="AM126" s="0" t="str">
        <f aca="false">IF(AND($B126="D06",$C126="G0"),AM125&amp;IF(AM125="","",CHAR(10))&amp;$A126,AM125)</f>
        <v/>
      </c>
      <c r="AN126" s="0" t="str">
        <f aca="false">IF(AND($B126="D06",$C126="G1"),AN125&amp;IF(AN125="","",CHAR(10))&amp;$A126,AN125)</f>
        <v/>
      </c>
      <c r="AO126" s="0" t="str">
        <f aca="false">IF(AND($B126="D06",$C126="G2"),AO125&amp;IF(AO125="","",CHAR(10))&amp;$A126,AO125)</f>
        <v/>
      </c>
      <c r="AP126" s="363" t="str">
        <f aca="false">IF(AND($B126="D06",$C126="G3"),AP125&amp;IF(AP125="","",CHAR(10))&amp;$A126,AP125)</f>
        <v>◐ 033 HIS／EMR核心平台
◐ 036 臨床術語與主資料治理</v>
      </c>
      <c r="AQ126" s="363" t="str">
        <f aca="false">IF(AND($B126="D06",$C126="G4"),AQ125&amp;IF(AQ125="","",CHAR(10))&amp;$A126,AQ125)</f>
        <v>◐ 034 FHIR介接與API管理
○ 035 主病人索引與身分整合
◐ 037 電子醫囑、用藥與決策支援
◐ 038 資料平台、BI與營運指揮</v>
      </c>
      <c r="AR126" s="0" t="str">
        <f aca="false">IF(AND($B126="D06",$C126="G5"),AR125&amp;IF(AR125="","",CHAR(10))&amp;$A126,AR125)</f>
        <v>○ 039 病人入口、行動服務與VNeID準備</v>
      </c>
      <c r="AS126" s="0" t="str">
        <f aca="false">IF(AND($B126="D06",$C126="G6"),AS125&amp;IF(AS125="","",CHAR(10))&amp;$A126,AS125)</f>
        <v/>
      </c>
      <c r="AT126" s="0" t="str">
        <f aca="false">IF(AND($B126="D07",$C126="G0"),AT125&amp;IF(AT125="","",CHAR(10))&amp;$A126,AT125)</f>
        <v/>
      </c>
      <c r="AU126" s="0" t="str">
        <f aca="false">IF(AND($B126="D07",$C126="G1"),AU125&amp;IF(AU125="","",CHAR(10))&amp;$A126,AU125)</f>
        <v/>
      </c>
      <c r="AV126" s="0" t="str">
        <f aca="false">IF(AND($B126="D07",$C126="G2"),AV125&amp;IF(AV125="","",CHAR(10))&amp;$A126,AV125)</f>
        <v>◐ 040 品質管理與JCI路線圖</v>
      </c>
      <c r="AW126" s="363" t="str">
        <f aca="false">IF(AND($B126="D07",$C126="G3"),AW125&amp;IF(AW125="","",CHAR(10))&amp;$A126,AW125)</f>
        <v>◐ 041 感染預防與控制制度
◐ 043 事件通報與根因改善</v>
      </c>
      <c r="AX126" s="0" t="str">
        <f aca="false">IF(AND($B126="D07",$C126="G4"),AX125&amp;IF(AX125="","",CHAR(10))&amp;$A126,AX125)</f>
        <v>◐ 042 用藥安全閉環</v>
      </c>
      <c r="AY126" s="0" t="str">
        <f aca="false">IF(AND($B126="D07",$C126="G5"),AY125&amp;IF(AY125="","",CHAR(10))&amp;$A126,AY125)</f>
        <v>◐ 044 開院臨床安全驗證</v>
      </c>
      <c r="AZ126" s="0" t="str">
        <f aca="false">IF(AND($B126="D07",$C126="G6"),AZ125&amp;IF(AZ125="","",CHAR(10))&amp;$A126,AZ125)</f>
        <v/>
      </c>
      <c r="BA126" s="0" t="str">
        <f aca="false">IF(AND($B126="D08",$C126="G0"),BA125&amp;IF(BA125="","",CHAR(10))&amp;$A126,BA125)</f>
        <v/>
      </c>
      <c r="BB126" s="0" t="str">
        <f aca="false">IF(AND($B126="D08",$C126="G1"),BB125&amp;IF(BB125="","",CHAR(10))&amp;$A126,BB125)</f>
        <v/>
      </c>
      <c r="BC126" s="0" t="str">
        <f aca="false">IF(AND($B126="D08",$C126="G2"),BC125&amp;IF(BC125="","",CHAR(10))&amp;$A126,BC125)</f>
        <v>○ 045 人力與輪班模型</v>
      </c>
      <c r="BD126" s="0" t="str">
        <f aca="false">IF(AND($B126="D08",$C126="G3"),BD125&amp;IF(BD125="","",CHAR(10))&amp;$A126,BD125)</f>
        <v>◐ 046 職能矩陣與授權</v>
      </c>
      <c r="BE126" s="363" t="str">
        <f aca="false">IF(AND($B126="D08",$C126="G4"),BE125&amp;IF(BE125="","",CHAR(10))&amp;$A126,BE125)</f>
        <v>◐ 047 種子教師與技術移轉
◐ 049 變革管理與使用者採納</v>
      </c>
      <c r="BF126" s="0" t="str">
        <f aca="false">IF(AND($B126="D08",$C126="G5"),BF125&amp;IF(BF125="","",CHAR(10))&amp;$A126,BF125)</f>
        <v>◐ 048 模擬中心與開院演練</v>
      </c>
      <c r="BG126" s="0" t="str">
        <f aca="false">IF(AND($B126="D08",$C126="G6"),BG125&amp;IF(BG125="","",CHAR(10))&amp;$A126,BG125)</f>
        <v/>
      </c>
      <c r="BH126" s="0" t="str">
        <f aca="false">IF(AND($B126="D09",$C126="G0"),BH125&amp;IF(BH125="","",CHAR(10))&amp;$A126,BH125)</f>
        <v/>
      </c>
      <c r="BI126" s="0" t="str">
        <f aca="false">IF(AND($B126="D09",$C126="G1"),BI125&amp;IF(BI125="","",CHAR(10))&amp;$A126,BI125)</f>
        <v/>
      </c>
      <c r="BJ126" s="0" t="str">
        <f aca="false">IF(AND($B126="D09",$C126="G2"),BJ125&amp;IF(BJ125="","",CHAR(10))&amp;$A126,BJ125)</f>
        <v>◐ 050 整合採購與供應商治理</v>
      </c>
      <c r="BK126" s="0" t="str">
        <f aca="false">IF(AND($B126="D09",$C126="G3"),BK125&amp;IF(BK125="","",CHAR(10))&amp;$A126,BK125)</f>
        <v/>
      </c>
      <c r="BL126" s="363" t="str">
        <f aca="false">IF(AND($B126="D09",$C126="G4"),BL125&amp;IF(BL125="","",CHAR(10))&amp;$A126,BL125)</f>
        <v>◐ 051 藥品耗材與SPD物流
◐ 052 冷鏈與特殊物料
● 053 CMMS與設施維運</v>
      </c>
      <c r="BM126" s="0" t="str">
        <f aca="false">IF(AND($B126="D09",$C126="G5"),BM125&amp;IF(BM125="","",CHAR(10))&amp;$A126,BM125)</f>
        <v>◐ 054 在地備品、維修與汰換</v>
      </c>
      <c r="BN126" s="0" t="str">
        <f aca="false">IF(AND($B126="D09",$C126="G6"),BN125&amp;IF(BN125="","",CHAR(10))&amp;$A126,BN125)</f>
        <v/>
      </c>
      <c r="BO126" s="0" t="str">
        <f aca="false">IF(AND($B126="D10",$C126="G0"),BO125&amp;IF(BO125="","",CHAR(10))&amp;$A126,BO125)</f>
        <v/>
      </c>
      <c r="BP126" s="0" t="str">
        <f aca="false">IF(AND($B126="D10",$C126="G1"),BP125&amp;IF(BP125="","",CHAR(10))&amp;$A126,BP125)</f>
        <v>◐ 055 全生命週期成本模型</v>
      </c>
      <c r="BQ126" s="0" t="str">
        <f aca="false">IF(AND($B126="D10",$C126="G2"),BQ125&amp;IF(BQ125="","",CHAR(10))&amp;$A126,BQ125)</f>
        <v>◐ 059 PPP／JV財務與風險分配</v>
      </c>
      <c r="BR126" s="0" t="str">
        <f aca="false">IF(AND($B126="D10",$C126="G3"),BR125&amp;IF(BR125="","",CHAR(10))&amp;$A126,BR125)</f>
        <v/>
      </c>
      <c r="BS126" s="363" t="str">
        <f aca="false">IF(AND($B126="D10",$C126="G4"),BS125&amp;IF(BS125="","",CHAR(10))&amp;$A126,BS125)</f>
        <v>○ 056 健保申報與數位理賠
○ 057 現金流、支付與收入週期</v>
      </c>
      <c r="BT126" s="0" t="str">
        <f aca="false">IF(AND($B126="D10",$C126="G5"),BT125&amp;IF(BT125="","",CHAR(10))&amp;$A126,BT125)</f>
        <v>○ 058 國際醫療與高價值服務</v>
      </c>
      <c r="BU126" s="0" t="str">
        <f aca="false">IF(AND($B126="D10",$C126="G6"),BU125&amp;IF(BU125="","",CHAR(10))&amp;$A126,BU125)</f>
        <v>◐ 060 效益實現與複製藍圖</v>
      </c>
      <c r="BX126" s="0" t="str">
        <f aca="false">IF(AND(03_能力總表_Master!$A126&lt;&gt;"",LEFT(03_能力總表_Master!$H126,2)="缺口"),MAX($BX$4:BX125)+1,"")</f>
        <v/>
      </c>
      <c r="BY126" s="0" t="str">
        <f aca="false">IF(AND(03_能力總表_Master!$A126&lt;&gt;"",03_能力總表_Master!$J126=12_夥伴視角_PartnerView!$C$4),MAX($BY$4:BY125)+1,"")</f>
        <v/>
      </c>
      <c r="CC126" s="0" t="str">
        <f aca="false">IF(AND(03_能力總表_Master!$A126&lt;&gt;"",IFERROR(INDEX(16_能力商機矩陣_CapOppMap!$D126:$CO126,MATCH(LEFT(17_商機作戰卡_OppView!$C$4,6),16_能力商機矩陣_CapOppMap!$D$4:$CO$4,0)),"")="✓"),MAX($CC$4:CC125)+1,"")</f>
        <v/>
      </c>
    </row>
    <row r="127" customFormat="false" ht="95.5" hidden="false" customHeight="false" outlineLevel="0" collapsed="false">
      <c r="A127" s="0" t="str">
        <f aca="false">IF(03_能力總表_Master!$A127="","",IF(LEFT(03_能力總表_Master!$H127,2)="群晶","● ",IF(ISNUMBER(SEARCH("已確認",03_能力總表_Master!$H127)),"◆ ",IF(ISNUMBER(SEARCH("缺口",03_能力總表_Master!$H127)),"○ ","◐ ")))&amp;RIGHT(03_能力總表_Master!$A127,3)&amp;" "&amp;03_能力總表_Master!$E127)</f>
        <v/>
      </c>
      <c r="B127" s="0" t="str">
        <f aca="false">IF(03_能力總表_Master!$A127="","",LEFT(03_能力總表_Master!$B127,3))</f>
        <v/>
      </c>
      <c r="C127" s="0" t="str">
        <f aca="false">IF(03_能力總表_Master!$A127="","",03_能力總表_Master!$C127)</f>
        <v/>
      </c>
      <c r="D127" s="363" t="str">
        <f aca="false">IF(AND($B127="D01",$C127="G0"),D126&amp;IF(D126="","",CHAR(10))&amp;$A127,D126)</f>
        <v>◐ 001 政府授權與計畫章程
◐ 002 利害關係人與權力地圖
◐ 005 聯盟治理與利益衝突</v>
      </c>
      <c r="E127" s="363" t="str">
        <f aca="false">IF(AND($B127="D01",$C127="G1"),E126&amp;IF(E126="","",CHAR(10))&amp;$A127,E126)</f>
        <v>◐ 003 交易模式選擇
◐ 004 法規與執照路徑</v>
      </c>
      <c r="F127" s="0" t="str">
        <f aca="false">IF(AND($B127="D01",$C127="G2"),F126&amp;IF(F126="","",CHAR(10))&amp;$A127,F126)</f>
        <v>◐ 006 績效契約與變更控制</v>
      </c>
      <c r="G127" s="0" t="str">
        <f aca="false">IF(AND($B127="D01",$C127="G3"),G126&amp;IF(G126="","",CHAR(10))&amp;$A127,G126)</f>
        <v/>
      </c>
      <c r="H127" s="0" t="str">
        <f aca="false">IF(AND($B127="D01",$C127="G4"),H126&amp;IF(H126="","",CHAR(10))&amp;$A127,H126)</f>
        <v/>
      </c>
      <c r="I127" s="0" t="str">
        <f aca="false">IF(AND($B127="D01",$C127="G5"),I126&amp;IF(I126="","",CHAR(10))&amp;$A127,I126)</f>
        <v/>
      </c>
      <c r="J127" s="0" t="str">
        <f aca="false">IF(AND($B127="D01",$C127="G6"),J126&amp;IF(J126="","",CHAR(10))&amp;$A127,J126)</f>
        <v/>
      </c>
      <c r="K127" s="0" t="str">
        <f aca="false">IF(AND($B127="D02",$C127="G0"),K126&amp;IF(K126="","",CHAR(10))&amp;$A127,K126)</f>
        <v/>
      </c>
      <c r="L127" s="363" t="str">
        <f aca="false">IF(AND($B127="D02",$C127="G1"),L126&amp;IF(L126="","",CHAR(10))&amp;$A127,L126)</f>
        <v>◐ 007 人口需求與病例量預測
◐ 008 醫院定位與服務組合
◐ 009 重點專科優先化
◐ 010 病人流程與容量設計
◐ 011 轉診與區域照護網絡
◐ 012 臨床治理與責任架構</v>
      </c>
      <c r="M127" s="0" t="str">
        <f aca="false">IF(AND($B127="D02",$C127="G2"),M126&amp;IF(M126="","",CHAR(10))&amp;$A127,M126)</f>
        <v/>
      </c>
      <c r="N127" s="0" t="str">
        <f aca="false">IF(AND($B127="D02",$C127="G3"),N126&amp;IF(N126="","",CHAR(10))&amp;$A127,N126)</f>
        <v/>
      </c>
      <c r="O127" s="0" t="str">
        <f aca="false">IF(AND($B127="D02",$C127="G4"),O126&amp;IF(O126="","",CHAR(10))&amp;$A127,O126)</f>
        <v/>
      </c>
      <c r="P127" s="0" t="str">
        <f aca="false">IF(AND($B127="D02",$C127="G5"),P126&amp;IF(P126="","",CHAR(10))&amp;$A127,P126)</f>
        <v/>
      </c>
      <c r="Q127" s="0" t="str">
        <f aca="false">IF(AND($B127="D02",$C127="G6"),Q126&amp;IF(Q126="","",CHAR(10))&amp;$A127,Q126)</f>
        <v/>
      </c>
      <c r="R127" s="0" t="str">
        <f aca="false">IF(AND($B127="D03",$C127="G0"),R126&amp;IF(R126="","",CHAR(10))&amp;$A127,R126)</f>
        <v/>
      </c>
      <c r="S127" s="0" t="str">
        <f aca="false">IF(AND($B127="D03",$C127="G1"),S126&amp;IF(S126="","",CHAR(10))&amp;$A127,S126)</f>
        <v>◐ 013 場址與醫院總體規劃</v>
      </c>
      <c r="T127" s="363" t="str">
        <f aca="false">IF(AND($B127="D03",$C127="G2"),T126&amp;IF(T126="","",CHAR(10))&amp;$A127,T126)</f>
        <v>◐ 014 醫療建築功能計畫
◐ 015 感染控制與潔污動線
◐ 019 綠色與氣候韌性醫院</v>
      </c>
      <c r="U127" s="363" t="str">
        <f aca="false">IF(AND($B127="D03",$C127="G3"),U126&amp;IF(U126="","",CHAR(10))&amp;$A127,U126)</f>
        <v>● 016 電力、備援與微電網
◐ 017 醫療氣體與關鍵公用系統
◐ 018 醫療廢棄物與水資源</v>
      </c>
      <c r="V127" s="0" t="str">
        <f aca="false">IF(AND($B127="D03",$C127="G4"),V126&amp;IF(V126="","",CHAR(10))&amp;$A127,V126)</f>
        <v/>
      </c>
      <c r="W127" s="0" t="str">
        <f aca="false">IF(AND($B127="D03",$C127="G5"),W126&amp;IF(W126="","",CHAR(10))&amp;$A127,W126)</f>
        <v/>
      </c>
      <c r="X127" s="0" t="str">
        <f aca="false">IF(AND($B127="D03",$C127="G6"),X126&amp;IF(X126="","",CHAR(10))&amp;$A127,X126)</f>
        <v/>
      </c>
      <c r="Y127" s="0" t="str">
        <f aca="false">IF(AND($B127="D04",$C127="G0"),Y126&amp;IF(Y126="","",CHAR(10))&amp;$A127,Y126)</f>
        <v/>
      </c>
      <c r="Z127" s="0" t="str">
        <f aca="false">IF(AND($B127="D04",$C127="G1"),Z126&amp;IF(Z126="","",CHAR(10))&amp;$A127,Z126)</f>
        <v/>
      </c>
      <c r="AA127" s="0" t="str">
        <f aca="false">IF(AND($B127="D04",$C127="G2"),AA126&amp;IF(AA126="","",CHAR(10))&amp;$A127,AA126)</f>
        <v/>
      </c>
      <c r="AB127" s="0" t="str">
        <f aca="false">IF(AND($B127="D04",$C127="G3"),AB126&amp;IF(AB126="","",CHAR(10))&amp;$A127,AB126)</f>
        <v>● 020 IDC與邊緣運算底座</v>
      </c>
      <c r="AC127" s="363" t="str">
        <f aca="false">IF(AND($B127="D04",$C127="G4"),AC126&amp;IF(AC126="","",CHAR(10))&amp;$A127,AC126)</f>
        <v>● 021 有線無線網路與分區
◐ 022 資安營運與零信任
● 023 BMS與能源管理
● 024 RTLS與資產／人員定位
● 025 智慧病房、護理呼叫與感測
● 026 災難復原與營運持續</v>
      </c>
      <c r="AD127" s="0" t="str">
        <f aca="false">IF(AND($B127="D04",$C127="G5"),AD126&amp;IF(AD126="","",CHAR(10))&amp;$A127,AD126)</f>
        <v/>
      </c>
      <c r="AE127" s="0" t="str">
        <f aca="false">IF(AND($B127="D04",$C127="G6"),AE126&amp;IF(AE126="","",CHAR(10))&amp;$A127,AE126)</f>
        <v/>
      </c>
      <c r="AF127" s="0" t="str">
        <f aca="false">IF(AND($B127="D05",$C127="G0"),AF126&amp;IF(AF126="","",CHAR(10))&amp;$A127,AF126)</f>
        <v/>
      </c>
      <c r="AG127" s="0" t="str">
        <f aca="false">IF(AND($B127="D05",$C127="G1"),AG126&amp;IF(AG126="","",CHAR(10))&amp;$A127,AG126)</f>
        <v/>
      </c>
      <c r="AH127" s="0" t="str">
        <f aca="false">IF(AND($B127="D05",$C127="G2"),AH126&amp;IF(AH126="","",CHAR(10))&amp;$A127,AH126)</f>
        <v>◐ 027 醫材需求與設備計畫</v>
      </c>
      <c r="AI127" s="0" t="str">
        <f aca="false">IF(AND($B127="D05",$C127="G3"),AI126&amp;IF(AI126="","",CHAR(10))&amp;$A127,AI126)</f>
        <v/>
      </c>
      <c r="AJ127" s="363" t="str">
        <f aca="false">IF(AND($B127="D05",$C127="G4"),AJ126&amp;IF(AJ126="","",CHAR(10))&amp;$A127,AJ126)</f>
        <v>○ 028 影像設備、PACS與報告流程
○ 029 實驗室自動化與LIS
○ 030 手術室與重症整合
◐ 031 醫材介接與裝置身分
◐ 032 醫療工程與設備生命週期</v>
      </c>
      <c r="AK127" s="0" t="str">
        <f aca="false">IF(AND($B127="D05",$C127="G5"),AK126&amp;IF(AK126="","",CHAR(10))&amp;$A127,AK126)</f>
        <v/>
      </c>
      <c r="AL127" s="0" t="str">
        <f aca="false">IF(AND($B127="D05",$C127="G6"),AL126&amp;IF(AL126="","",CHAR(10))&amp;$A127,AL126)</f>
        <v/>
      </c>
      <c r="AM127" s="0" t="str">
        <f aca="false">IF(AND($B127="D06",$C127="G0"),AM126&amp;IF(AM126="","",CHAR(10))&amp;$A127,AM126)</f>
        <v/>
      </c>
      <c r="AN127" s="0" t="str">
        <f aca="false">IF(AND($B127="D06",$C127="G1"),AN126&amp;IF(AN126="","",CHAR(10))&amp;$A127,AN126)</f>
        <v/>
      </c>
      <c r="AO127" s="0" t="str">
        <f aca="false">IF(AND($B127="D06",$C127="G2"),AO126&amp;IF(AO126="","",CHAR(10))&amp;$A127,AO126)</f>
        <v/>
      </c>
      <c r="AP127" s="363" t="str">
        <f aca="false">IF(AND($B127="D06",$C127="G3"),AP126&amp;IF(AP126="","",CHAR(10))&amp;$A127,AP126)</f>
        <v>◐ 033 HIS／EMR核心平台
◐ 036 臨床術語與主資料治理</v>
      </c>
      <c r="AQ127" s="363" t="str">
        <f aca="false">IF(AND($B127="D06",$C127="G4"),AQ126&amp;IF(AQ126="","",CHAR(10))&amp;$A127,AQ126)</f>
        <v>◐ 034 FHIR介接與API管理
○ 035 主病人索引與身分整合
◐ 037 電子醫囑、用藥與決策支援
◐ 038 資料平台、BI與營運指揮</v>
      </c>
      <c r="AR127" s="0" t="str">
        <f aca="false">IF(AND($B127="D06",$C127="G5"),AR126&amp;IF(AR126="","",CHAR(10))&amp;$A127,AR126)</f>
        <v>○ 039 病人入口、行動服務與VNeID準備</v>
      </c>
      <c r="AS127" s="0" t="str">
        <f aca="false">IF(AND($B127="D06",$C127="G6"),AS126&amp;IF(AS126="","",CHAR(10))&amp;$A127,AS126)</f>
        <v/>
      </c>
      <c r="AT127" s="0" t="str">
        <f aca="false">IF(AND($B127="D07",$C127="G0"),AT126&amp;IF(AT126="","",CHAR(10))&amp;$A127,AT126)</f>
        <v/>
      </c>
      <c r="AU127" s="0" t="str">
        <f aca="false">IF(AND($B127="D07",$C127="G1"),AU126&amp;IF(AU126="","",CHAR(10))&amp;$A127,AU126)</f>
        <v/>
      </c>
      <c r="AV127" s="0" t="str">
        <f aca="false">IF(AND($B127="D07",$C127="G2"),AV126&amp;IF(AV126="","",CHAR(10))&amp;$A127,AV126)</f>
        <v>◐ 040 品質管理與JCI路線圖</v>
      </c>
      <c r="AW127" s="363" t="str">
        <f aca="false">IF(AND($B127="D07",$C127="G3"),AW126&amp;IF(AW126="","",CHAR(10))&amp;$A127,AW126)</f>
        <v>◐ 041 感染預防與控制制度
◐ 043 事件通報與根因改善</v>
      </c>
      <c r="AX127" s="0" t="str">
        <f aca="false">IF(AND($B127="D07",$C127="G4"),AX126&amp;IF(AX126="","",CHAR(10))&amp;$A127,AX126)</f>
        <v>◐ 042 用藥安全閉環</v>
      </c>
      <c r="AY127" s="0" t="str">
        <f aca="false">IF(AND($B127="D07",$C127="G5"),AY126&amp;IF(AY126="","",CHAR(10))&amp;$A127,AY126)</f>
        <v>◐ 044 開院臨床安全驗證</v>
      </c>
      <c r="AZ127" s="0" t="str">
        <f aca="false">IF(AND($B127="D07",$C127="G6"),AZ126&amp;IF(AZ126="","",CHAR(10))&amp;$A127,AZ126)</f>
        <v/>
      </c>
      <c r="BA127" s="0" t="str">
        <f aca="false">IF(AND($B127="D08",$C127="G0"),BA126&amp;IF(BA126="","",CHAR(10))&amp;$A127,BA126)</f>
        <v/>
      </c>
      <c r="BB127" s="0" t="str">
        <f aca="false">IF(AND($B127="D08",$C127="G1"),BB126&amp;IF(BB126="","",CHAR(10))&amp;$A127,BB126)</f>
        <v/>
      </c>
      <c r="BC127" s="0" t="str">
        <f aca="false">IF(AND($B127="D08",$C127="G2"),BC126&amp;IF(BC126="","",CHAR(10))&amp;$A127,BC126)</f>
        <v>○ 045 人力與輪班模型</v>
      </c>
      <c r="BD127" s="0" t="str">
        <f aca="false">IF(AND($B127="D08",$C127="G3"),BD126&amp;IF(BD126="","",CHAR(10))&amp;$A127,BD126)</f>
        <v>◐ 046 職能矩陣與授權</v>
      </c>
      <c r="BE127" s="363" t="str">
        <f aca="false">IF(AND($B127="D08",$C127="G4"),BE126&amp;IF(BE126="","",CHAR(10))&amp;$A127,BE126)</f>
        <v>◐ 047 種子教師與技術移轉
◐ 049 變革管理與使用者採納</v>
      </c>
      <c r="BF127" s="0" t="str">
        <f aca="false">IF(AND($B127="D08",$C127="G5"),BF126&amp;IF(BF126="","",CHAR(10))&amp;$A127,BF126)</f>
        <v>◐ 048 模擬中心與開院演練</v>
      </c>
      <c r="BG127" s="0" t="str">
        <f aca="false">IF(AND($B127="D08",$C127="G6"),BG126&amp;IF(BG126="","",CHAR(10))&amp;$A127,BG126)</f>
        <v/>
      </c>
      <c r="BH127" s="0" t="str">
        <f aca="false">IF(AND($B127="D09",$C127="G0"),BH126&amp;IF(BH126="","",CHAR(10))&amp;$A127,BH126)</f>
        <v/>
      </c>
      <c r="BI127" s="0" t="str">
        <f aca="false">IF(AND($B127="D09",$C127="G1"),BI126&amp;IF(BI126="","",CHAR(10))&amp;$A127,BI126)</f>
        <v/>
      </c>
      <c r="BJ127" s="0" t="str">
        <f aca="false">IF(AND($B127="D09",$C127="G2"),BJ126&amp;IF(BJ126="","",CHAR(10))&amp;$A127,BJ126)</f>
        <v>◐ 050 整合採購與供應商治理</v>
      </c>
      <c r="BK127" s="0" t="str">
        <f aca="false">IF(AND($B127="D09",$C127="G3"),BK126&amp;IF(BK126="","",CHAR(10))&amp;$A127,BK126)</f>
        <v/>
      </c>
      <c r="BL127" s="363" t="str">
        <f aca="false">IF(AND($B127="D09",$C127="G4"),BL126&amp;IF(BL126="","",CHAR(10))&amp;$A127,BL126)</f>
        <v>◐ 051 藥品耗材與SPD物流
◐ 052 冷鏈與特殊物料
● 053 CMMS與設施維運</v>
      </c>
      <c r="BM127" s="0" t="str">
        <f aca="false">IF(AND($B127="D09",$C127="G5"),BM126&amp;IF(BM126="","",CHAR(10))&amp;$A127,BM126)</f>
        <v>◐ 054 在地備品、維修與汰換</v>
      </c>
      <c r="BN127" s="0" t="str">
        <f aca="false">IF(AND($B127="D09",$C127="G6"),BN126&amp;IF(BN126="","",CHAR(10))&amp;$A127,BN126)</f>
        <v/>
      </c>
      <c r="BO127" s="0" t="str">
        <f aca="false">IF(AND($B127="D10",$C127="G0"),BO126&amp;IF(BO126="","",CHAR(10))&amp;$A127,BO126)</f>
        <v/>
      </c>
      <c r="BP127" s="0" t="str">
        <f aca="false">IF(AND($B127="D10",$C127="G1"),BP126&amp;IF(BP126="","",CHAR(10))&amp;$A127,BP126)</f>
        <v>◐ 055 全生命週期成本模型</v>
      </c>
      <c r="BQ127" s="0" t="str">
        <f aca="false">IF(AND($B127="D10",$C127="G2"),BQ126&amp;IF(BQ126="","",CHAR(10))&amp;$A127,BQ126)</f>
        <v>◐ 059 PPP／JV財務與風險分配</v>
      </c>
      <c r="BR127" s="0" t="str">
        <f aca="false">IF(AND($B127="D10",$C127="G3"),BR126&amp;IF(BR126="","",CHAR(10))&amp;$A127,BR126)</f>
        <v/>
      </c>
      <c r="BS127" s="363" t="str">
        <f aca="false">IF(AND($B127="D10",$C127="G4"),BS126&amp;IF(BS126="","",CHAR(10))&amp;$A127,BS126)</f>
        <v>○ 056 健保申報與數位理賠
○ 057 現金流、支付與收入週期</v>
      </c>
      <c r="BT127" s="0" t="str">
        <f aca="false">IF(AND($B127="D10",$C127="G5"),BT126&amp;IF(BT126="","",CHAR(10))&amp;$A127,BT126)</f>
        <v>○ 058 國際醫療與高價值服務</v>
      </c>
      <c r="BU127" s="0" t="str">
        <f aca="false">IF(AND($B127="D10",$C127="G6"),BU126&amp;IF(BU126="","",CHAR(10))&amp;$A127,BU126)</f>
        <v>◐ 060 效益實現與複製藍圖</v>
      </c>
      <c r="BX127" s="0" t="str">
        <f aca="false">IF(AND(03_能力總表_Master!$A127&lt;&gt;"",LEFT(03_能力總表_Master!$H127,2)="缺口"),MAX($BX$4:BX126)+1,"")</f>
        <v/>
      </c>
      <c r="BY127" s="0" t="str">
        <f aca="false">IF(AND(03_能力總表_Master!$A127&lt;&gt;"",03_能力總表_Master!$J127=12_夥伴視角_PartnerView!$C$4),MAX($BY$4:BY126)+1,"")</f>
        <v/>
      </c>
      <c r="CC127" s="0" t="str">
        <f aca="false">IF(AND(03_能力總表_Master!$A127&lt;&gt;"",IFERROR(INDEX(16_能力商機矩陣_CapOppMap!$D127:$CO127,MATCH(LEFT(17_商機作戰卡_OppView!$C$4,6),16_能力商機矩陣_CapOppMap!$D$4:$CO$4,0)),"")="✓"),MAX($CC$4:CC126)+1,"")</f>
        <v/>
      </c>
    </row>
    <row r="128" customFormat="false" ht="95.5" hidden="false" customHeight="false" outlineLevel="0" collapsed="false">
      <c r="A128" s="0" t="str">
        <f aca="false">IF(03_能力總表_Master!$A128="","",IF(LEFT(03_能力總表_Master!$H128,2)="群晶","● ",IF(ISNUMBER(SEARCH("已確認",03_能力總表_Master!$H128)),"◆ ",IF(ISNUMBER(SEARCH("缺口",03_能力總表_Master!$H128)),"○ ","◐ ")))&amp;RIGHT(03_能力總表_Master!$A128,3)&amp;" "&amp;03_能力總表_Master!$E128)</f>
        <v/>
      </c>
      <c r="B128" s="0" t="str">
        <f aca="false">IF(03_能力總表_Master!$A128="","",LEFT(03_能力總表_Master!$B128,3))</f>
        <v/>
      </c>
      <c r="C128" s="0" t="str">
        <f aca="false">IF(03_能力總表_Master!$A128="","",03_能力總表_Master!$C128)</f>
        <v/>
      </c>
      <c r="D128" s="363" t="str">
        <f aca="false">IF(AND($B128="D01",$C128="G0"),D127&amp;IF(D127="","",CHAR(10))&amp;$A128,D127)</f>
        <v>◐ 001 政府授權與計畫章程
◐ 002 利害關係人與權力地圖
◐ 005 聯盟治理與利益衝突</v>
      </c>
      <c r="E128" s="363" t="str">
        <f aca="false">IF(AND($B128="D01",$C128="G1"),E127&amp;IF(E127="","",CHAR(10))&amp;$A128,E127)</f>
        <v>◐ 003 交易模式選擇
◐ 004 法規與執照路徑</v>
      </c>
      <c r="F128" s="0" t="str">
        <f aca="false">IF(AND($B128="D01",$C128="G2"),F127&amp;IF(F127="","",CHAR(10))&amp;$A128,F127)</f>
        <v>◐ 006 績效契約與變更控制</v>
      </c>
      <c r="G128" s="0" t="str">
        <f aca="false">IF(AND($B128="D01",$C128="G3"),G127&amp;IF(G127="","",CHAR(10))&amp;$A128,G127)</f>
        <v/>
      </c>
      <c r="H128" s="0" t="str">
        <f aca="false">IF(AND($B128="D01",$C128="G4"),H127&amp;IF(H127="","",CHAR(10))&amp;$A128,H127)</f>
        <v/>
      </c>
      <c r="I128" s="0" t="str">
        <f aca="false">IF(AND($B128="D01",$C128="G5"),I127&amp;IF(I127="","",CHAR(10))&amp;$A128,I127)</f>
        <v/>
      </c>
      <c r="J128" s="0" t="str">
        <f aca="false">IF(AND($B128="D01",$C128="G6"),J127&amp;IF(J127="","",CHAR(10))&amp;$A128,J127)</f>
        <v/>
      </c>
      <c r="K128" s="0" t="str">
        <f aca="false">IF(AND($B128="D02",$C128="G0"),K127&amp;IF(K127="","",CHAR(10))&amp;$A128,K127)</f>
        <v/>
      </c>
      <c r="L128" s="363" t="str">
        <f aca="false">IF(AND($B128="D02",$C128="G1"),L127&amp;IF(L127="","",CHAR(10))&amp;$A128,L127)</f>
        <v>◐ 007 人口需求與病例量預測
◐ 008 醫院定位與服務組合
◐ 009 重點專科優先化
◐ 010 病人流程與容量設計
◐ 011 轉診與區域照護網絡
◐ 012 臨床治理與責任架構</v>
      </c>
      <c r="M128" s="0" t="str">
        <f aca="false">IF(AND($B128="D02",$C128="G2"),M127&amp;IF(M127="","",CHAR(10))&amp;$A128,M127)</f>
        <v/>
      </c>
      <c r="N128" s="0" t="str">
        <f aca="false">IF(AND($B128="D02",$C128="G3"),N127&amp;IF(N127="","",CHAR(10))&amp;$A128,N127)</f>
        <v/>
      </c>
      <c r="O128" s="0" t="str">
        <f aca="false">IF(AND($B128="D02",$C128="G4"),O127&amp;IF(O127="","",CHAR(10))&amp;$A128,O127)</f>
        <v/>
      </c>
      <c r="P128" s="0" t="str">
        <f aca="false">IF(AND($B128="D02",$C128="G5"),P127&amp;IF(P127="","",CHAR(10))&amp;$A128,P127)</f>
        <v/>
      </c>
      <c r="Q128" s="0" t="str">
        <f aca="false">IF(AND($B128="D02",$C128="G6"),Q127&amp;IF(Q127="","",CHAR(10))&amp;$A128,Q127)</f>
        <v/>
      </c>
      <c r="R128" s="0" t="str">
        <f aca="false">IF(AND($B128="D03",$C128="G0"),R127&amp;IF(R127="","",CHAR(10))&amp;$A128,R127)</f>
        <v/>
      </c>
      <c r="S128" s="0" t="str">
        <f aca="false">IF(AND($B128="D03",$C128="G1"),S127&amp;IF(S127="","",CHAR(10))&amp;$A128,S127)</f>
        <v>◐ 013 場址與醫院總體規劃</v>
      </c>
      <c r="T128" s="363" t="str">
        <f aca="false">IF(AND($B128="D03",$C128="G2"),T127&amp;IF(T127="","",CHAR(10))&amp;$A128,T127)</f>
        <v>◐ 014 醫療建築功能計畫
◐ 015 感染控制與潔污動線
◐ 019 綠色與氣候韌性醫院</v>
      </c>
      <c r="U128" s="363" t="str">
        <f aca="false">IF(AND($B128="D03",$C128="G3"),U127&amp;IF(U127="","",CHAR(10))&amp;$A128,U127)</f>
        <v>● 016 電力、備援與微電網
◐ 017 醫療氣體與關鍵公用系統
◐ 018 醫療廢棄物與水資源</v>
      </c>
      <c r="V128" s="0" t="str">
        <f aca="false">IF(AND($B128="D03",$C128="G4"),V127&amp;IF(V127="","",CHAR(10))&amp;$A128,V127)</f>
        <v/>
      </c>
      <c r="W128" s="0" t="str">
        <f aca="false">IF(AND($B128="D03",$C128="G5"),W127&amp;IF(W127="","",CHAR(10))&amp;$A128,W127)</f>
        <v/>
      </c>
      <c r="X128" s="0" t="str">
        <f aca="false">IF(AND($B128="D03",$C128="G6"),X127&amp;IF(X127="","",CHAR(10))&amp;$A128,X127)</f>
        <v/>
      </c>
      <c r="Y128" s="0" t="str">
        <f aca="false">IF(AND($B128="D04",$C128="G0"),Y127&amp;IF(Y127="","",CHAR(10))&amp;$A128,Y127)</f>
        <v/>
      </c>
      <c r="Z128" s="0" t="str">
        <f aca="false">IF(AND($B128="D04",$C128="G1"),Z127&amp;IF(Z127="","",CHAR(10))&amp;$A128,Z127)</f>
        <v/>
      </c>
      <c r="AA128" s="0" t="str">
        <f aca="false">IF(AND($B128="D04",$C128="G2"),AA127&amp;IF(AA127="","",CHAR(10))&amp;$A128,AA127)</f>
        <v/>
      </c>
      <c r="AB128" s="0" t="str">
        <f aca="false">IF(AND($B128="D04",$C128="G3"),AB127&amp;IF(AB127="","",CHAR(10))&amp;$A128,AB127)</f>
        <v>● 020 IDC與邊緣運算底座</v>
      </c>
      <c r="AC128" s="363" t="str">
        <f aca="false">IF(AND($B128="D04",$C128="G4"),AC127&amp;IF(AC127="","",CHAR(10))&amp;$A128,AC127)</f>
        <v>● 021 有線無線網路與分區
◐ 022 資安營運與零信任
● 023 BMS與能源管理
● 024 RTLS與資產／人員定位
● 025 智慧病房、護理呼叫與感測
● 026 災難復原與營運持續</v>
      </c>
      <c r="AD128" s="0" t="str">
        <f aca="false">IF(AND($B128="D04",$C128="G5"),AD127&amp;IF(AD127="","",CHAR(10))&amp;$A128,AD127)</f>
        <v/>
      </c>
      <c r="AE128" s="0" t="str">
        <f aca="false">IF(AND($B128="D04",$C128="G6"),AE127&amp;IF(AE127="","",CHAR(10))&amp;$A128,AE127)</f>
        <v/>
      </c>
      <c r="AF128" s="0" t="str">
        <f aca="false">IF(AND($B128="D05",$C128="G0"),AF127&amp;IF(AF127="","",CHAR(10))&amp;$A128,AF127)</f>
        <v/>
      </c>
      <c r="AG128" s="0" t="str">
        <f aca="false">IF(AND($B128="D05",$C128="G1"),AG127&amp;IF(AG127="","",CHAR(10))&amp;$A128,AG127)</f>
        <v/>
      </c>
      <c r="AH128" s="0" t="str">
        <f aca="false">IF(AND($B128="D05",$C128="G2"),AH127&amp;IF(AH127="","",CHAR(10))&amp;$A128,AH127)</f>
        <v>◐ 027 醫材需求與設備計畫</v>
      </c>
      <c r="AI128" s="0" t="str">
        <f aca="false">IF(AND($B128="D05",$C128="G3"),AI127&amp;IF(AI127="","",CHAR(10))&amp;$A128,AI127)</f>
        <v/>
      </c>
      <c r="AJ128" s="363" t="str">
        <f aca="false">IF(AND($B128="D05",$C128="G4"),AJ127&amp;IF(AJ127="","",CHAR(10))&amp;$A128,AJ127)</f>
        <v>○ 028 影像設備、PACS與報告流程
○ 029 實驗室自動化與LIS
○ 030 手術室與重症整合
◐ 031 醫材介接與裝置身分
◐ 032 醫療工程與設備生命週期</v>
      </c>
      <c r="AK128" s="0" t="str">
        <f aca="false">IF(AND($B128="D05",$C128="G5"),AK127&amp;IF(AK127="","",CHAR(10))&amp;$A128,AK127)</f>
        <v/>
      </c>
      <c r="AL128" s="0" t="str">
        <f aca="false">IF(AND($B128="D05",$C128="G6"),AL127&amp;IF(AL127="","",CHAR(10))&amp;$A128,AL127)</f>
        <v/>
      </c>
      <c r="AM128" s="0" t="str">
        <f aca="false">IF(AND($B128="D06",$C128="G0"),AM127&amp;IF(AM127="","",CHAR(10))&amp;$A128,AM127)</f>
        <v/>
      </c>
      <c r="AN128" s="0" t="str">
        <f aca="false">IF(AND($B128="D06",$C128="G1"),AN127&amp;IF(AN127="","",CHAR(10))&amp;$A128,AN127)</f>
        <v/>
      </c>
      <c r="AO128" s="0" t="str">
        <f aca="false">IF(AND($B128="D06",$C128="G2"),AO127&amp;IF(AO127="","",CHAR(10))&amp;$A128,AO127)</f>
        <v/>
      </c>
      <c r="AP128" s="363" t="str">
        <f aca="false">IF(AND($B128="D06",$C128="G3"),AP127&amp;IF(AP127="","",CHAR(10))&amp;$A128,AP127)</f>
        <v>◐ 033 HIS／EMR核心平台
◐ 036 臨床術語與主資料治理</v>
      </c>
      <c r="AQ128" s="363" t="str">
        <f aca="false">IF(AND($B128="D06",$C128="G4"),AQ127&amp;IF(AQ127="","",CHAR(10))&amp;$A128,AQ127)</f>
        <v>◐ 034 FHIR介接與API管理
○ 035 主病人索引與身分整合
◐ 037 電子醫囑、用藥與決策支援
◐ 038 資料平台、BI與營運指揮</v>
      </c>
      <c r="AR128" s="0" t="str">
        <f aca="false">IF(AND($B128="D06",$C128="G5"),AR127&amp;IF(AR127="","",CHAR(10))&amp;$A128,AR127)</f>
        <v>○ 039 病人入口、行動服務與VNeID準備</v>
      </c>
      <c r="AS128" s="0" t="str">
        <f aca="false">IF(AND($B128="D06",$C128="G6"),AS127&amp;IF(AS127="","",CHAR(10))&amp;$A128,AS127)</f>
        <v/>
      </c>
      <c r="AT128" s="0" t="str">
        <f aca="false">IF(AND($B128="D07",$C128="G0"),AT127&amp;IF(AT127="","",CHAR(10))&amp;$A128,AT127)</f>
        <v/>
      </c>
      <c r="AU128" s="0" t="str">
        <f aca="false">IF(AND($B128="D07",$C128="G1"),AU127&amp;IF(AU127="","",CHAR(10))&amp;$A128,AU127)</f>
        <v/>
      </c>
      <c r="AV128" s="0" t="str">
        <f aca="false">IF(AND($B128="D07",$C128="G2"),AV127&amp;IF(AV127="","",CHAR(10))&amp;$A128,AV127)</f>
        <v>◐ 040 品質管理與JCI路線圖</v>
      </c>
      <c r="AW128" s="363" t="str">
        <f aca="false">IF(AND($B128="D07",$C128="G3"),AW127&amp;IF(AW127="","",CHAR(10))&amp;$A128,AW127)</f>
        <v>◐ 041 感染預防與控制制度
◐ 043 事件通報與根因改善</v>
      </c>
      <c r="AX128" s="0" t="str">
        <f aca="false">IF(AND($B128="D07",$C128="G4"),AX127&amp;IF(AX127="","",CHAR(10))&amp;$A128,AX127)</f>
        <v>◐ 042 用藥安全閉環</v>
      </c>
      <c r="AY128" s="0" t="str">
        <f aca="false">IF(AND($B128="D07",$C128="G5"),AY127&amp;IF(AY127="","",CHAR(10))&amp;$A128,AY127)</f>
        <v>◐ 044 開院臨床安全驗證</v>
      </c>
      <c r="AZ128" s="0" t="str">
        <f aca="false">IF(AND($B128="D07",$C128="G6"),AZ127&amp;IF(AZ127="","",CHAR(10))&amp;$A128,AZ127)</f>
        <v/>
      </c>
      <c r="BA128" s="0" t="str">
        <f aca="false">IF(AND($B128="D08",$C128="G0"),BA127&amp;IF(BA127="","",CHAR(10))&amp;$A128,BA127)</f>
        <v/>
      </c>
      <c r="BB128" s="0" t="str">
        <f aca="false">IF(AND($B128="D08",$C128="G1"),BB127&amp;IF(BB127="","",CHAR(10))&amp;$A128,BB127)</f>
        <v/>
      </c>
      <c r="BC128" s="0" t="str">
        <f aca="false">IF(AND($B128="D08",$C128="G2"),BC127&amp;IF(BC127="","",CHAR(10))&amp;$A128,BC127)</f>
        <v>○ 045 人力與輪班模型</v>
      </c>
      <c r="BD128" s="0" t="str">
        <f aca="false">IF(AND($B128="D08",$C128="G3"),BD127&amp;IF(BD127="","",CHAR(10))&amp;$A128,BD127)</f>
        <v>◐ 046 職能矩陣與授權</v>
      </c>
      <c r="BE128" s="363" t="str">
        <f aca="false">IF(AND($B128="D08",$C128="G4"),BE127&amp;IF(BE127="","",CHAR(10))&amp;$A128,BE127)</f>
        <v>◐ 047 種子教師與技術移轉
◐ 049 變革管理與使用者採納</v>
      </c>
      <c r="BF128" s="0" t="str">
        <f aca="false">IF(AND($B128="D08",$C128="G5"),BF127&amp;IF(BF127="","",CHAR(10))&amp;$A128,BF127)</f>
        <v>◐ 048 模擬中心與開院演練</v>
      </c>
      <c r="BG128" s="0" t="str">
        <f aca="false">IF(AND($B128="D08",$C128="G6"),BG127&amp;IF(BG127="","",CHAR(10))&amp;$A128,BG127)</f>
        <v/>
      </c>
      <c r="BH128" s="0" t="str">
        <f aca="false">IF(AND($B128="D09",$C128="G0"),BH127&amp;IF(BH127="","",CHAR(10))&amp;$A128,BH127)</f>
        <v/>
      </c>
      <c r="BI128" s="0" t="str">
        <f aca="false">IF(AND($B128="D09",$C128="G1"),BI127&amp;IF(BI127="","",CHAR(10))&amp;$A128,BI127)</f>
        <v/>
      </c>
      <c r="BJ128" s="0" t="str">
        <f aca="false">IF(AND($B128="D09",$C128="G2"),BJ127&amp;IF(BJ127="","",CHAR(10))&amp;$A128,BJ127)</f>
        <v>◐ 050 整合採購與供應商治理</v>
      </c>
      <c r="BK128" s="0" t="str">
        <f aca="false">IF(AND($B128="D09",$C128="G3"),BK127&amp;IF(BK127="","",CHAR(10))&amp;$A128,BK127)</f>
        <v/>
      </c>
      <c r="BL128" s="363" t="str">
        <f aca="false">IF(AND($B128="D09",$C128="G4"),BL127&amp;IF(BL127="","",CHAR(10))&amp;$A128,BL127)</f>
        <v>◐ 051 藥品耗材與SPD物流
◐ 052 冷鏈與特殊物料
● 053 CMMS與設施維運</v>
      </c>
      <c r="BM128" s="0" t="str">
        <f aca="false">IF(AND($B128="D09",$C128="G5"),BM127&amp;IF(BM127="","",CHAR(10))&amp;$A128,BM127)</f>
        <v>◐ 054 在地備品、維修與汰換</v>
      </c>
      <c r="BN128" s="0" t="str">
        <f aca="false">IF(AND($B128="D09",$C128="G6"),BN127&amp;IF(BN127="","",CHAR(10))&amp;$A128,BN127)</f>
        <v/>
      </c>
      <c r="BO128" s="0" t="str">
        <f aca="false">IF(AND($B128="D10",$C128="G0"),BO127&amp;IF(BO127="","",CHAR(10))&amp;$A128,BO127)</f>
        <v/>
      </c>
      <c r="BP128" s="0" t="str">
        <f aca="false">IF(AND($B128="D10",$C128="G1"),BP127&amp;IF(BP127="","",CHAR(10))&amp;$A128,BP127)</f>
        <v>◐ 055 全生命週期成本模型</v>
      </c>
      <c r="BQ128" s="0" t="str">
        <f aca="false">IF(AND($B128="D10",$C128="G2"),BQ127&amp;IF(BQ127="","",CHAR(10))&amp;$A128,BQ127)</f>
        <v>◐ 059 PPP／JV財務與風險分配</v>
      </c>
      <c r="BR128" s="0" t="str">
        <f aca="false">IF(AND($B128="D10",$C128="G3"),BR127&amp;IF(BR127="","",CHAR(10))&amp;$A128,BR127)</f>
        <v/>
      </c>
      <c r="BS128" s="363" t="str">
        <f aca="false">IF(AND($B128="D10",$C128="G4"),BS127&amp;IF(BS127="","",CHAR(10))&amp;$A128,BS127)</f>
        <v>○ 056 健保申報與數位理賠
○ 057 現金流、支付與收入週期</v>
      </c>
      <c r="BT128" s="0" t="str">
        <f aca="false">IF(AND($B128="D10",$C128="G5"),BT127&amp;IF(BT127="","",CHAR(10))&amp;$A128,BT127)</f>
        <v>○ 058 國際醫療與高價值服務</v>
      </c>
      <c r="BU128" s="0" t="str">
        <f aca="false">IF(AND($B128="D10",$C128="G6"),BU127&amp;IF(BU127="","",CHAR(10))&amp;$A128,BU127)</f>
        <v>◐ 060 效益實現與複製藍圖</v>
      </c>
      <c r="BX128" s="0" t="str">
        <f aca="false">IF(AND(03_能力總表_Master!$A128&lt;&gt;"",LEFT(03_能力總表_Master!$H128,2)="缺口"),MAX($BX$4:BX127)+1,"")</f>
        <v/>
      </c>
      <c r="BY128" s="0" t="str">
        <f aca="false">IF(AND(03_能力總表_Master!$A128&lt;&gt;"",03_能力總表_Master!$J128=12_夥伴視角_PartnerView!$C$4),MAX($BY$4:BY127)+1,"")</f>
        <v/>
      </c>
      <c r="CC128" s="0" t="str">
        <f aca="false">IF(AND(03_能力總表_Master!$A128&lt;&gt;"",IFERROR(INDEX(16_能力商機矩陣_CapOppMap!$D128:$CO128,MATCH(LEFT(17_商機作戰卡_OppView!$C$4,6),16_能力商機矩陣_CapOppMap!$D$4:$CO$4,0)),"")="✓"),MAX($CC$4:CC127)+1,"")</f>
        <v/>
      </c>
    </row>
    <row r="129" customFormat="false" ht="95.5" hidden="false" customHeight="false" outlineLevel="0" collapsed="false">
      <c r="A129" s="0" t="str">
        <f aca="false">IF(03_能力總表_Master!$A129="","",IF(LEFT(03_能力總表_Master!$H129,2)="群晶","● ",IF(ISNUMBER(SEARCH("已確認",03_能力總表_Master!$H129)),"◆ ",IF(ISNUMBER(SEARCH("缺口",03_能力總表_Master!$H129)),"○ ","◐ ")))&amp;RIGHT(03_能力總表_Master!$A129,3)&amp;" "&amp;03_能力總表_Master!$E129)</f>
        <v/>
      </c>
      <c r="B129" s="0" t="str">
        <f aca="false">IF(03_能力總表_Master!$A129="","",LEFT(03_能力總表_Master!$B129,3))</f>
        <v/>
      </c>
      <c r="C129" s="0" t="str">
        <f aca="false">IF(03_能力總表_Master!$A129="","",03_能力總表_Master!$C129)</f>
        <v/>
      </c>
      <c r="D129" s="363" t="str">
        <f aca="false">IF(AND($B129="D01",$C129="G0"),D128&amp;IF(D128="","",CHAR(10))&amp;$A129,D128)</f>
        <v>◐ 001 政府授權與計畫章程
◐ 002 利害關係人與權力地圖
◐ 005 聯盟治理與利益衝突</v>
      </c>
      <c r="E129" s="363" t="str">
        <f aca="false">IF(AND($B129="D01",$C129="G1"),E128&amp;IF(E128="","",CHAR(10))&amp;$A129,E128)</f>
        <v>◐ 003 交易模式選擇
◐ 004 法規與執照路徑</v>
      </c>
      <c r="F129" s="0" t="str">
        <f aca="false">IF(AND($B129="D01",$C129="G2"),F128&amp;IF(F128="","",CHAR(10))&amp;$A129,F128)</f>
        <v>◐ 006 績效契約與變更控制</v>
      </c>
      <c r="G129" s="0" t="str">
        <f aca="false">IF(AND($B129="D01",$C129="G3"),G128&amp;IF(G128="","",CHAR(10))&amp;$A129,G128)</f>
        <v/>
      </c>
      <c r="H129" s="0" t="str">
        <f aca="false">IF(AND($B129="D01",$C129="G4"),H128&amp;IF(H128="","",CHAR(10))&amp;$A129,H128)</f>
        <v/>
      </c>
      <c r="I129" s="0" t="str">
        <f aca="false">IF(AND($B129="D01",$C129="G5"),I128&amp;IF(I128="","",CHAR(10))&amp;$A129,I128)</f>
        <v/>
      </c>
      <c r="J129" s="0" t="str">
        <f aca="false">IF(AND($B129="D01",$C129="G6"),J128&amp;IF(J128="","",CHAR(10))&amp;$A129,J128)</f>
        <v/>
      </c>
      <c r="K129" s="0" t="str">
        <f aca="false">IF(AND($B129="D02",$C129="G0"),K128&amp;IF(K128="","",CHAR(10))&amp;$A129,K128)</f>
        <v/>
      </c>
      <c r="L129" s="363" t="str">
        <f aca="false">IF(AND($B129="D02",$C129="G1"),L128&amp;IF(L128="","",CHAR(10))&amp;$A129,L128)</f>
        <v>◐ 007 人口需求與病例量預測
◐ 008 醫院定位與服務組合
◐ 009 重點專科優先化
◐ 010 病人流程與容量設計
◐ 011 轉診與區域照護網絡
◐ 012 臨床治理與責任架構</v>
      </c>
      <c r="M129" s="0" t="str">
        <f aca="false">IF(AND($B129="D02",$C129="G2"),M128&amp;IF(M128="","",CHAR(10))&amp;$A129,M128)</f>
        <v/>
      </c>
      <c r="N129" s="0" t="str">
        <f aca="false">IF(AND($B129="D02",$C129="G3"),N128&amp;IF(N128="","",CHAR(10))&amp;$A129,N128)</f>
        <v/>
      </c>
      <c r="O129" s="0" t="str">
        <f aca="false">IF(AND($B129="D02",$C129="G4"),O128&amp;IF(O128="","",CHAR(10))&amp;$A129,O128)</f>
        <v/>
      </c>
      <c r="P129" s="0" t="str">
        <f aca="false">IF(AND($B129="D02",$C129="G5"),P128&amp;IF(P128="","",CHAR(10))&amp;$A129,P128)</f>
        <v/>
      </c>
      <c r="Q129" s="0" t="str">
        <f aca="false">IF(AND($B129="D02",$C129="G6"),Q128&amp;IF(Q128="","",CHAR(10))&amp;$A129,Q128)</f>
        <v/>
      </c>
      <c r="R129" s="0" t="str">
        <f aca="false">IF(AND($B129="D03",$C129="G0"),R128&amp;IF(R128="","",CHAR(10))&amp;$A129,R128)</f>
        <v/>
      </c>
      <c r="S129" s="0" t="str">
        <f aca="false">IF(AND($B129="D03",$C129="G1"),S128&amp;IF(S128="","",CHAR(10))&amp;$A129,S128)</f>
        <v>◐ 013 場址與醫院總體規劃</v>
      </c>
      <c r="T129" s="363" t="str">
        <f aca="false">IF(AND($B129="D03",$C129="G2"),T128&amp;IF(T128="","",CHAR(10))&amp;$A129,T128)</f>
        <v>◐ 014 醫療建築功能計畫
◐ 015 感染控制與潔污動線
◐ 019 綠色與氣候韌性醫院</v>
      </c>
      <c r="U129" s="363" t="str">
        <f aca="false">IF(AND($B129="D03",$C129="G3"),U128&amp;IF(U128="","",CHAR(10))&amp;$A129,U128)</f>
        <v>● 016 電力、備援與微電網
◐ 017 醫療氣體與關鍵公用系統
◐ 018 醫療廢棄物與水資源</v>
      </c>
      <c r="V129" s="0" t="str">
        <f aca="false">IF(AND($B129="D03",$C129="G4"),V128&amp;IF(V128="","",CHAR(10))&amp;$A129,V128)</f>
        <v/>
      </c>
      <c r="W129" s="0" t="str">
        <f aca="false">IF(AND($B129="D03",$C129="G5"),W128&amp;IF(W128="","",CHAR(10))&amp;$A129,W128)</f>
        <v/>
      </c>
      <c r="X129" s="0" t="str">
        <f aca="false">IF(AND($B129="D03",$C129="G6"),X128&amp;IF(X128="","",CHAR(10))&amp;$A129,X128)</f>
        <v/>
      </c>
      <c r="Y129" s="0" t="str">
        <f aca="false">IF(AND($B129="D04",$C129="G0"),Y128&amp;IF(Y128="","",CHAR(10))&amp;$A129,Y128)</f>
        <v/>
      </c>
      <c r="Z129" s="0" t="str">
        <f aca="false">IF(AND($B129="D04",$C129="G1"),Z128&amp;IF(Z128="","",CHAR(10))&amp;$A129,Z128)</f>
        <v/>
      </c>
      <c r="AA129" s="0" t="str">
        <f aca="false">IF(AND($B129="D04",$C129="G2"),AA128&amp;IF(AA128="","",CHAR(10))&amp;$A129,AA128)</f>
        <v/>
      </c>
      <c r="AB129" s="0" t="str">
        <f aca="false">IF(AND($B129="D04",$C129="G3"),AB128&amp;IF(AB128="","",CHAR(10))&amp;$A129,AB128)</f>
        <v>● 020 IDC與邊緣運算底座</v>
      </c>
      <c r="AC129" s="363" t="str">
        <f aca="false">IF(AND($B129="D04",$C129="G4"),AC128&amp;IF(AC128="","",CHAR(10))&amp;$A129,AC128)</f>
        <v>● 021 有線無線網路與分區
◐ 022 資安營運與零信任
● 023 BMS與能源管理
● 024 RTLS與資產／人員定位
● 025 智慧病房、護理呼叫與感測
● 026 災難復原與營運持續</v>
      </c>
      <c r="AD129" s="0" t="str">
        <f aca="false">IF(AND($B129="D04",$C129="G5"),AD128&amp;IF(AD128="","",CHAR(10))&amp;$A129,AD128)</f>
        <v/>
      </c>
      <c r="AE129" s="0" t="str">
        <f aca="false">IF(AND($B129="D04",$C129="G6"),AE128&amp;IF(AE128="","",CHAR(10))&amp;$A129,AE128)</f>
        <v/>
      </c>
      <c r="AF129" s="0" t="str">
        <f aca="false">IF(AND($B129="D05",$C129="G0"),AF128&amp;IF(AF128="","",CHAR(10))&amp;$A129,AF128)</f>
        <v/>
      </c>
      <c r="AG129" s="0" t="str">
        <f aca="false">IF(AND($B129="D05",$C129="G1"),AG128&amp;IF(AG128="","",CHAR(10))&amp;$A129,AG128)</f>
        <v/>
      </c>
      <c r="AH129" s="0" t="str">
        <f aca="false">IF(AND($B129="D05",$C129="G2"),AH128&amp;IF(AH128="","",CHAR(10))&amp;$A129,AH128)</f>
        <v>◐ 027 醫材需求與設備計畫</v>
      </c>
      <c r="AI129" s="0" t="str">
        <f aca="false">IF(AND($B129="D05",$C129="G3"),AI128&amp;IF(AI128="","",CHAR(10))&amp;$A129,AI128)</f>
        <v/>
      </c>
      <c r="AJ129" s="363" t="str">
        <f aca="false">IF(AND($B129="D05",$C129="G4"),AJ128&amp;IF(AJ128="","",CHAR(10))&amp;$A129,AJ128)</f>
        <v>○ 028 影像設備、PACS與報告流程
○ 029 實驗室自動化與LIS
○ 030 手術室與重症整合
◐ 031 醫材介接與裝置身分
◐ 032 醫療工程與設備生命週期</v>
      </c>
      <c r="AK129" s="0" t="str">
        <f aca="false">IF(AND($B129="D05",$C129="G5"),AK128&amp;IF(AK128="","",CHAR(10))&amp;$A129,AK128)</f>
        <v/>
      </c>
      <c r="AL129" s="0" t="str">
        <f aca="false">IF(AND($B129="D05",$C129="G6"),AL128&amp;IF(AL128="","",CHAR(10))&amp;$A129,AL128)</f>
        <v/>
      </c>
      <c r="AM129" s="0" t="str">
        <f aca="false">IF(AND($B129="D06",$C129="G0"),AM128&amp;IF(AM128="","",CHAR(10))&amp;$A129,AM128)</f>
        <v/>
      </c>
      <c r="AN129" s="0" t="str">
        <f aca="false">IF(AND($B129="D06",$C129="G1"),AN128&amp;IF(AN128="","",CHAR(10))&amp;$A129,AN128)</f>
        <v/>
      </c>
      <c r="AO129" s="0" t="str">
        <f aca="false">IF(AND($B129="D06",$C129="G2"),AO128&amp;IF(AO128="","",CHAR(10))&amp;$A129,AO128)</f>
        <v/>
      </c>
      <c r="AP129" s="363" t="str">
        <f aca="false">IF(AND($B129="D06",$C129="G3"),AP128&amp;IF(AP128="","",CHAR(10))&amp;$A129,AP128)</f>
        <v>◐ 033 HIS／EMR核心平台
◐ 036 臨床術語與主資料治理</v>
      </c>
      <c r="AQ129" s="363" t="str">
        <f aca="false">IF(AND($B129="D06",$C129="G4"),AQ128&amp;IF(AQ128="","",CHAR(10))&amp;$A129,AQ128)</f>
        <v>◐ 034 FHIR介接與API管理
○ 035 主病人索引與身分整合
◐ 037 電子醫囑、用藥與決策支援
◐ 038 資料平台、BI與營運指揮</v>
      </c>
      <c r="AR129" s="0" t="str">
        <f aca="false">IF(AND($B129="D06",$C129="G5"),AR128&amp;IF(AR128="","",CHAR(10))&amp;$A129,AR128)</f>
        <v>○ 039 病人入口、行動服務與VNeID準備</v>
      </c>
      <c r="AS129" s="0" t="str">
        <f aca="false">IF(AND($B129="D06",$C129="G6"),AS128&amp;IF(AS128="","",CHAR(10))&amp;$A129,AS128)</f>
        <v/>
      </c>
      <c r="AT129" s="0" t="str">
        <f aca="false">IF(AND($B129="D07",$C129="G0"),AT128&amp;IF(AT128="","",CHAR(10))&amp;$A129,AT128)</f>
        <v/>
      </c>
      <c r="AU129" s="0" t="str">
        <f aca="false">IF(AND($B129="D07",$C129="G1"),AU128&amp;IF(AU128="","",CHAR(10))&amp;$A129,AU128)</f>
        <v/>
      </c>
      <c r="AV129" s="0" t="str">
        <f aca="false">IF(AND($B129="D07",$C129="G2"),AV128&amp;IF(AV128="","",CHAR(10))&amp;$A129,AV128)</f>
        <v>◐ 040 品質管理與JCI路線圖</v>
      </c>
      <c r="AW129" s="363" t="str">
        <f aca="false">IF(AND($B129="D07",$C129="G3"),AW128&amp;IF(AW128="","",CHAR(10))&amp;$A129,AW128)</f>
        <v>◐ 041 感染預防與控制制度
◐ 043 事件通報與根因改善</v>
      </c>
      <c r="AX129" s="0" t="str">
        <f aca="false">IF(AND($B129="D07",$C129="G4"),AX128&amp;IF(AX128="","",CHAR(10))&amp;$A129,AX128)</f>
        <v>◐ 042 用藥安全閉環</v>
      </c>
      <c r="AY129" s="0" t="str">
        <f aca="false">IF(AND($B129="D07",$C129="G5"),AY128&amp;IF(AY128="","",CHAR(10))&amp;$A129,AY128)</f>
        <v>◐ 044 開院臨床安全驗證</v>
      </c>
      <c r="AZ129" s="0" t="str">
        <f aca="false">IF(AND($B129="D07",$C129="G6"),AZ128&amp;IF(AZ128="","",CHAR(10))&amp;$A129,AZ128)</f>
        <v/>
      </c>
      <c r="BA129" s="0" t="str">
        <f aca="false">IF(AND($B129="D08",$C129="G0"),BA128&amp;IF(BA128="","",CHAR(10))&amp;$A129,BA128)</f>
        <v/>
      </c>
      <c r="BB129" s="0" t="str">
        <f aca="false">IF(AND($B129="D08",$C129="G1"),BB128&amp;IF(BB128="","",CHAR(10))&amp;$A129,BB128)</f>
        <v/>
      </c>
      <c r="BC129" s="0" t="str">
        <f aca="false">IF(AND($B129="D08",$C129="G2"),BC128&amp;IF(BC128="","",CHAR(10))&amp;$A129,BC128)</f>
        <v>○ 045 人力與輪班模型</v>
      </c>
      <c r="BD129" s="0" t="str">
        <f aca="false">IF(AND($B129="D08",$C129="G3"),BD128&amp;IF(BD128="","",CHAR(10))&amp;$A129,BD128)</f>
        <v>◐ 046 職能矩陣與授權</v>
      </c>
      <c r="BE129" s="363" t="str">
        <f aca="false">IF(AND($B129="D08",$C129="G4"),BE128&amp;IF(BE128="","",CHAR(10))&amp;$A129,BE128)</f>
        <v>◐ 047 種子教師與技術移轉
◐ 049 變革管理與使用者採納</v>
      </c>
      <c r="BF129" s="0" t="str">
        <f aca="false">IF(AND($B129="D08",$C129="G5"),BF128&amp;IF(BF128="","",CHAR(10))&amp;$A129,BF128)</f>
        <v>◐ 048 模擬中心與開院演練</v>
      </c>
      <c r="BG129" s="0" t="str">
        <f aca="false">IF(AND($B129="D08",$C129="G6"),BG128&amp;IF(BG128="","",CHAR(10))&amp;$A129,BG128)</f>
        <v/>
      </c>
      <c r="BH129" s="0" t="str">
        <f aca="false">IF(AND($B129="D09",$C129="G0"),BH128&amp;IF(BH128="","",CHAR(10))&amp;$A129,BH128)</f>
        <v/>
      </c>
      <c r="BI129" s="0" t="str">
        <f aca="false">IF(AND($B129="D09",$C129="G1"),BI128&amp;IF(BI128="","",CHAR(10))&amp;$A129,BI128)</f>
        <v/>
      </c>
      <c r="BJ129" s="0" t="str">
        <f aca="false">IF(AND($B129="D09",$C129="G2"),BJ128&amp;IF(BJ128="","",CHAR(10))&amp;$A129,BJ128)</f>
        <v>◐ 050 整合採購與供應商治理</v>
      </c>
      <c r="BK129" s="0" t="str">
        <f aca="false">IF(AND($B129="D09",$C129="G3"),BK128&amp;IF(BK128="","",CHAR(10))&amp;$A129,BK128)</f>
        <v/>
      </c>
      <c r="BL129" s="363" t="str">
        <f aca="false">IF(AND($B129="D09",$C129="G4"),BL128&amp;IF(BL128="","",CHAR(10))&amp;$A129,BL128)</f>
        <v>◐ 051 藥品耗材與SPD物流
◐ 052 冷鏈與特殊物料
● 053 CMMS與設施維運</v>
      </c>
      <c r="BM129" s="0" t="str">
        <f aca="false">IF(AND($B129="D09",$C129="G5"),BM128&amp;IF(BM128="","",CHAR(10))&amp;$A129,BM128)</f>
        <v>◐ 054 在地備品、維修與汰換</v>
      </c>
      <c r="BN129" s="0" t="str">
        <f aca="false">IF(AND($B129="D09",$C129="G6"),BN128&amp;IF(BN128="","",CHAR(10))&amp;$A129,BN128)</f>
        <v/>
      </c>
      <c r="BO129" s="0" t="str">
        <f aca="false">IF(AND($B129="D10",$C129="G0"),BO128&amp;IF(BO128="","",CHAR(10))&amp;$A129,BO128)</f>
        <v/>
      </c>
      <c r="BP129" s="0" t="str">
        <f aca="false">IF(AND($B129="D10",$C129="G1"),BP128&amp;IF(BP128="","",CHAR(10))&amp;$A129,BP128)</f>
        <v>◐ 055 全生命週期成本模型</v>
      </c>
      <c r="BQ129" s="0" t="str">
        <f aca="false">IF(AND($B129="D10",$C129="G2"),BQ128&amp;IF(BQ128="","",CHAR(10))&amp;$A129,BQ128)</f>
        <v>◐ 059 PPP／JV財務與風險分配</v>
      </c>
      <c r="BR129" s="0" t="str">
        <f aca="false">IF(AND($B129="D10",$C129="G3"),BR128&amp;IF(BR128="","",CHAR(10))&amp;$A129,BR128)</f>
        <v/>
      </c>
      <c r="BS129" s="363" t="str">
        <f aca="false">IF(AND($B129="D10",$C129="G4"),BS128&amp;IF(BS128="","",CHAR(10))&amp;$A129,BS128)</f>
        <v>○ 056 健保申報與數位理賠
○ 057 現金流、支付與收入週期</v>
      </c>
      <c r="BT129" s="0" t="str">
        <f aca="false">IF(AND($B129="D10",$C129="G5"),BT128&amp;IF(BT128="","",CHAR(10))&amp;$A129,BT128)</f>
        <v>○ 058 國際醫療與高價值服務</v>
      </c>
      <c r="BU129" s="0" t="str">
        <f aca="false">IF(AND($B129="D10",$C129="G6"),BU128&amp;IF(BU128="","",CHAR(10))&amp;$A129,BU128)</f>
        <v>◐ 060 效益實現與複製藍圖</v>
      </c>
      <c r="BX129" s="0" t="str">
        <f aca="false">IF(AND(03_能力總表_Master!$A129&lt;&gt;"",LEFT(03_能力總表_Master!$H129,2)="缺口"),MAX($BX$4:BX128)+1,"")</f>
        <v/>
      </c>
      <c r="BY129" s="0" t="str">
        <f aca="false">IF(AND(03_能力總表_Master!$A129&lt;&gt;"",03_能力總表_Master!$J129=12_夥伴視角_PartnerView!$C$4),MAX($BY$4:BY128)+1,"")</f>
        <v/>
      </c>
      <c r="CC129" s="0" t="str">
        <f aca="false">IF(AND(03_能力總表_Master!$A129&lt;&gt;"",IFERROR(INDEX(16_能力商機矩陣_CapOppMap!$D129:$CO129,MATCH(LEFT(17_商機作戰卡_OppView!$C$4,6),16_能力商機矩陣_CapOppMap!$D$4:$CO$4,0)),"")="✓"),MAX($CC$4:CC128)+1,"")</f>
        <v/>
      </c>
    </row>
    <row r="130" customFormat="false" ht="95.5" hidden="false" customHeight="false" outlineLevel="0" collapsed="false">
      <c r="A130" s="0" t="str">
        <f aca="false">IF(03_能力總表_Master!$A130="","",IF(LEFT(03_能力總表_Master!$H130,2)="群晶","● ",IF(ISNUMBER(SEARCH("已確認",03_能力總表_Master!$H130)),"◆ ",IF(ISNUMBER(SEARCH("缺口",03_能力總表_Master!$H130)),"○ ","◐ ")))&amp;RIGHT(03_能力總表_Master!$A130,3)&amp;" "&amp;03_能力總表_Master!$E130)</f>
        <v/>
      </c>
      <c r="B130" s="0" t="str">
        <f aca="false">IF(03_能力總表_Master!$A130="","",LEFT(03_能力總表_Master!$B130,3))</f>
        <v/>
      </c>
      <c r="C130" s="0" t="str">
        <f aca="false">IF(03_能力總表_Master!$A130="","",03_能力總表_Master!$C130)</f>
        <v/>
      </c>
      <c r="D130" s="363" t="str">
        <f aca="false">IF(AND($B130="D01",$C130="G0"),D129&amp;IF(D129="","",CHAR(10))&amp;$A130,D129)</f>
        <v>◐ 001 政府授權與計畫章程
◐ 002 利害關係人與權力地圖
◐ 005 聯盟治理與利益衝突</v>
      </c>
      <c r="E130" s="363" t="str">
        <f aca="false">IF(AND($B130="D01",$C130="G1"),E129&amp;IF(E129="","",CHAR(10))&amp;$A130,E129)</f>
        <v>◐ 003 交易模式選擇
◐ 004 法規與執照路徑</v>
      </c>
      <c r="F130" s="0" t="str">
        <f aca="false">IF(AND($B130="D01",$C130="G2"),F129&amp;IF(F129="","",CHAR(10))&amp;$A130,F129)</f>
        <v>◐ 006 績效契約與變更控制</v>
      </c>
      <c r="G130" s="0" t="str">
        <f aca="false">IF(AND($B130="D01",$C130="G3"),G129&amp;IF(G129="","",CHAR(10))&amp;$A130,G129)</f>
        <v/>
      </c>
      <c r="H130" s="0" t="str">
        <f aca="false">IF(AND($B130="D01",$C130="G4"),H129&amp;IF(H129="","",CHAR(10))&amp;$A130,H129)</f>
        <v/>
      </c>
      <c r="I130" s="0" t="str">
        <f aca="false">IF(AND($B130="D01",$C130="G5"),I129&amp;IF(I129="","",CHAR(10))&amp;$A130,I129)</f>
        <v/>
      </c>
      <c r="J130" s="0" t="str">
        <f aca="false">IF(AND($B130="D01",$C130="G6"),J129&amp;IF(J129="","",CHAR(10))&amp;$A130,J129)</f>
        <v/>
      </c>
      <c r="K130" s="0" t="str">
        <f aca="false">IF(AND($B130="D02",$C130="G0"),K129&amp;IF(K129="","",CHAR(10))&amp;$A130,K129)</f>
        <v/>
      </c>
      <c r="L130" s="363" t="str">
        <f aca="false">IF(AND($B130="D02",$C130="G1"),L129&amp;IF(L129="","",CHAR(10))&amp;$A130,L129)</f>
        <v>◐ 007 人口需求與病例量預測
◐ 008 醫院定位與服務組合
◐ 009 重點專科優先化
◐ 010 病人流程與容量設計
◐ 011 轉診與區域照護網絡
◐ 012 臨床治理與責任架構</v>
      </c>
      <c r="M130" s="0" t="str">
        <f aca="false">IF(AND($B130="D02",$C130="G2"),M129&amp;IF(M129="","",CHAR(10))&amp;$A130,M129)</f>
        <v/>
      </c>
      <c r="N130" s="0" t="str">
        <f aca="false">IF(AND($B130="D02",$C130="G3"),N129&amp;IF(N129="","",CHAR(10))&amp;$A130,N129)</f>
        <v/>
      </c>
      <c r="O130" s="0" t="str">
        <f aca="false">IF(AND($B130="D02",$C130="G4"),O129&amp;IF(O129="","",CHAR(10))&amp;$A130,O129)</f>
        <v/>
      </c>
      <c r="P130" s="0" t="str">
        <f aca="false">IF(AND($B130="D02",$C130="G5"),P129&amp;IF(P129="","",CHAR(10))&amp;$A130,P129)</f>
        <v/>
      </c>
      <c r="Q130" s="0" t="str">
        <f aca="false">IF(AND($B130="D02",$C130="G6"),Q129&amp;IF(Q129="","",CHAR(10))&amp;$A130,Q129)</f>
        <v/>
      </c>
      <c r="R130" s="0" t="str">
        <f aca="false">IF(AND($B130="D03",$C130="G0"),R129&amp;IF(R129="","",CHAR(10))&amp;$A130,R129)</f>
        <v/>
      </c>
      <c r="S130" s="0" t="str">
        <f aca="false">IF(AND($B130="D03",$C130="G1"),S129&amp;IF(S129="","",CHAR(10))&amp;$A130,S129)</f>
        <v>◐ 013 場址與醫院總體規劃</v>
      </c>
      <c r="T130" s="363" t="str">
        <f aca="false">IF(AND($B130="D03",$C130="G2"),T129&amp;IF(T129="","",CHAR(10))&amp;$A130,T129)</f>
        <v>◐ 014 醫療建築功能計畫
◐ 015 感染控制與潔污動線
◐ 019 綠色與氣候韌性醫院</v>
      </c>
      <c r="U130" s="363" t="str">
        <f aca="false">IF(AND($B130="D03",$C130="G3"),U129&amp;IF(U129="","",CHAR(10))&amp;$A130,U129)</f>
        <v>● 016 電力、備援與微電網
◐ 017 醫療氣體與關鍵公用系統
◐ 018 醫療廢棄物與水資源</v>
      </c>
      <c r="V130" s="0" t="str">
        <f aca="false">IF(AND($B130="D03",$C130="G4"),V129&amp;IF(V129="","",CHAR(10))&amp;$A130,V129)</f>
        <v/>
      </c>
      <c r="W130" s="0" t="str">
        <f aca="false">IF(AND($B130="D03",$C130="G5"),W129&amp;IF(W129="","",CHAR(10))&amp;$A130,W129)</f>
        <v/>
      </c>
      <c r="X130" s="0" t="str">
        <f aca="false">IF(AND($B130="D03",$C130="G6"),X129&amp;IF(X129="","",CHAR(10))&amp;$A130,X129)</f>
        <v/>
      </c>
      <c r="Y130" s="0" t="str">
        <f aca="false">IF(AND($B130="D04",$C130="G0"),Y129&amp;IF(Y129="","",CHAR(10))&amp;$A130,Y129)</f>
        <v/>
      </c>
      <c r="Z130" s="0" t="str">
        <f aca="false">IF(AND($B130="D04",$C130="G1"),Z129&amp;IF(Z129="","",CHAR(10))&amp;$A130,Z129)</f>
        <v/>
      </c>
      <c r="AA130" s="0" t="str">
        <f aca="false">IF(AND($B130="D04",$C130="G2"),AA129&amp;IF(AA129="","",CHAR(10))&amp;$A130,AA129)</f>
        <v/>
      </c>
      <c r="AB130" s="0" t="str">
        <f aca="false">IF(AND($B130="D04",$C130="G3"),AB129&amp;IF(AB129="","",CHAR(10))&amp;$A130,AB129)</f>
        <v>● 020 IDC與邊緣運算底座</v>
      </c>
      <c r="AC130" s="363" t="str">
        <f aca="false">IF(AND($B130="D04",$C130="G4"),AC129&amp;IF(AC129="","",CHAR(10))&amp;$A130,AC129)</f>
        <v>● 021 有線無線網路與分區
◐ 022 資安營運與零信任
● 023 BMS與能源管理
● 024 RTLS與資產／人員定位
● 025 智慧病房、護理呼叫與感測
● 026 災難復原與營運持續</v>
      </c>
      <c r="AD130" s="0" t="str">
        <f aca="false">IF(AND($B130="D04",$C130="G5"),AD129&amp;IF(AD129="","",CHAR(10))&amp;$A130,AD129)</f>
        <v/>
      </c>
      <c r="AE130" s="0" t="str">
        <f aca="false">IF(AND($B130="D04",$C130="G6"),AE129&amp;IF(AE129="","",CHAR(10))&amp;$A130,AE129)</f>
        <v/>
      </c>
      <c r="AF130" s="0" t="str">
        <f aca="false">IF(AND($B130="D05",$C130="G0"),AF129&amp;IF(AF129="","",CHAR(10))&amp;$A130,AF129)</f>
        <v/>
      </c>
      <c r="AG130" s="0" t="str">
        <f aca="false">IF(AND($B130="D05",$C130="G1"),AG129&amp;IF(AG129="","",CHAR(10))&amp;$A130,AG129)</f>
        <v/>
      </c>
      <c r="AH130" s="0" t="str">
        <f aca="false">IF(AND($B130="D05",$C130="G2"),AH129&amp;IF(AH129="","",CHAR(10))&amp;$A130,AH129)</f>
        <v>◐ 027 醫材需求與設備計畫</v>
      </c>
      <c r="AI130" s="0" t="str">
        <f aca="false">IF(AND($B130="D05",$C130="G3"),AI129&amp;IF(AI129="","",CHAR(10))&amp;$A130,AI129)</f>
        <v/>
      </c>
      <c r="AJ130" s="363" t="str">
        <f aca="false">IF(AND($B130="D05",$C130="G4"),AJ129&amp;IF(AJ129="","",CHAR(10))&amp;$A130,AJ129)</f>
        <v>○ 028 影像設備、PACS與報告流程
○ 029 實驗室自動化與LIS
○ 030 手術室與重症整合
◐ 031 醫材介接與裝置身分
◐ 032 醫療工程與設備生命週期</v>
      </c>
      <c r="AK130" s="0" t="str">
        <f aca="false">IF(AND($B130="D05",$C130="G5"),AK129&amp;IF(AK129="","",CHAR(10))&amp;$A130,AK129)</f>
        <v/>
      </c>
      <c r="AL130" s="0" t="str">
        <f aca="false">IF(AND($B130="D05",$C130="G6"),AL129&amp;IF(AL129="","",CHAR(10))&amp;$A130,AL129)</f>
        <v/>
      </c>
      <c r="AM130" s="0" t="str">
        <f aca="false">IF(AND($B130="D06",$C130="G0"),AM129&amp;IF(AM129="","",CHAR(10))&amp;$A130,AM129)</f>
        <v/>
      </c>
      <c r="AN130" s="0" t="str">
        <f aca="false">IF(AND($B130="D06",$C130="G1"),AN129&amp;IF(AN129="","",CHAR(10))&amp;$A130,AN129)</f>
        <v/>
      </c>
      <c r="AO130" s="0" t="str">
        <f aca="false">IF(AND($B130="D06",$C130="G2"),AO129&amp;IF(AO129="","",CHAR(10))&amp;$A130,AO129)</f>
        <v/>
      </c>
      <c r="AP130" s="363" t="str">
        <f aca="false">IF(AND($B130="D06",$C130="G3"),AP129&amp;IF(AP129="","",CHAR(10))&amp;$A130,AP129)</f>
        <v>◐ 033 HIS／EMR核心平台
◐ 036 臨床術語與主資料治理</v>
      </c>
      <c r="AQ130" s="363" t="str">
        <f aca="false">IF(AND($B130="D06",$C130="G4"),AQ129&amp;IF(AQ129="","",CHAR(10))&amp;$A130,AQ129)</f>
        <v>◐ 034 FHIR介接與API管理
○ 035 主病人索引與身分整合
◐ 037 電子醫囑、用藥與決策支援
◐ 038 資料平台、BI與營運指揮</v>
      </c>
      <c r="AR130" s="0" t="str">
        <f aca="false">IF(AND($B130="D06",$C130="G5"),AR129&amp;IF(AR129="","",CHAR(10))&amp;$A130,AR129)</f>
        <v>○ 039 病人入口、行動服務與VNeID準備</v>
      </c>
      <c r="AS130" s="0" t="str">
        <f aca="false">IF(AND($B130="D06",$C130="G6"),AS129&amp;IF(AS129="","",CHAR(10))&amp;$A130,AS129)</f>
        <v/>
      </c>
      <c r="AT130" s="0" t="str">
        <f aca="false">IF(AND($B130="D07",$C130="G0"),AT129&amp;IF(AT129="","",CHAR(10))&amp;$A130,AT129)</f>
        <v/>
      </c>
      <c r="AU130" s="0" t="str">
        <f aca="false">IF(AND($B130="D07",$C130="G1"),AU129&amp;IF(AU129="","",CHAR(10))&amp;$A130,AU129)</f>
        <v/>
      </c>
      <c r="AV130" s="0" t="str">
        <f aca="false">IF(AND($B130="D07",$C130="G2"),AV129&amp;IF(AV129="","",CHAR(10))&amp;$A130,AV129)</f>
        <v>◐ 040 品質管理與JCI路線圖</v>
      </c>
      <c r="AW130" s="363" t="str">
        <f aca="false">IF(AND($B130="D07",$C130="G3"),AW129&amp;IF(AW129="","",CHAR(10))&amp;$A130,AW129)</f>
        <v>◐ 041 感染預防與控制制度
◐ 043 事件通報與根因改善</v>
      </c>
      <c r="AX130" s="0" t="str">
        <f aca="false">IF(AND($B130="D07",$C130="G4"),AX129&amp;IF(AX129="","",CHAR(10))&amp;$A130,AX129)</f>
        <v>◐ 042 用藥安全閉環</v>
      </c>
      <c r="AY130" s="0" t="str">
        <f aca="false">IF(AND($B130="D07",$C130="G5"),AY129&amp;IF(AY129="","",CHAR(10))&amp;$A130,AY129)</f>
        <v>◐ 044 開院臨床安全驗證</v>
      </c>
      <c r="AZ130" s="0" t="str">
        <f aca="false">IF(AND($B130="D07",$C130="G6"),AZ129&amp;IF(AZ129="","",CHAR(10))&amp;$A130,AZ129)</f>
        <v/>
      </c>
      <c r="BA130" s="0" t="str">
        <f aca="false">IF(AND($B130="D08",$C130="G0"),BA129&amp;IF(BA129="","",CHAR(10))&amp;$A130,BA129)</f>
        <v/>
      </c>
      <c r="BB130" s="0" t="str">
        <f aca="false">IF(AND($B130="D08",$C130="G1"),BB129&amp;IF(BB129="","",CHAR(10))&amp;$A130,BB129)</f>
        <v/>
      </c>
      <c r="BC130" s="0" t="str">
        <f aca="false">IF(AND($B130="D08",$C130="G2"),BC129&amp;IF(BC129="","",CHAR(10))&amp;$A130,BC129)</f>
        <v>○ 045 人力與輪班模型</v>
      </c>
      <c r="BD130" s="0" t="str">
        <f aca="false">IF(AND($B130="D08",$C130="G3"),BD129&amp;IF(BD129="","",CHAR(10))&amp;$A130,BD129)</f>
        <v>◐ 046 職能矩陣與授權</v>
      </c>
      <c r="BE130" s="363" t="str">
        <f aca="false">IF(AND($B130="D08",$C130="G4"),BE129&amp;IF(BE129="","",CHAR(10))&amp;$A130,BE129)</f>
        <v>◐ 047 種子教師與技術移轉
◐ 049 變革管理與使用者採納</v>
      </c>
      <c r="BF130" s="0" t="str">
        <f aca="false">IF(AND($B130="D08",$C130="G5"),BF129&amp;IF(BF129="","",CHAR(10))&amp;$A130,BF129)</f>
        <v>◐ 048 模擬中心與開院演練</v>
      </c>
      <c r="BG130" s="0" t="str">
        <f aca="false">IF(AND($B130="D08",$C130="G6"),BG129&amp;IF(BG129="","",CHAR(10))&amp;$A130,BG129)</f>
        <v/>
      </c>
      <c r="BH130" s="0" t="str">
        <f aca="false">IF(AND($B130="D09",$C130="G0"),BH129&amp;IF(BH129="","",CHAR(10))&amp;$A130,BH129)</f>
        <v/>
      </c>
      <c r="BI130" s="0" t="str">
        <f aca="false">IF(AND($B130="D09",$C130="G1"),BI129&amp;IF(BI129="","",CHAR(10))&amp;$A130,BI129)</f>
        <v/>
      </c>
      <c r="BJ130" s="0" t="str">
        <f aca="false">IF(AND($B130="D09",$C130="G2"),BJ129&amp;IF(BJ129="","",CHAR(10))&amp;$A130,BJ129)</f>
        <v>◐ 050 整合採購與供應商治理</v>
      </c>
      <c r="BK130" s="0" t="str">
        <f aca="false">IF(AND($B130="D09",$C130="G3"),BK129&amp;IF(BK129="","",CHAR(10))&amp;$A130,BK129)</f>
        <v/>
      </c>
      <c r="BL130" s="363" t="str">
        <f aca="false">IF(AND($B130="D09",$C130="G4"),BL129&amp;IF(BL129="","",CHAR(10))&amp;$A130,BL129)</f>
        <v>◐ 051 藥品耗材與SPD物流
◐ 052 冷鏈與特殊物料
● 053 CMMS與設施維運</v>
      </c>
      <c r="BM130" s="0" t="str">
        <f aca="false">IF(AND($B130="D09",$C130="G5"),BM129&amp;IF(BM129="","",CHAR(10))&amp;$A130,BM129)</f>
        <v>◐ 054 在地備品、維修與汰換</v>
      </c>
      <c r="BN130" s="0" t="str">
        <f aca="false">IF(AND($B130="D09",$C130="G6"),BN129&amp;IF(BN129="","",CHAR(10))&amp;$A130,BN129)</f>
        <v/>
      </c>
      <c r="BO130" s="0" t="str">
        <f aca="false">IF(AND($B130="D10",$C130="G0"),BO129&amp;IF(BO129="","",CHAR(10))&amp;$A130,BO129)</f>
        <v/>
      </c>
      <c r="BP130" s="0" t="str">
        <f aca="false">IF(AND($B130="D10",$C130="G1"),BP129&amp;IF(BP129="","",CHAR(10))&amp;$A130,BP129)</f>
        <v>◐ 055 全生命週期成本模型</v>
      </c>
      <c r="BQ130" s="0" t="str">
        <f aca="false">IF(AND($B130="D10",$C130="G2"),BQ129&amp;IF(BQ129="","",CHAR(10))&amp;$A130,BQ129)</f>
        <v>◐ 059 PPP／JV財務與風險分配</v>
      </c>
      <c r="BR130" s="0" t="str">
        <f aca="false">IF(AND($B130="D10",$C130="G3"),BR129&amp;IF(BR129="","",CHAR(10))&amp;$A130,BR129)</f>
        <v/>
      </c>
      <c r="BS130" s="363" t="str">
        <f aca="false">IF(AND($B130="D10",$C130="G4"),BS129&amp;IF(BS129="","",CHAR(10))&amp;$A130,BS129)</f>
        <v>○ 056 健保申報與數位理賠
○ 057 現金流、支付與收入週期</v>
      </c>
      <c r="BT130" s="0" t="str">
        <f aca="false">IF(AND($B130="D10",$C130="G5"),BT129&amp;IF(BT129="","",CHAR(10))&amp;$A130,BT129)</f>
        <v>○ 058 國際醫療與高價值服務</v>
      </c>
      <c r="BU130" s="0" t="str">
        <f aca="false">IF(AND($B130="D10",$C130="G6"),BU129&amp;IF(BU129="","",CHAR(10))&amp;$A130,BU129)</f>
        <v>◐ 060 效益實現與複製藍圖</v>
      </c>
      <c r="BX130" s="0" t="str">
        <f aca="false">IF(AND(03_能力總表_Master!$A130&lt;&gt;"",LEFT(03_能力總表_Master!$H130,2)="缺口"),MAX($BX$4:BX129)+1,"")</f>
        <v/>
      </c>
      <c r="BY130" s="0" t="str">
        <f aca="false">IF(AND(03_能力總表_Master!$A130&lt;&gt;"",03_能力總表_Master!$J130=12_夥伴視角_PartnerView!$C$4),MAX($BY$4:BY129)+1,"")</f>
        <v/>
      </c>
      <c r="CC130" s="0" t="str">
        <f aca="false">IF(AND(03_能力總表_Master!$A130&lt;&gt;"",IFERROR(INDEX(16_能力商機矩陣_CapOppMap!$D130:$CO130,MATCH(LEFT(17_商機作戰卡_OppView!$C$4,6),16_能力商機矩陣_CapOppMap!$D$4:$CO$4,0)),"")="✓"),MAX($CC$4:CC129)+1,"")</f>
        <v/>
      </c>
    </row>
    <row r="131" customFormat="false" ht="95.5" hidden="false" customHeight="false" outlineLevel="0" collapsed="false">
      <c r="A131" s="0" t="str">
        <f aca="false">IF(03_能力總表_Master!$A131="","",IF(LEFT(03_能力總表_Master!$H131,2)="群晶","● ",IF(ISNUMBER(SEARCH("已確認",03_能力總表_Master!$H131)),"◆ ",IF(ISNUMBER(SEARCH("缺口",03_能力總表_Master!$H131)),"○ ","◐ ")))&amp;RIGHT(03_能力總表_Master!$A131,3)&amp;" "&amp;03_能力總表_Master!$E131)</f>
        <v/>
      </c>
      <c r="B131" s="0" t="str">
        <f aca="false">IF(03_能力總表_Master!$A131="","",LEFT(03_能力總表_Master!$B131,3))</f>
        <v/>
      </c>
      <c r="C131" s="0" t="str">
        <f aca="false">IF(03_能力總表_Master!$A131="","",03_能力總表_Master!$C131)</f>
        <v/>
      </c>
      <c r="D131" s="363" t="str">
        <f aca="false">IF(AND($B131="D01",$C131="G0"),D130&amp;IF(D130="","",CHAR(10))&amp;$A131,D130)</f>
        <v>◐ 001 政府授權與計畫章程
◐ 002 利害關係人與權力地圖
◐ 005 聯盟治理與利益衝突</v>
      </c>
      <c r="E131" s="363" t="str">
        <f aca="false">IF(AND($B131="D01",$C131="G1"),E130&amp;IF(E130="","",CHAR(10))&amp;$A131,E130)</f>
        <v>◐ 003 交易模式選擇
◐ 004 法規與執照路徑</v>
      </c>
      <c r="F131" s="0" t="str">
        <f aca="false">IF(AND($B131="D01",$C131="G2"),F130&amp;IF(F130="","",CHAR(10))&amp;$A131,F130)</f>
        <v>◐ 006 績效契約與變更控制</v>
      </c>
      <c r="G131" s="0" t="str">
        <f aca="false">IF(AND($B131="D01",$C131="G3"),G130&amp;IF(G130="","",CHAR(10))&amp;$A131,G130)</f>
        <v/>
      </c>
      <c r="H131" s="0" t="str">
        <f aca="false">IF(AND($B131="D01",$C131="G4"),H130&amp;IF(H130="","",CHAR(10))&amp;$A131,H130)</f>
        <v/>
      </c>
      <c r="I131" s="0" t="str">
        <f aca="false">IF(AND($B131="D01",$C131="G5"),I130&amp;IF(I130="","",CHAR(10))&amp;$A131,I130)</f>
        <v/>
      </c>
      <c r="J131" s="0" t="str">
        <f aca="false">IF(AND($B131="D01",$C131="G6"),J130&amp;IF(J130="","",CHAR(10))&amp;$A131,J130)</f>
        <v/>
      </c>
      <c r="K131" s="0" t="str">
        <f aca="false">IF(AND($B131="D02",$C131="G0"),K130&amp;IF(K130="","",CHAR(10))&amp;$A131,K130)</f>
        <v/>
      </c>
      <c r="L131" s="363" t="str">
        <f aca="false">IF(AND($B131="D02",$C131="G1"),L130&amp;IF(L130="","",CHAR(10))&amp;$A131,L130)</f>
        <v>◐ 007 人口需求與病例量預測
◐ 008 醫院定位與服務組合
◐ 009 重點專科優先化
◐ 010 病人流程與容量設計
◐ 011 轉診與區域照護網絡
◐ 012 臨床治理與責任架構</v>
      </c>
      <c r="M131" s="0" t="str">
        <f aca="false">IF(AND($B131="D02",$C131="G2"),M130&amp;IF(M130="","",CHAR(10))&amp;$A131,M130)</f>
        <v/>
      </c>
      <c r="N131" s="0" t="str">
        <f aca="false">IF(AND($B131="D02",$C131="G3"),N130&amp;IF(N130="","",CHAR(10))&amp;$A131,N130)</f>
        <v/>
      </c>
      <c r="O131" s="0" t="str">
        <f aca="false">IF(AND($B131="D02",$C131="G4"),O130&amp;IF(O130="","",CHAR(10))&amp;$A131,O130)</f>
        <v/>
      </c>
      <c r="P131" s="0" t="str">
        <f aca="false">IF(AND($B131="D02",$C131="G5"),P130&amp;IF(P130="","",CHAR(10))&amp;$A131,P130)</f>
        <v/>
      </c>
      <c r="Q131" s="0" t="str">
        <f aca="false">IF(AND($B131="D02",$C131="G6"),Q130&amp;IF(Q130="","",CHAR(10))&amp;$A131,Q130)</f>
        <v/>
      </c>
      <c r="R131" s="0" t="str">
        <f aca="false">IF(AND($B131="D03",$C131="G0"),R130&amp;IF(R130="","",CHAR(10))&amp;$A131,R130)</f>
        <v/>
      </c>
      <c r="S131" s="0" t="str">
        <f aca="false">IF(AND($B131="D03",$C131="G1"),S130&amp;IF(S130="","",CHAR(10))&amp;$A131,S130)</f>
        <v>◐ 013 場址與醫院總體規劃</v>
      </c>
      <c r="T131" s="363" t="str">
        <f aca="false">IF(AND($B131="D03",$C131="G2"),T130&amp;IF(T130="","",CHAR(10))&amp;$A131,T130)</f>
        <v>◐ 014 醫療建築功能計畫
◐ 015 感染控制與潔污動線
◐ 019 綠色與氣候韌性醫院</v>
      </c>
      <c r="U131" s="363" t="str">
        <f aca="false">IF(AND($B131="D03",$C131="G3"),U130&amp;IF(U130="","",CHAR(10))&amp;$A131,U130)</f>
        <v>● 016 電力、備援與微電網
◐ 017 醫療氣體與關鍵公用系統
◐ 018 醫療廢棄物與水資源</v>
      </c>
      <c r="V131" s="0" t="str">
        <f aca="false">IF(AND($B131="D03",$C131="G4"),V130&amp;IF(V130="","",CHAR(10))&amp;$A131,V130)</f>
        <v/>
      </c>
      <c r="W131" s="0" t="str">
        <f aca="false">IF(AND($B131="D03",$C131="G5"),W130&amp;IF(W130="","",CHAR(10))&amp;$A131,W130)</f>
        <v/>
      </c>
      <c r="X131" s="0" t="str">
        <f aca="false">IF(AND($B131="D03",$C131="G6"),X130&amp;IF(X130="","",CHAR(10))&amp;$A131,X130)</f>
        <v/>
      </c>
      <c r="Y131" s="0" t="str">
        <f aca="false">IF(AND($B131="D04",$C131="G0"),Y130&amp;IF(Y130="","",CHAR(10))&amp;$A131,Y130)</f>
        <v/>
      </c>
      <c r="Z131" s="0" t="str">
        <f aca="false">IF(AND($B131="D04",$C131="G1"),Z130&amp;IF(Z130="","",CHAR(10))&amp;$A131,Z130)</f>
        <v/>
      </c>
      <c r="AA131" s="0" t="str">
        <f aca="false">IF(AND($B131="D04",$C131="G2"),AA130&amp;IF(AA130="","",CHAR(10))&amp;$A131,AA130)</f>
        <v/>
      </c>
      <c r="AB131" s="0" t="str">
        <f aca="false">IF(AND($B131="D04",$C131="G3"),AB130&amp;IF(AB130="","",CHAR(10))&amp;$A131,AB130)</f>
        <v>● 020 IDC與邊緣運算底座</v>
      </c>
      <c r="AC131" s="363" t="str">
        <f aca="false">IF(AND($B131="D04",$C131="G4"),AC130&amp;IF(AC130="","",CHAR(10))&amp;$A131,AC130)</f>
        <v>● 021 有線無線網路與分區
◐ 022 資安營運與零信任
● 023 BMS與能源管理
● 024 RTLS與資產／人員定位
● 025 智慧病房、護理呼叫與感測
● 026 災難復原與營運持續</v>
      </c>
      <c r="AD131" s="0" t="str">
        <f aca="false">IF(AND($B131="D04",$C131="G5"),AD130&amp;IF(AD130="","",CHAR(10))&amp;$A131,AD130)</f>
        <v/>
      </c>
      <c r="AE131" s="0" t="str">
        <f aca="false">IF(AND($B131="D04",$C131="G6"),AE130&amp;IF(AE130="","",CHAR(10))&amp;$A131,AE130)</f>
        <v/>
      </c>
      <c r="AF131" s="0" t="str">
        <f aca="false">IF(AND($B131="D05",$C131="G0"),AF130&amp;IF(AF130="","",CHAR(10))&amp;$A131,AF130)</f>
        <v/>
      </c>
      <c r="AG131" s="0" t="str">
        <f aca="false">IF(AND($B131="D05",$C131="G1"),AG130&amp;IF(AG130="","",CHAR(10))&amp;$A131,AG130)</f>
        <v/>
      </c>
      <c r="AH131" s="0" t="str">
        <f aca="false">IF(AND($B131="D05",$C131="G2"),AH130&amp;IF(AH130="","",CHAR(10))&amp;$A131,AH130)</f>
        <v>◐ 027 醫材需求與設備計畫</v>
      </c>
      <c r="AI131" s="0" t="str">
        <f aca="false">IF(AND($B131="D05",$C131="G3"),AI130&amp;IF(AI130="","",CHAR(10))&amp;$A131,AI130)</f>
        <v/>
      </c>
      <c r="AJ131" s="363" t="str">
        <f aca="false">IF(AND($B131="D05",$C131="G4"),AJ130&amp;IF(AJ130="","",CHAR(10))&amp;$A131,AJ130)</f>
        <v>○ 028 影像設備、PACS與報告流程
○ 029 實驗室自動化與LIS
○ 030 手術室與重症整合
◐ 031 醫材介接與裝置身分
◐ 032 醫療工程與設備生命週期</v>
      </c>
      <c r="AK131" s="0" t="str">
        <f aca="false">IF(AND($B131="D05",$C131="G5"),AK130&amp;IF(AK130="","",CHAR(10))&amp;$A131,AK130)</f>
        <v/>
      </c>
      <c r="AL131" s="0" t="str">
        <f aca="false">IF(AND($B131="D05",$C131="G6"),AL130&amp;IF(AL130="","",CHAR(10))&amp;$A131,AL130)</f>
        <v/>
      </c>
      <c r="AM131" s="0" t="str">
        <f aca="false">IF(AND($B131="D06",$C131="G0"),AM130&amp;IF(AM130="","",CHAR(10))&amp;$A131,AM130)</f>
        <v/>
      </c>
      <c r="AN131" s="0" t="str">
        <f aca="false">IF(AND($B131="D06",$C131="G1"),AN130&amp;IF(AN130="","",CHAR(10))&amp;$A131,AN130)</f>
        <v/>
      </c>
      <c r="AO131" s="0" t="str">
        <f aca="false">IF(AND($B131="D06",$C131="G2"),AO130&amp;IF(AO130="","",CHAR(10))&amp;$A131,AO130)</f>
        <v/>
      </c>
      <c r="AP131" s="363" t="str">
        <f aca="false">IF(AND($B131="D06",$C131="G3"),AP130&amp;IF(AP130="","",CHAR(10))&amp;$A131,AP130)</f>
        <v>◐ 033 HIS／EMR核心平台
◐ 036 臨床術語與主資料治理</v>
      </c>
      <c r="AQ131" s="363" t="str">
        <f aca="false">IF(AND($B131="D06",$C131="G4"),AQ130&amp;IF(AQ130="","",CHAR(10))&amp;$A131,AQ130)</f>
        <v>◐ 034 FHIR介接與API管理
○ 035 主病人索引與身分整合
◐ 037 電子醫囑、用藥與決策支援
◐ 038 資料平台、BI與營運指揮</v>
      </c>
      <c r="AR131" s="0" t="str">
        <f aca="false">IF(AND($B131="D06",$C131="G5"),AR130&amp;IF(AR130="","",CHAR(10))&amp;$A131,AR130)</f>
        <v>○ 039 病人入口、行動服務與VNeID準備</v>
      </c>
      <c r="AS131" s="0" t="str">
        <f aca="false">IF(AND($B131="D06",$C131="G6"),AS130&amp;IF(AS130="","",CHAR(10))&amp;$A131,AS130)</f>
        <v/>
      </c>
      <c r="AT131" s="0" t="str">
        <f aca="false">IF(AND($B131="D07",$C131="G0"),AT130&amp;IF(AT130="","",CHAR(10))&amp;$A131,AT130)</f>
        <v/>
      </c>
      <c r="AU131" s="0" t="str">
        <f aca="false">IF(AND($B131="D07",$C131="G1"),AU130&amp;IF(AU130="","",CHAR(10))&amp;$A131,AU130)</f>
        <v/>
      </c>
      <c r="AV131" s="0" t="str">
        <f aca="false">IF(AND($B131="D07",$C131="G2"),AV130&amp;IF(AV130="","",CHAR(10))&amp;$A131,AV130)</f>
        <v>◐ 040 品質管理與JCI路線圖</v>
      </c>
      <c r="AW131" s="363" t="str">
        <f aca="false">IF(AND($B131="D07",$C131="G3"),AW130&amp;IF(AW130="","",CHAR(10))&amp;$A131,AW130)</f>
        <v>◐ 041 感染預防與控制制度
◐ 043 事件通報與根因改善</v>
      </c>
      <c r="AX131" s="0" t="str">
        <f aca="false">IF(AND($B131="D07",$C131="G4"),AX130&amp;IF(AX130="","",CHAR(10))&amp;$A131,AX130)</f>
        <v>◐ 042 用藥安全閉環</v>
      </c>
      <c r="AY131" s="0" t="str">
        <f aca="false">IF(AND($B131="D07",$C131="G5"),AY130&amp;IF(AY130="","",CHAR(10))&amp;$A131,AY130)</f>
        <v>◐ 044 開院臨床安全驗證</v>
      </c>
      <c r="AZ131" s="0" t="str">
        <f aca="false">IF(AND($B131="D07",$C131="G6"),AZ130&amp;IF(AZ130="","",CHAR(10))&amp;$A131,AZ130)</f>
        <v/>
      </c>
      <c r="BA131" s="0" t="str">
        <f aca="false">IF(AND($B131="D08",$C131="G0"),BA130&amp;IF(BA130="","",CHAR(10))&amp;$A131,BA130)</f>
        <v/>
      </c>
      <c r="BB131" s="0" t="str">
        <f aca="false">IF(AND($B131="D08",$C131="G1"),BB130&amp;IF(BB130="","",CHAR(10))&amp;$A131,BB130)</f>
        <v/>
      </c>
      <c r="BC131" s="0" t="str">
        <f aca="false">IF(AND($B131="D08",$C131="G2"),BC130&amp;IF(BC130="","",CHAR(10))&amp;$A131,BC130)</f>
        <v>○ 045 人力與輪班模型</v>
      </c>
      <c r="BD131" s="0" t="str">
        <f aca="false">IF(AND($B131="D08",$C131="G3"),BD130&amp;IF(BD130="","",CHAR(10))&amp;$A131,BD130)</f>
        <v>◐ 046 職能矩陣與授權</v>
      </c>
      <c r="BE131" s="363" t="str">
        <f aca="false">IF(AND($B131="D08",$C131="G4"),BE130&amp;IF(BE130="","",CHAR(10))&amp;$A131,BE130)</f>
        <v>◐ 047 種子教師與技術移轉
◐ 049 變革管理與使用者採納</v>
      </c>
      <c r="BF131" s="0" t="str">
        <f aca="false">IF(AND($B131="D08",$C131="G5"),BF130&amp;IF(BF130="","",CHAR(10))&amp;$A131,BF130)</f>
        <v>◐ 048 模擬中心與開院演練</v>
      </c>
      <c r="BG131" s="0" t="str">
        <f aca="false">IF(AND($B131="D08",$C131="G6"),BG130&amp;IF(BG130="","",CHAR(10))&amp;$A131,BG130)</f>
        <v/>
      </c>
      <c r="BH131" s="0" t="str">
        <f aca="false">IF(AND($B131="D09",$C131="G0"),BH130&amp;IF(BH130="","",CHAR(10))&amp;$A131,BH130)</f>
        <v/>
      </c>
      <c r="BI131" s="0" t="str">
        <f aca="false">IF(AND($B131="D09",$C131="G1"),BI130&amp;IF(BI130="","",CHAR(10))&amp;$A131,BI130)</f>
        <v/>
      </c>
      <c r="BJ131" s="0" t="str">
        <f aca="false">IF(AND($B131="D09",$C131="G2"),BJ130&amp;IF(BJ130="","",CHAR(10))&amp;$A131,BJ130)</f>
        <v>◐ 050 整合採購與供應商治理</v>
      </c>
      <c r="BK131" s="0" t="str">
        <f aca="false">IF(AND($B131="D09",$C131="G3"),BK130&amp;IF(BK130="","",CHAR(10))&amp;$A131,BK130)</f>
        <v/>
      </c>
      <c r="BL131" s="363" t="str">
        <f aca="false">IF(AND($B131="D09",$C131="G4"),BL130&amp;IF(BL130="","",CHAR(10))&amp;$A131,BL130)</f>
        <v>◐ 051 藥品耗材與SPD物流
◐ 052 冷鏈與特殊物料
● 053 CMMS與設施維運</v>
      </c>
      <c r="BM131" s="0" t="str">
        <f aca="false">IF(AND($B131="D09",$C131="G5"),BM130&amp;IF(BM130="","",CHAR(10))&amp;$A131,BM130)</f>
        <v>◐ 054 在地備品、維修與汰換</v>
      </c>
      <c r="BN131" s="0" t="str">
        <f aca="false">IF(AND($B131="D09",$C131="G6"),BN130&amp;IF(BN130="","",CHAR(10))&amp;$A131,BN130)</f>
        <v/>
      </c>
      <c r="BO131" s="0" t="str">
        <f aca="false">IF(AND($B131="D10",$C131="G0"),BO130&amp;IF(BO130="","",CHAR(10))&amp;$A131,BO130)</f>
        <v/>
      </c>
      <c r="BP131" s="0" t="str">
        <f aca="false">IF(AND($B131="D10",$C131="G1"),BP130&amp;IF(BP130="","",CHAR(10))&amp;$A131,BP130)</f>
        <v>◐ 055 全生命週期成本模型</v>
      </c>
      <c r="BQ131" s="0" t="str">
        <f aca="false">IF(AND($B131="D10",$C131="G2"),BQ130&amp;IF(BQ130="","",CHAR(10))&amp;$A131,BQ130)</f>
        <v>◐ 059 PPP／JV財務與風險分配</v>
      </c>
      <c r="BR131" s="0" t="str">
        <f aca="false">IF(AND($B131="D10",$C131="G3"),BR130&amp;IF(BR130="","",CHAR(10))&amp;$A131,BR130)</f>
        <v/>
      </c>
      <c r="BS131" s="363" t="str">
        <f aca="false">IF(AND($B131="D10",$C131="G4"),BS130&amp;IF(BS130="","",CHAR(10))&amp;$A131,BS130)</f>
        <v>○ 056 健保申報與數位理賠
○ 057 現金流、支付與收入週期</v>
      </c>
      <c r="BT131" s="0" t="str">
        <f aca="false">IF(AND($B131="D10",$C131="G5"),BT130&amp;IF(BT130="","",CHAR(10))&amp;$A131,BT130)</f>
        <v>○ 058 國際醫療與高價值服務</v>
      </c>
      <c r="BU131" s="0" t="str">
        <f aca="false">IF(AND($B131="D10",$C131="G6"),BU130&amp;IF(BU130="","",CHAR(10))&amp;$A131,BU130)</f>
        <v>◐ 060 效益實現與複製藍圖</v>
      </c>
      <c r="BX131" s="0" t="str">
        <f aca="false">IF(AND(03_能力總表_Master!$A131&lt;&gt;"",LEFT(03_能力總表_Master!$H131,2)="缺口"),MAX($BX$4:BX130)+1,"")</f>
        <v/>
      </c>
      <c r="BY131" s="0" t="str">
        <f aca="false">IF(AND(03_能力總表_Master!$A131&lt;&gt;"",03_能力總表_Master!$J131=12_夥伴視角_PartnerView!$C$4),MAX($BY$4:BY130)+1,"")</f>
        <v/>
      </c>
      <c r="CC131" s="0" t="str">
        <f aca="false">IF(AND(03_能力總表_Master!$A131&lt;&gt;"",IFERROR(INDEX(16_能力商機矩陣_CapOppMap!$D131:$CO131,MATCH(LEFT(17_商機作戰卡_OppView!$C$4,6),16_能力商機矩陣_CapOppMap!$D$4:$CO$4,0)),"")="✓"),MAX($CC$4:CC130)+1,"")</f>
        <v/>
      </c>
    </row>
    <row r="132" customFormat="false" ht="95.5" hidden="false" customHeight="false" outlineLevel="0" collapsed="false">
      <c r="A132" s="0" t="str">
        <f aca="false">IF(03_能力總表_Master!$A132="","",IF(LEFT(03_能力總表_Master!$H132,2)="群晶","● ",IF(ISNUMBER(SEARCH("已確認",03_能力總表_Master!$H132)),"◆ ",IF(ISNUMBER(SEARCH("缺口",03_能力總表_Master!$H132)),"○ ","◐ ")))&amp;RIGHT(03_能力總表_Master!$A132,3)&amp;" "&amp;03_能力總表_Master!$E132)</f>
        <v/>
      </c>
      <c r="B132" s="0" t="str">
        <f aca="false">IF(03_能力總表_Master!$A132="","",LEFT(03_能力總表_Master!$B132,3))</f>
        <v/>
      </c>
      <c r="C132" s="0" t="str">
        <f aca="false">IF(03_能力總表_Master!$A132="","",03_能力總表_Master!$C132)</f>
        <v/>
      </c>
      <c r="D132" s="363" t="str">
        <f aca="false">IF(AND($B132="D01",$C132="G0"),D131&amp;IF(D131="","",CHAR(10))&amp;$A132,D131)</f>
        <v>◐ 001 政府授權與計畫章程
◐ 002 利害關係人與權力地圖
◐ 005 聯盟治理與利益衝突</v>
      </c>
      <c r="E132" s="363" t="str">
        <f aca="false">IF(AND($B132="D01",$C132="G1"),E131&amp;IF(E131="","",CHAR(10))&amp;$A132,E131)</f>
        <v>◐ 003 交易模式選擇
◐ 004 法規與執照路徑</v>
      </c>
      <c r="F132" s="0" t="str">
        <f aca="false">IF(AND($B132="D01",$C132="G2"),F131&amp;IF(F131="","",CHAR(10))&amp;$A132,F131)</f>
        <v>◐ 006 績效契約與變更控制</v>
      </c>
      <c r="G132" s="0" t="str">
        <f aca="false">IF(AND($B132="D01",$C132="G3"),G131&amp;IF(G131="","",CHAR(10))&amp;$A132,G131)</f>
        <v/>
      </c>
      <c r="H132" s="0" t="str">
        <f aca="false">IF(AND($B132="D01",$C132="G4"),H131&amp;IF(H131="","",CHAR(10))&amp;$A132,H131)</f>
        <v/>
      </c>
      <c r="I132" s="0" t="str">
        <f aca="false">IF(AND($B132="D01",$C132="G5"),I131&amp;IF(I131="","",CHAR(10))&amp;$A132,I131)</f>
        <v/>
      </c>
      <c r="J132" s="0" t="str">
        <f aca="false">IF(AND($B132="D01",$C132="G6"),J131&amp;IF(J131="","",CHAR(10))&amp;$A132,J131)</f>
        <v/>
      </c>
      <c r="K132" s="0" t="str">
        <f aca="false">IF(AND($B132="D02",$C132="G0"),K131&amp;IF(K131="","",CHAR(10))&amp;$A132,K131)</f>
        <v/>
      </c>
      <c r="L132" s="363" t="str">
        <f aca="false">IF(AND($B132="D02",$C132="G1"),L131&amp;IF(L131="","",CHAR(10))&amp;$A132,L131)</f>
        <v>◐ 007 人口需求與病例量預測
◐ 008 醫院定位與服務組合
◐ 009 重點專科優先化
◐ 010 病人流程與容量設計
◐ 011 轉診與區域照護網絡
◐ 012 臨床治理與責任架構</v>
      </c>
      <c r="M132" s="0" t="str">
        <f aca="false">IF(AND($B132="D02",$C132="G2"),M131&amp;IF(M131="","",CHAR(10))&amp;$A132,M131)</f>
        <v/>
      </c>
      <c r="N132" s="0" t="str">
        <f aca="false">IF(AND($B132="D02",$C132="G3"),N131&amp;IF(N131="","",CHAR(10))&amp;$A132,N131)</f>
        <v/>
      </c>
      <c r="O132" s="0" t="str">
        <f aca="false">IF(AND($B132="D02",$C132="G4"),O131&amp;IF(O131="","",CHAR(10))&amp;$A132,O131)</f>
        <v/>
      </c>
      <c r="P132" s="0" t="str">
        <f aca="false">IF(AND($B132="D02",$C132="G5"),P131&amp;IF(P131="","",CHAR(10))&amp;$A132,P131)</f>
        <v/>
      </c>
      <c r="Q132" s="0" t="str">
        <f aca="false">IF(AND($B132="D02",$C132="G6"),Q131&amp;IF(Q131="","",CHAR(10))&amp;$A132,Q131)</f>
        <v/>
      </c>
      <c r="R132" s="0" t="str">
        <f aca="false">IF(AND($B132="D03",$C132="G0"),R131&amp;IF(R131="","",CHAR(10))&amp;$A132,R131)</f>
        <v/>
      </c>
      <c r="S132" s="0" t="str">
        <f aca="false">IF(AND($B132="D03",$C132="G1"),S131&amp;IF(S131="","",CHAR(10))&amp;$A132,S131)</f>
        <v>◐ 013 場址與醫院總體規劃</v>
      </c>
      <c r="T132" s="363" t="str">
        <f aca="false">IF(AND($B132="D03",$C132="G2"),T131&amp;IF(T131="","",CHAR(10))&amp;$A132,T131)</f>
        <v>◐ 014 醫療建築功能計畫
◐ 015 感染控制與潔污動線
◐ 019 綠色與氣候韌性醫院</v>
      </c>
      <c r="U132" s="363" t="str">
        <f aca="false">IF(AND($B132="D03",$C132="G3"),U131&amp;IF(U131="","",CHAR(10))&amp;$A132,U131)</f>
        <v>● 016 電力、備援與微電網
◐ 017 醫療氣體與關鍵公用系統
◐ 018 醫療廢棄物與水資源</v>
      </c>
      <c r="V132" s="0" t="str">
        <f aca="false">IF(AND($B132="D03",$C132="G4"),V131&amp;IF(V131="","",CHAR(10))&amp;$A132,V131)</f>
        <v/>
      </c>
      <c r="W132" s="0" t="str">
        <f aca="false">IF(AND($B132="D03",$C132="G5"),W131&amp;IF(W131="","",CHAR(10))&amp;$A132,W131)</f>
        <v/>
      </c>
      <c r="X132" s="0" t="str">
        <f aca="false">IF(AND($B132="D03",$C132="G6"),X131&amp;IF(X131="","",CHAR(10))&amp;$A132,X131)</f>
        <v/>
      </c>
      <c r="Y132" s="0" t="str">
        <f aca="false">IF(AND($B132="D04",$C132="G0"),Y131&amp;IF(Y131="","",CHAR(10))&amp;$A132,Y131)</f>
        <v/>
      </c>
      <c r="Z132" s="0" t="str">
        <f aca="false">IF(AND($B132="D04",$C132="G1"),Z131&amp;IF(Z131="","",CHAR(10))&amp;$A132,Z131)</f>
        <v/>
      </c>
      <c r="AA132" s="0" t="str">
        <f aca="false">IF(AND($B132="D04",$C132="G2"),AA131&amp;IF(AA131="","",CHAR(10))&amp;$A132,AA131)</f>
        <v/>
      </c>
      <c r="AB132" s="0" t="str">
        <f aca="false">IF(AND($B132="D04",$C132="G3"),AB131&amp;IF(AB131="","",CHAR(10))&amp;$A132,AB131)</f>
        <v>● 020 IDC與邊緣運算底座</v>
      </c>
      <c r="AC132" s="363" t="str">
        <f aca="false">IF(AND($B132="D04",$C132="G4"),AC131&amp;IF(AC131="","",CHAR(10))&amp;$A132,AC131)</f>
        <v>● 021 有線無線網路與分區
◐ 022 資安營運與零信任
● 023 BMS與能源管理
● 024 RTLS與資產／人員定位
● 025 智慧病房、護理呼叫與感測
● 026 災難復原與營運持續</v>
      </c>
      <c r="AD132" s="0" t="str">
        <f aca="false">IF(AND($B132="D04",$C132="G5"),AD131&amp;IF(AD131="","",CHAR(10))&amp;$A132,AD131)</f>
        <v/>
      </c>
      <c r="AE132" s="0" t="str">
        <f aca="false">IF(AND($B132="D04",$C132="G6"),AE131&amp;IF(AE131="","",CHAR(10))&amp;$A132,AE131)</f>
        <v/>
      </c>
      <c r="AF132" s="0" t="str">
        <f aca="false">IF(AND($B132="D05",$C132="G0"),AF131&amp;IF(AF131="","",CHAR(10))&amp;$A132,AF131)</f>
        <v/>
      </c>
      <c r="AG132" s="0" t="str">
        <f aca="false">IF(AND($B132="D05",$C132="G1"),AG131&amp;IF(AG131="","",CHAR(10))&amp;$A132,AG131)</f>
        <v/>
      </c>
      <c r="AH132" s="0" t="str">
        <f aca="false">IF(AND($B132="D05",$C132="G2"),AH131&amp;IF(AH131="","",CHAR(10))&amp;$A132,AH131)</f>
        <v>◐ 027 醫材需求與設備計畫</v>
      </c>
      <c r="AI132" s="0" t="str">
        <f aca="false">IF(AND($B132="D05",$C132="G3"),AI131&amp;IF(AI131="","",CHAR(10))&amp;$A132,AI131)</f>
        <v/>
      </c>
      <c r="AJ132" s="363" t="str">
        <f aca="false">IF(AND($B132="D05",$C132="G4"),AJ131&amp;IF(AJ131="","",CHAR(10))&amp;$A132,AJ131)</f>
        <v>○ 028 影像設備、PACS與報告流程
○ 029 實驗室自動化與LIS
○ 030 手術室與重症整合
◐ 031 醫材介接與裝置身分
◐ 032 醫療工程與設備生命週期</v>
      </c>
      <c r="AK132" s="0" t="str">
        <f aca="false">IF(AND($B132="D05",$C132="G5"),AK131&amp;IF(AK131="","",CHAR(10))&amp;$A132,AK131)</f>
        <v/>
      </c>
      <c r="AL132" s="0" t="str">
        <f aca="false">IF(AND($B132="D05",$C132="G6"),AL131&amp;IF(AL131="","",CHAR(10))&amp;$A132,AL131)</f>
        <v/>
      </c>
      <c r="AM132" s="0" t="str">
        <f aca="false">IF(AND($B132="D06",$C132="G0"),AM131&amp;IF(AM131="","",CHAR(10))&amp;$A132,AM131)</f>
        <v/>
      </c>
      <c r="AN132" s="0" t="str">
        <f aca="false">IF(AND($B132="D06",$C132="G1"),AN131&amp;IF(AN131="","",CHAR(10))&amp;$A132,AN131)</f>
        <v/>
      </c>
      <c r="AO132" s="0" t="str">
        <f aca="false">IF(AND($B132="D06",$C132="G2"),AO131&amp;IF(AO131="","",CHAR(10))&amp;$A132,AO131)</f>
        <v/>
      </c>
      <c r="AP132" s="363" t="str">
        <f aca="false">IF(AND($B132="D06",$C132="G3"),AP131&amp;IF(AP131="","",CHAR(10))&amp;$A132,AP131)</f>
        <v>◐ 033 HIS／EMR核心平台
◐ 036 臨床術語與主資料治理</v>
      </c>
      <c r="AQ132" s="363" t="str">
        <f aca="false">IF(AND($B132="D06",$C132="G4"),AQ131&amp;IF(AQ131="","",CHAR(10))&amp;$A132,AQ131)</f>
        <v>◐ 034 FHIR介接與API管理
○ 035 主病人索引與身分整合
◐ 037 電子醫囑、用藥與決策支援
◐ 038 資料平台、BI與營運指揮</v>
      </c>
      <c r="AR132" s="0" t="str">
        <f aca="false">IF(AND($B132="D06",$C132="G5"),AR131&amp;IF(AR131="","",CHAR(10))&amp;$A132,AR131)</f>
        <v>○ 039 病人入口、行動服務與VNeID準備</v>
      </c>
      <c r="AS132" s="0" t="str">
        <f aca="false">IF(AND($B132="D06",$C132="G6"),AS131&amp;IF(AS131="","",CHAR(10))&amp;$A132,AS131)</f>
        <v/>
      </c>
      <c r="AT132" s="0" t="str">
        <f aca="false">IF(AND($B132="D07",$C132="G0"),AT131&amp;IF(AT131="","",CHAR(10))&amp;$A132,AT131)</f>
        <v/>
      </c>
      <c r="AU132" s="0" t="str">
        <f aca="false">IF(AND($B132="D07",$C132="G1"),AU131&amp;IF(AU131="","",CHAR(10))&amp;$A132,AU131)</f>
        <v/>
      </c>
      <c r="AV132" s="0" t="str">
        <f aca="false">IF(AND($B132="D07",$C132="G2"),AV131&amp;IF(AV131="","",CHAR(10))&amp;$A132,AV131)</f>
        <v>◐ 040 品質管理與JCI路線圖</v>
      </c>
      <c r="AW132" s="363" t="str">
        <f aca="false">IF(AND($B132="D07",$C132="G3"),AW131&amp;IF(AW131="","",CHAR(10))&amp;$A132,AW131)</f>
        <v>◐ 041 感染預防與控制制度
◐ 043 事件通報與根因改善</v>
      </c>
      <c r="AX132" s="0" t="str">
        <f aca="false">IF(AND($B132="D07",$C132="G4"),AX131&amp;IF(AX131="","",CHAR(10))&amp;$A132,AX131)</f>
        <v>◐ 042 用藥安全閉環</v>
      </c>
      <c r="AY132" s="0" t="str">
        <f aca="false">IF(AND($B132="D07",$C132="G5"),AY131&amp;IF(AY131="","",CHAR(10))&amp;$A132,AY131)</f>
        <v>◐ 044 開院臨床安全驗證</v>
      </c>
      <c r="AZ132" s="0" t="str">
        <f aca="false">IF(AND($B132="D07",$C132="G6"),AZ131&amp;IF(AZ131="","",CHAR(10))&amp;$A132,AZ131)</f>
        <v/>
      </c>
      <c r="BA132" s="0" t="str">
        <f aca="false">IF(AND($B132="D08",$C132="G0"),BA131&amp;IF(BA131="","",CHAR(10))&amp;$A132,BA131)</f>
        <v/>
      </c>
      <c r="BB132" s="0" t="str">
        <f aca="false">IF(AND($B132="D08",$C132="G1"),BB131&amp;IF(BB131="","",CHAR(10))&amp;$A132,BB131)</f>
        <v/>
      </c>
      <c r="BC132" s="0" t="str">
        <f aca="false">IF(AND($B132="D08",$C132="G2"),BC131&amp;IF(BC131="","",CHAR(10))&amp;$A132,BC131)</f>
        <v>○ 045 人力與輪班模型</v>
      </c>
      <c r="BD132" s="0" t="str">
        <f aca="false">IF(AND($B132="D08",$C132="G3"),BD131&amp;IF(BD131="","",CHAR(10))&amp;$A132,BD131)</f>
        <v>◐ 046 職能矩陣與授權</v>
      </c>
      <c r="BE132" s="363" t="str">
        <f aca="false">IF(AND($B132="D08",$C132="G4"),BE131&amp;IF(BE131="","",CHAR(10))&amp;$A132,BE131)</f>
        <v>◐ 047 種子教師與技術移轉
◐ 049 變革管理與使用者採納</v>
      </c>
      <c r="BF132" s="0" t="str">
        <f aca="false">IF(AND($B132="D08",$C132="G5"),BF131&amp;IF(BF131="","",CHAR(10))&amp;$A132,BF131)</f>
        <v>◐ 048 模擬中心與開院演練</v>
      </c>
      <c r="BG132" s="0" t="str">
        <f aca="false">IF(AND($B132="D08",$C132="G6"),BG131&amp;IF(BG131="","",CHAR(10))&amp;$A132,BG131)</f>
        <v/>
      </c>
      <c r="BH132" s="0" t="str">
        <f aca="false">IF(AND($B132="D09",$C132="G0"),BH131&amp;IF(BH131="","",CHAR(10))&amp;$A132,BH131)</f>
        <v/>
      </c>
      <c r="BI132" s="0" t="str">
        <f aca="false">IF(AND($B132="D09",$C132="G1"),BI131&amp;IF(BI131="","",CHAR(10))&amp;$A132,BI131)</f>
        <v/>
      </c>
      <c r="BJ132" s="0" t="str">
        <f aca="false">IF(AND($B132="D09",$C132="G2"),BJ131&amp;IF(BJ131="","",CHAR(10))&amp;$A132,BJ131)</f>
        <v>◐ 050 整合採購與供應商治理</v>
      </c>
      <c r="BK132" s="0" t="str">
        <f aca="false">IF(AND($B132="D09",$C132="G3"),BK131&amp;IF(BK131="","",CHAR(10))&amp;$A132,BK131)</f>
        <v/>
      </c>
      <c r="BL132" s="363" t="str">
        <f aca="false">IF(AND($B132="D09",$C132="G4"),BL131&amp;IF(BL131="","",CHAR(10))&amp;$A132,BL131)</f>
        <v>◐ 051 藥品耗材與SPD物流
◐ 052 冷鏈與特殊物料
● 053 CMMS與設施維運</v>
      </c>
      <c r="BM132" s="0" t="str">
        <f aca="false">IF(AND($B132="D09",$C132="G5"),BM131&amp;IF(BM131="","",CHAR(10))&amp;$A132,BM131)</f>
        <v>◐ 054 在地備品、維修與汰換</v>
      </c>
      <c r="BN132" s="0" t="str">
        <f aca="false">IF(AND($B132="D09",$C132="G6"),BN131&amp;IF(BN131="","",CHAR(10))&amp;$A132,BN131)</f>
        <v/>
      </c>
      <c r="BO132" s="0" t="str">
        <f aca="false">IF(AND($B132="D10",$C132="G0"),BO131&amp;IF(BO131="","",CHAR(10))&amp;$A132,BO131)</f>
        <v/>
      </c>
      <c r="BP132" s="0" t="str">
        <f aca="false">IF(AND($B132="D10",$C132="G1"),BP131&amp;IF(BP131="","",CHAR(10))&amp;$A132,BP131)</f>
        <v>◐ 055 全生命週期成本模型</v>
      </c>
      <c r="BQ132" s="0" t="str">
        <f aca="false">IF(AND($B132="D10",$C132="G2"),BQ131&amp;IF(BQ131="","",CHAR(10))&amp;$A132,BQ131)</f>
        <v>◐ 059 PPP／JV財務與風險分配</v>
      </c>
      <c r="BR132" s="0" t="str">
        <f aca="false">IF(AND($B132="D10",$C132="G3"),BR131&amp;IF(BR131="","",CHAR(10))&amp;$A132,BR131)</f>
        <v/>
      </c>
      <c r="BS132" s="363" t="str">
        <f aca="false">IF(AND($B132="D10",$C132="G4"),BS131&amp;IF(BS131="","",CHAR(10))&amp;$A132,BS131)</f>
        <v>○ 056 健保申報與數位理賠
○ 057 現金流、支付與收入週期</v>
      </c>
      <c r="BT132" s="0" t="str">
        <f aca="false">IF(AND($B132="D10",$C132="G5"),BT131&amp;IF(BT131="","",CHAR(10))&amp;$A132,BT131)</f>
        <v>○ 058 國際醫療與高價值服務</v>
      </c>
      <c r="BU132" s="0" t="str">
        <f aca="false">IF(AND($B132="D10",$C132="G6"),BU131&amp;IF(BU131="","",CHAR(10))&amp;$A132,BU131)</f>
        <v>◐ 060 效益實現與複製藍圖</v>
      </c>
      <c r="BX132" s="0" t="str">
        <f aca="false">IF(AND(03_能力總表_Master!$A132&lt;&gt;"",LEFT(03_能力總表_Master!$H132,2)="缺口"),MAX($BX$4:BX131)+1,"")</f>
        <v/>
      </c>
      <c r="BY132" s="0" t="str">
        <f aca="false">IF(AND(03_能力總表_Master!$A132&lt;&gt;"",03_能力總表_Master!$J132=12_夥伴視角_PartnerView!$C$4),MAX($BY$4:BY131)+1,"")</f>
        <v/>
      </c>
      <c r="CC132" s="0" t="str">
        <f aca="false">IF(AND(03_能力總表_Master!$A132&lt;&gt;"",IFERROR(INDEX(16_能力商機矩陣_CapOppMap!$D132:$CO132,MATCH(LEFT(17_商機作戰卡_OppView!$C$4,6),16_能力商機矩陣_CapOppMap!$D$4:$CO$4,0)),"")="✓"),MAX($CC$4:CC131)+1,"")</f>
        <v/>
      </c>
    </row>
    <row r="133" customFormat="false" ht="95.5" hidden="false" customHeight="false" outlineLevel="0" collapsed="false">
      <c r="A133" s="0" t="str">
        <f aca="false">IF(03_能力總表_Master!$A133="","",IF(LEFT(03_能力總表_Master!$H133,2)="群晶","● ",IF(ISNUMBER(SEARCH("已確認",03_能力總表_Master!$H133)),"◆ ",IF(ISNUMBER(SEARCH("缺口",03_能力總表_Master!$H133)),"○ ","◐ ")))&amp;RIGHT(03_能力總表_Master!$A133,3)&amp;" "&amp;03_能力總表_Master!$E133)</f>
        <v/>
      </c>
      <c r="B133" s="0" t="str">
        <f aca="false">IF(03_能力總表_Master!$A133="","",LEFT(03_能力總表_Master!$B133,3))</f>
        <v/>
      </c>
      <c r="C133" s="0" t="str">
        <f aca="false">IF(03_能力總表_Master!$A133="","",03_能力總表_Master!$C133)</f>
        <v/>
      </c>
      <c r="D133" s="363" t="str">
        <f aca="false">IF(AND($B133="D01",$C133="G0"),D132&amp;IF(D132="","",CHAR(10))&amp;$A133,D132)</f>
        <v>◐ 001 政府授權與計畫章程
◐ 002 利害關係人與權力地圖
◐ 005 聯盟治理與利益衝突</v>
      </c>
      <c r="E133" s="363" t="str">
        <f aca="false">IF(AND($B133="D01",$C133="G1"),E132&amp;IF(E132="","",CHAR(10))&amp;$A133,E132)</f>
        <v>◐ 003 交易模式選擇
◐ 004 法規與執照路徑</v>
      </c>
      <c r="F133" s="0" t="str">
        <f aca="false">IF(AND($B133="D01",$C133="G2"),F132&amp;IF(F132="","",CHAR(10))&amp;$A133,F132)</f>
        <v>◐ 006 績效契約與變更控制</v>
      </c>
      <c r="G133" s="0" t="str">
        <f aca="false">IF(AND($B133="D01",$C133="G3"),G132&amp;IF(G132="","",CHAR(10))&amp;$A133,G132)</f>
        <v/>
      </c>
      <c r="H133" s="0" t="str">
        <f aca="false">IF(AND($B133="D01",$C133="G4"),H132&amp;IF(H132="","",CHAR(10))&amp;$A133,H132)</f>
        <v/>
      </c>
      <c r="I133" s="0" t="str">
        <f aca="false">IF(AND($B133="D01",$C133="G5"),I132&amp;IF(I132="","",CHAR(10))&amp;$A133,I132)</f>
        <v/>
      </c>
      <c r="J133" s="0" t="str">
        <f aca="false">IF(AND($B133="D01",$C133="G6"),J132&amp;IF(J132="","",CHAR(10))&amp;$A133,J132)</f>
        <v/>
      </c>
      <c r="K133" s="0" t="str">
        <f aca="false">IF(AND($B133="D02",$C133="G0"),K132&amp;IF(K132="","",CHAR(10))&amp;$A133,K132)</f>
        <v/>
      </c>
      <c r="L133" s="363" t="str">
        <f aca="false">IF(AND($B133="D02",$C133="G1"),L132&amp;IF(L132="","",CHAR(10))&amp;$A133,L132)</f>
        <v>◐ 007 人口需求與病例量預測
◐ 008 醫院定位與服務組合
◐ 009 重點專科優先化
◐ 010 病人流程與容量設計
◐ 011 轉診與區域照護網絡
◐ 012 臨床治理與責任架構</v>
      </c>
      <c r="M133" s="0" t="str">
        <f aca="false">IF(AND($B133="D02",$C133="G2"),M132&amp;IF(M132="","",CHAR(10))&amp;$A133,M132)</f>
        <v/>
      </c>
      <c r="N133" s="0" t="str">
        <f aca="false">IF(AND($B133="D02",$C133="G3"),N132&amp;IF(N132="","",CHAR(10))&amp;$A133,N132)</f>
        <v/>
      </c>
      <c r="O133" s="0" t="str">
        <f aca="false">IF(AND($B133="D02",$C133="G4"),O132&amp;IF(O132="","",CHAR(10))&amp;$A133,O132)</f>
        <v/>
      </c>
      <c r="P133" s="0" t="str">
        <f aca="false">IF(AND($B133="D02",$C133="G5"),P132&amp;IF(P132="","",CHAR(10))&amp;$A133,P132)</f>
        <v/>
      </c>
      <c r="Q133" s="0" t="str">
        <f aca="false">IF(AND($B133="D02",$C133="G6"),Q132&amp;IF(Q132="","",CHAR(10))&amp;$A133,Q132)</f>
        <v/>
      </c>
      <c r="R133" s="0" t="str">
        <f aca="false">IF(AND($B133="D03",$C133="G0"),R132&amp;IF(R132="","",CHAR(10))&amp;$A133,R132)</f>
        <v/>
      </c>
      <c r="S133" s="0" t="str">
        <f aca="false">IF(AND($B133="D03",$C133="G1"),S132&amp;IF(S132="","",CHAR(10))&amp;$A133,S132)</f>
        <v>◐ 013 場址與醫院總體規劃</v>
      </c>
      <c r="T133" s="363" t="str">
        <f aca="false">IF(AND($B133="D03",$C133="G2"),T132&amp;IF(T132="","",CHAR(10))&amp;$A133,T132)</f>
        <v>◐ 014 醫療建築功能計畫
◐ 015 感染控制與潔污動線
◐ 019 綠色與氣候韌性醫院</v>
      </c>
      <c r="U133" s="363" t="str">
        <f aca="false">IF(AND($B133="D03",$C133="G3"),U132&amp;IF(U132="","",CHAR(10))&amp;$A133,U132)</f>
        <v>● 016 電力、備援與微電網
◐ 017 醫療氣體與關鍵公用系統
◐ 018 醫療廢棄物與水資源</v>
      </c>
      <c r="V133" s="0" t="str">
        <f aca="false">IF(AND($B133="D03",$C133="G4"),V132&amp;IF(V132="","",CHAR(10))&amp;$A133,V132)</f>
        <v/>
      </c>
      <c r="W133" s="0" t="str">
        <f aca="false">IF(AND($B133="D03",$C133="G5"),W132&amp;IF(W132="","",CHAR(10))&amp;$A133,W132)</f>
        <v/>
      </c>
      <c r="X133" s="0" t="str">
        <f aca="false">IF(AND($B133="D03",$C133="G6"),X132&amp;IF(X132="","",CHAR(10))&amp;$A133,X132)</f>
        <v/>
      </c>
      <c r="Y133" s="0" t="str">
        <f aca="false">IF(AND($B133="D04",$C133="G0"),Y132&amp;IF(Y132="","",CHAR(10))&amp;$A133,Y132)</f>
        <v/>
      </c>
      <c r="Z133" s="0" t="str">
        <f aca="false">IF(AND($B133="D04",$C133="G1"),Z132&amp;IF(Z132="","",CHAR(10))&amp;$A133,Z132)</f>
        <v/>
      </c>
      <c r="AA133" s="0" t="str">
        <f aca="false">IF(AND($B133="D04",$C133="G2"),AA132&amp;IF(AA132="","",CHAR(10))&amp;$A133,AA132)</f>
        <v/>
      </c>
      <c r="AB133" s="0" t="str">
        <f aca="false">IF(AND($B133="D04",$C133="G3"),AB132&amp;IF(AB132="","",CHAR(10))&amp;$A133,AB132)</f>
        <v>● 020 IDC與邊緣運算底座</v>
      </c>
      <c r="AC133" s="363" t="str">
        <f aca="false">IF(AND($B133="D04",$C133="G4"),AC132&amp;IF(AC132="","",CHAR(10))&amp;$A133,AC132)</f>
        <v>● 021 有線無線網路與分區
◐ 022 資安營運與零信任
● 023 BMS與能源管理
● 024 RTLS與資產／人員定位
● 025 智慧病房、護理呼叫與感測
● 026 災難復原與營運持續</v>
      </c>
      <c r="AD133" s="0" t="str">
        <f aca="false">IF(AND($B133="D04",$C133="G5"),AD132&amp;IF(AD132="","",CHAR(10))&amp;$A133,AD132)</f>
        <v/>
      </c>
      <c r="AE133" s="0" t="str">
        <f aca="false">IF(AND($B133="D04",$C133="G6"),AE132&amp;IF(AE132="","",CHAR(10))&amp;$A133,AE132)</f>
        <v/>
      </c>
      <c r="AF133" s="0" t="str">
        <f aca="false">IF(AND($B133="D05",$C133="G0"),AF132&amp;IF(AF132="","",CHAR(10))&amp;$A133,AF132)</f>
        <v/>
      </c>
      <c r="AG133" s="0" t="str">
        <f aca="false">IF(AND($B133="D05",$C133="G1"),AG132&amp;IF(AG132="","",CHAR(10))&amp;$A133,AG132)</f>
        <v/>
      </c>
      <c r="AH133" s="0" t="str">
        <f aca="false">IF(AND($B133="D05",$C133="G2"),AH132&amp;IF(AH132="","",CHAR(10))&amp;$A133,AH132)</f>
        <v>◐ 027 醫材需求與設備計畫</v>
      </c>
      <c r="AI133" s="0" t="str">
        <f aca="false">IF(AND($B133="D05",$C133="G3"),AI132&amp;IF(AI132="","",CHAR(10))&amp;$A133,AI132)</f>
        <v/>
      </c>
      <c r="AJ133" s="363" t="str">
        <f aca="false">IF(AND($B133="D05",$C133="G4"),AJ132&amp;IF(AJ132="","",CHAR(10))&amp;$A133,AJ132)</f>
        <v>○ 028 影像設備、PACS與報告流程
○ 029 實驗室自動化與LIS
○ 030 手術室與重症整合
◐ 031 醫材介接與裝置身分
◐ 032 醫療工程與設備生命週期</v>
      </c>
      <c r="AK133" s="0" t="str">
        <f aca="false">IF(AND($B133="D05",$C133="G5"),AK132&amp;IF(AK132="","",CHAR(10))&amp;$A133,AK132)</f>
        <v/>
      </c>
      <c r="AL133" s="0" t="str">
        <f aca="false">IF(AND($B133="D05",$C133="G6"),AL132&amp;IF(AL132="","",CHAR(10))&amp;$A133,AL132)</f>
        <v/>
      </c>
      <c r="AM133" s="0" t="str">
        <f aca="false">IF(AND($B133="D06",$C133="G0"),AM132&amp;IF(AM132="","",CHAR(10))&amp;$A133,AM132)</f>
        <v/>
      </c>
      <c r="AN133" s="0" t="str">
        <f aca="false">IF(AND($B133="D06",$C133="G1"),AN132&amp;IF(AN132="","",CHAR(10))&amp;$A133,AN132)</f>
        <v/>
      </c>
      <c r="AO133" s="0" t="str">
        <f aca="false">IF(AND($B133="D06",$C133="G2"),AO132&amp;IF(AO132="","",CHAR(10))&amp;$A133,AO132)</f>
        <v/>
      </c>
      <c r="AP133" s="363" t="str">
        <f aca="false">IF(AND($B133="D06",$C133="G3"),AP132&amp;IF(AP132="","",CHAR(10))&amp;$A133,AP132)</f>
        <v>◐ 033 HIS／EMR核心平台
◐ 036 臨床術語與主資料治理</v>
      </c>
      <c r="AQ133" s="363" t="str">
        <f aca="false">IF(AND($B133="D06",$C133="G4"),AQ132&amp;IF(AQ132="","",CHAR(10))&amp;$A133,AQ132)</f>
        <v>◐ 034 FHIR介接與API管理
○ 035 主病人索引與身分整合
◐ 037 電子醫囑、用藥與決策支援
◐ 038 資料平台、BI與營運指揮</v>
      </c>
      <c r="AR133" s="0" t="str">
        <f aca="false">IF(AND($B133="D06",$C133="G5"),AR132&amp;IF(AR132="","",CHAR(10))&amp;$A133,AR132)</f>
        <v>○ 039 病人入口、行動服務與VNeID準備</v>
      </c>
      <c r="AS133" s="0" t="str">
        <f aca="false">IF(AND($B133="D06",$C133="G6"),AS132&amp;IF(AS132="","",CHAR(10))&amp;$A133,AS132)</f>
        <v/>
      </c>
      <c r="AT133" s="0" t="str">
        <f aca="false">IF(AND($B133="D07",$C133="G0"),AT132&amp;IF(AT132="","",CHAR(10))&amp;$A133,AT132)</f>
        <v/>
      </c>
      <c r="AU133" s="0" t="str">
        <f aca="false">IF(AND($B133="D07",$C133="G1"),AU132&amp;IF(AU132="","",CHAR(10))&amp;$A133,AU132)</f>
        <v/>
      </c>
      <c r="AV133" s="0" t="str">
        <f aca="false">IF(AND($B133="D07",$C133="G2"),AV132&amp;IF(AV132="","",CHAR(10))&amp;$A133,AV132)</f>
        <v>◐ 040 品質管理與JCI路線圖</v>
      </c>
      <c r="AW133" s="363" t="str">
        <f aca="false">IF(AND($B133="D07",$C133="G3"),AW132&amp;IF(AW132="","",CHAR(10))&amp;$A133,AW132)</f>
        <v>◐ 041 感染預防與控制制度
◐ 043 事件通報與根因改善</v>
      </c>
      <c r="AX133" s="0" t="str">
        <f aca="false">IF(AND($B133="D07",$C133="G4"),AX132&amp;IF(AX132="","",CHAR(10))&amp;$A133,AX132)</f>
        <v>◐ 042 用藥安全閉環</v>
      </c>
      <c r="AY133" s="0" t="str">
        <f aca="false">IF(AND($B133="D07",$C133="G5"),AY132&amp;IF(AY132="","",CHAR(10))&amp;$A133,AY132)</f>
        <v>◐ 044 開院臨床安全驗證</v>
      </c>
      <c r="AZ133" s="0" t="str">
        <f aca="false">IF(AND($B133="D07",$C133="G6"),AZ132&amp;IF(AZ132="","",CHAR(10))&amp;$A133,AZ132)</f>
        <v/>
      </c>
      <c r="BA133" s="0" t="str">
        <f aca="false">IF(AND($B133="D08",$C133="G0"),BA132&amp;IF(BA132="","",CHAR(10))&amp;$A133,BA132)</f>
        <v/>
      </c>
      <c r="BB133" s="0" t="str">
        <f aca="false">IF(AND($B133="D08",$C133="G1"),BB132&amp;IF(BB132="","",CHAR(10))&amp;$A133,BB132)</f>
        <v/>
      </c>
      <c r="BC133" s="0" t="str">
        <f aca="false">IF(AND($B133="D08",$C133="G2"),BC132&amp;IF(BC132="","",CHAR(10))&amp;$A133,BC132)</f>
        <v>○ 045 人力與輪班模型</v>
      </c>
      <c r="BD133" s="0" t="str">
        <f aca="false">IF(AND($B133="D08",$C133="G3"),BD132&amp;IF(BD132="","",CHAR(10))&amp;$A133,BD132)</f>
        <v>◐ 046 職能矩陣與授權</v>
      </c>
      <c r="BE133" s="363" t="str">
        <f aca="false">IF(AND($B133="D08",$C133="G4"),BE132&amp;IF(BE132="","",CHAR(10))&amp;$A133,BE132)</f>
        <v>◐ 047 種子教師與技術移轉
◐ 049 變革管理與使用者採納</v>
      </c>
      <c r="BF133" s="0" t="str">
        <f aca="false">IF(AND($B133="D08",$C133="G5"),BF132&amp;IF(BF132="","",CHAR(10))&amp;$A133,BF132)</f>
        <v>◐ 048 模擬中心與開院演練</v>
      </c>
      <c r="BG133" s="0" t="str">
        <f aca="false">IF(AND($B133="D08",$C133="G6"),BG132&amp;IF(BG132="","",CHAR(10))&amp;$A133,BG132)</f>
        <v/>
      </c>
      <c r="BH133" s="0" t="str">
        <f aca="false">IF(AND($B133="D09",$C133="G0"),BH132&amp;IF(BH132="","",CHAR(10))&amp;$A133,BH132)</f>
        <v/>
      </c>
      <c r="BI133" s="0" t="str">
        <f aca="false">IF(AND($B133="D09",$C133="G1"),BI132&amp;IF(BI132="","",CHAR(10))&amp;$A133,BI132)</f>
        <v/>
      </c>
      <c r="BJ133" s="0" t="str">
        <f aca="false">IF(AND($B133="D09",$C133="G2"),BJ132&amp;IF(BJ132="","",CHAR(10))&amp;$A133,BJ132)</f>
        <v>◐ 050 整合採購與供應商治理</v>
      </c>
      <c r="BK133" s="0" t="str">
        <f aca="false">IF(AND($B133="D09",$C133="G3"),BK132&amp;IF(BK132="","",CHAR(10))&amp;$A133,BK132)</f>
        <v/>
      </c>
      <c r="BL133" s="363" t="str">
        <f aca="false">IF(AND($B133="D09",$C133="G4"),BL132&amp;IF(BL132="","",CHAR(10))&amp;$A133,BL132)</f>
        <v>◐ 051 藥品耗材與SPD物流
◐ 052 冷鏈與特殊物料
● 053 CMMS與設施維運</v>
      </c>
      <c r="BM133" s="0" t="str">
        <f aca="false">IF(AND($B133="D09",$C133="G5"),BM132&amp;IF(BM132="","",CHAR(10))&amp;$A133,BM132)</f>
        <v>◐ 054 在地備品、維修與汰換</v>
      </c>
      <c r="BN133" s="0" t="str">
        <f aca="false">IF(AND($B133="D09",$C133="G6"),BN132&amp;IF(BN132="","",CHAR(10))&amp;$A133,BN132)</f>
        <v/>
      </c>
      <c r="BO133" s="0" t="str">
        <f aca="false">IF(AND($B133="D10",$C133="G0"),BO132&amp;IF(BO132="","",CHAR(10))&amp;$A133,BO132)</f>
        <v/>
      </c>
      <c r="BP133" s="0" t="str">
        <f aca="false">IF(AND($B133="D10",$C133="G1"),BP132&amp;IF(BP132="","",CHAR(10))&amp;$A133,BP132)</f>
        <v>◐ 055 全生命週期成本模型</v>
      </c>
      <c r="BQ133" s="0" t="str">
        <f aca="false">IF(AND($B133="D10",$C133="G2"),BQ132&amp;IF(BQ132="","",CHAR(10))&amp;$A133,BQ132)</f>
        <v>◐ 059 PPP／JV財務與風險分配</v>
      </c>
      <c r="BR133" s="0" t="str">
        <f aca="false">IF(AND($B133="D10",$C133="G3"),BR132&amp;IF(BR132="","",CHAR(10))&amp;$A133,BR132)</f>
        <v/>
      </c>
      <c r="BS133" s="363" t="str">
        <f aca="false">IF(AND($B133="D10",$C133="G4"),BS132&amp;IF(BS132="","",CHAR(10))&amp;$A133,BS132)</f>
        <v>○ 056 健保申報與數位理賠
○ 057 現金流、支付與收入週期</v>
      </c>
      <c r="BT133" s="0" t="str">
        <f aca="false">IF(AND($B133="D10",$C133="G5"),BT132&amp;IF(BT132="","",CHAR(10))&amp;$A133,BT132)</f>
        <v>○ 058 國際醫療與高價值服務</v>
      </c>
      <c r="BU133" s="0" t="str">
        <f aca="false">IF(AND($B133="D10",$C133="G6"),BU132&amp;IF(BU132="","",CHAR(10))&amp;$A133,BU132)</f>
        <v>◐ 060 效益實現與複製藍圖</v>
      </c>
      <c r="BX133" s="0" t="str">
        <f aca="false">IF(AND(03_能力總表_Master!$A133&lt;&gt;"",LEFT(03_能力總表_Master!$H133,2)="缺口"),MAX($BX$4:BX132)+1,"")</f>
        <v/>
      </c>
      <c r="BY133" s="0" t="str">
        <f aca="false">IF(AND(03_能力總表_Master!$A133&lt;&gt;"",03_能力總表_Master!$J133=12_夥伴視角_PartnerView!$C$4),MAX($BY$4:BY132)+1,"")</f>
        <v/>
      </c>
      <c r="CC133" s="0" t="str">
        <f aca="false">IF(AND(03_能力總表_Master!$A133&lt;&gt;"",IFERROR(INDEX(16_能力商機矩陣_CapOppMap!$D133:$CO133,MATCH(LEFT(17_商機作戰卡_OppView!$C$4,6),16_能力商機矩陣_CapOppMap!$D$4:$CO$4,0)),"")="✓"),MAX($CC$4:CC132)+1,"")</f>
        <v/>
      </c>
    </row>
    <row r="134" customFormat="false" ht="95.5" hidden="false" customHeight="false" outlineLevel="0" collapsed="false">
      <c r="A134" s="0" t="str">
        <f aca="false">IF(03_能力總表_Master!$A134="","",IF(LEFT(03_能力總表_Master!$H134,2)="群晶","● ",IF(ISNUMBER(SEARCH("已確認",03_能力總表_Master!$H134)),"◆ ",IF(ISNUMBER(SEARCH("缺口",03_能力總表_Master!$H134)),"○ ","◐ ")))&amp;RIGHT(03_能力總表_Master!$A134,3)&amp;" "&amp;03_能力總表_Master!$E134)</f>
        <v/>
      </c>
      <c r="B134" s="0" t="str">
        <f aca="false">IF(03_能力總表_Master!$A134="","",LEFT(03_能力總表_Master!$B134,3))</f>
        <v/>
      </c>
      <c r="C134" s="0" t="str">
        <f aca="false">IF(03_能力總表_Master!$A134="","",03_能力總表_Master!$C134)</f>
        <v/>
      </c>
      <c r="D134" s="363" t="str">
        <f aca="false">IF(AND($B134="D01",$C134="G0"),D133&amp;IF(D133="","",CHAR(10))&amp;$A134,D133)</f>
        <v>◐ 001 政府授權與計畫章程
◐ 002 利害關係人與權力地圖
◐ 005 聯盟治理與利益衝突</v>
      </c>
      <c r="E134" s="363" t="str">
        <f aca="false">IF(AND($B134="D01",$C134="G1"),E133&amp;IF(E133="","",CHAR(10))&amp;$A134,E133)</f>
        <v>◐ 003 交易模式選擇
◐ 004 法規與執照路徑</v>
      </c>
      <c r="F134" s="0" t="str">
        <f aca="false">IF(AND($B134="D01",$C134="G2"),F133&amp;IF(F133="","",CHAR(10))&amp;$A134,F133)</f>
        <v>◐ 006 績效契約與變更控制</v>
      </c>
      <c r="G134" s="0" t="str">
        <f aca="false">IF(AND($B134="D01",$C134="G3"),G133&amp;IF(G133="","",CHAR(10))&amp;$A134,G133)</f>
        <v/>
      </c>
      <c r="H134" s="0" t="str">
        <f aca="false">IF(AND($B134="D01",$C134="G4"),H133&amp;IF(H133="","",CHAR(10))&amp;$A134,H133)</f>
        <v/>
      </c>
      <c r="I134" s="0" t="str">
        <f aca="false">IF(AND($B134="D01",$C134="G5"),I133&amp;IF(I133="","",CHAR(10))&amp;$A134,I133)</f>
        <v/>
      </c>
      <c r="J134" s="0" t="str">
        <f aca="false">IF(AND($B134="D01",$C134="G6"),J133&amp;IF(J133="","",CHAR(10))&amp;$A134,J133)</f>
        <v/>
      </c>
      <c r="K134" s="0" t="str">
        <f aca="false">IF(AND($B134="D02",$C134="G0"),K133&amp;IF(K133="","",CHAR(10))&amp;$A134,K133)</f>
        <v/>
      </c>
      <c r="L134" s="363" t="str">
        <f aca="false">IF(AND($B134="D02",$C134="G1"),L133&amp;IF(L133="","",CHAR(10))&amp;$A134,L133)</f>
        <v>◐ 007 人口需求與病例量預測
◐ 008 醫院定位與服務組合
◐ 009 重點專科優先化
◐ 010 病人流程與容量設計
◐ 011 轉診與區域照護網絡
◐ 012 臨床治理與責任架構</v>
      </c>
      <c r="M134" s="0" t="str">
        <f aca="false">IF(AND($B134="D02",$C134="G2"),M133&amp;IF(M133="","",CHAR(10))&amp;$A134,M133)</f>
        <v/>
      </c>
      <c r="N134" s="0" t="str">
        <f aca="false">IF(AND($B134="D02",$C134="G3"),N133&amp;IF(N133="","",CHAR(10))&amp;$A134,N133)</f>
        <v/>
      </c>
      <c r="O134" s="0" t="str">
        <f aca="false">IF(AND($B134="D02",$C134="G4"),O133&amp;IF(O133="","",CHAR(10))&amp;$A134,O133)</f>
        <v/>
      </c>
      <c r="P134" s="0" t="str">
        <f aca="false">IF(AND($B134="D02",$C134="G5"),P133&amp;IF(P133="","",CHAR(10))&amp;$A134,P133)</f>
        <v/>
      </c>
      <c r="Q134" s="0" t="str">
        <f aca="false">IF(AND($B134="D02",$C134="G6"),Q133&amp;IF(Q133="","",CHAR(10))&amp;$A134,Q133)</f>
        <v/>
      </c>
      <c r="R134" s="0" t="str">
        <f aca="false">IF(AND($B134="D03",$C134="G0"),R133&amp;IF(R133="","",CHAR(10))&amp;$A134,R133)</f>
        <v/>
      </c>
      <c r="S134" s="0" t="str">
        <f aca="false">IF(AND($B134="D03",$C134="G1"),S133&amp;IF(S133="","",CHAR(10))&amp;$A134,S133)</f>
        <v>◐ 013 場址與醫院總體規劃</v>
      </c>
      <c r="T134" s="363" t="str">
        <f aca="false">IF(AND($B134="D03",$C134="G2"),T133&amp;IF(T133="","",CHAR(10))&amp;$A134,T133)</f>
        <v>◐ 014 醫療建築功能計畫
◐ 015 感染控制與潔污動線
◐ 019 綠色與氣候韌性醫院</v>
      </c>
      <c r="U134" s="363" t="str">
        <f aca="false">IF(AND($B134="D03",$C134="G3"),U133&amp;IF(U133="","",CHAR(10))&amp;$A134,U133)</f>
        <v>● 016 電力、備援與微電網
◐ 017 醫療氣體與關鍵公用系統
◐ 018 醫療廢棄物與水資源</v>
      </c>
      <c r="V134" s="0" t="str">
        <f aca="false">IF(AND($B134="D03",$C134="G4"),V133&amp;IF(V133="","",CHAR(10))&amp;$A134,V133)</f>
        <v/>
      </c>
      <c r="W134" s="0" t="str">
        <f aca="false">IF(AND($B134="D03",$C134="G5"),W133&amp;IF(W133="","",CHAR(10))&amp;$A134,W133)</f>
        <v/>
      </c>
      <c r="X134" s="0" t="str">
        <f aca="false">IF(AND($B134="D03",$C134="G6"),X133&amp;IF(X133="","",CHAR(10))&amp;$A134,X133)</f>
        <v/>
      </c>
      <c r="Y134" s="0" t="str">
        <f aca="false">IF(AND($B134="D04",$C134="G0"),Y133&amp;IF(Y133="","",CHAR(10))&amp;$A134,Y133)</f>
        <v/>
      </c>
      <c r="Z134" s="0" t="str">
        <f aca="false">IF(AND($B134="D04",$C134="G1"),Z133&amp;IF(Z133="","",CHAR(10))&amp;$A134,Z133)</f>
        <v/>
      </c>
      <c r="AA134" s="0" t="str">
        <f aca="false">IF(AND($B134="D04",$C134="G2"),AA133&amp;IF(AA133="","",CHAR(10))&amp;$A134,AA133)</f>
        <v/>
      </c>
      <c r="AB134" s="0" t="str">
        <f aca="false">IF(AND($B134="D04",$C134="G3"),AB133&amp;IF(AB133="","",CHAR(10))&amp;$A134,AB133)</f>
        <v>● 020 IDC與邊緣運算底座</v>
      </c>
      <c r="AC134" s="363" t="str">
        <f aca="false">IF(AND($B134="D04",$C134="G4"),AC133&amp;IF(AC133="","",CHAR(10))&amp;$A134,AC133)</f>
        <v>● 021 有線無線網路與分區
◐ 022 資安營運與零信任
● 023 BMS與能源管理
● 024 RTLS與資產／人員定位
● 025 智慧病房、護理呼叫與感測
● 026 災難復原與營運持續</v>
      </c>
      <c r="AD134" s="0" t="str">
        <f aca="false">IF(AND($B134="D04",$C134="G5"),AD133&amp;IF(AD133="","",CHAR(10))&amp;$A134,AD133)</f>
        <v/>
      </c>
      <c r="AE134" s="0" t="str">
        <f aca="false">IF(AND($B134="D04",$C134="G6"),AE133&amp;IF(AE133="","",CHAR(10))&amp;$A134,AE133)</f>
        <v/>
      </c>
      <c r="AF134" s="0" t="str">
        <f aca="false">IF(AND($B134="D05",$C134="G0"),AF133&amp;IF(AF133="","",CHAR(10))&amp;$A134,AF133)</f>
        <v/>
      </c>
      <c r="AG134" s="0" t="str">
        <f aca="false">IF(AND($B134="D05",$C134="G1"),AG133&amp;IF(AG133="","",CHAR(10))&amp;$A134,AG133)</f>
        <v/>
      </c>
      <c r="AH134" s="0" t="str">
        <f aca="false">IF(AND($B134="D05",$C134="G2"),AH133&amp;IF(AH133="","",CHAR(10))&amp;$A134,AH133)</f>
        <v>◐ 027 醫材需求與設備計畫</v>
      </c>
      <c r="AI134" s="0" t="str">
        <f aca="false">IF(AND($B134="D05",$C134="G3"),AI133&amp;IF(AI133="","",CHAR(10))&amp;$A134,AI133)</f>
        <v/>
      </c>
      <c r="AJ134" s="363" t="str">
        <f aca="false">IF(AND($B134="D05",$C134="G4"),AJ133&amp;IF(AJ133="","",CHAR(10))&amp;$A134,AJ133)</f>
        <v>○ 028 影像設備、PACS與報告流程
○ 029 實驗室自動化與LIS
○ 030 手術室與重症整合
◐ 031 醫材介接與裝置身分
◐ 032 醫療工程與設備生命週期</v>
      </c>
      <c r="AK134" s="0" t="str">
        <f aca="false">IF(AND($B134="D05",$C134="G5"),AK133&amp;IF(AK133="","",CHAR(10))&amp;$A134,AK133)</f>
        <v/>
      </c>
      <c r="AL134" s="0" t="str">
        <f aca="false">IF(AND($B134="D05",$C134="G6"),AL133&amp;IF(AL133="","",CHAR(10))&amp;$A134,AL133)</f>
        <v/>
      </c>
      <c r="AM134" s="0" t="str">
        <f aca="false">IF(AND($B134="D06",$C134="G0"),AM133&amp;IF(AM133="","",CHAR(10))&amp;$A134,AM133)</f>
        <v/>
      </c>
      <c r="AN134" s="0" t="str">
        <f aca="false">IF(AND($B134="D06",$C134="G1"),AN133&amp;IF(AN133="","",CHAR(10))&amp;$A134,AN133)</f>
        <v/>
      </c>
      <c r="AO134" s="0" t="str">
        <f aca="false">IF(AND($B134="D06",$C134="G2"),AO133&amp;IF(AO133="","",CHAR(10))&amp;$A134,AO133)</f>
        <v/>
      </c>
      <c r="AP134" s="363" t="str">
        <f aca="false">IF(AND($B134="D06",$C134="G3"),AP133&amp;IF(AP133="","",CHAR(10))&amp;$A134,AP133)</f>
        <v>◐ 033 HIS／EMR核心平台
◐ 036 臨床術語與主資料治理</v>
      </c>
      <c r="AQ134" s="363" t="str">
        <f aca="false">IF(AND($B134="D06",$C134="G4"),AQ133&amp;IF(AQ133="","",CHAR(10))&amp;$A134,AQ133)</f>
        <v>◐ 034 FHIR介接與API管理
○ 035 主病人索引與身分整合
◐ 037 電子醫囑、用藥與決策支援
◐ 038 資料平台、BI與營運指揮</v>
      </c>
      <c r="AR134" s="0" t="str">
        <f aca="false">IF(AND($B134="D06",$C134="G5"),AR133&amp;IF(AR133="","",CHAR(10))&amp;$A134,AR133)</f>
        <v>○ 039 病人入口、行動服務與VNeID準備</v>
      </c>
      <c r="AS134" s="0" t="str">
        <f aca="false">IF(AND($B134="D06",$C134="G6"),AS133&amp;IF(AS133="","",CHAR(10))&amp;$A134,AS133)</f>
        <v/>
      </c>
      <c r="AT134" s="0" t="str">
        <f aca="false">IF(AND($B134="D07",$C134="G0"),AT133&amp;IF(AT133="","",CHAR(10))&amp;$A134,AT133)</f>
        <v/>
      </c>
      <c r="AU134" s="0" t="str">
        <f aca="false">IF(AND($B134="D07",$C134="G1"),AU133&amp;IF(AU133="","",CHAR(10))&amp;$A134,AU133)</f>
        <v/>
      </c>
      <c r="AV134" s="0" t="str">
        <f aca="false">IF(AND($B134="D07",$C134="G2"),AV133&amp;IF(AV133="","",CHAR(10))&amp;$A134,AV133)</f>
        <v>◐ 040 品質管理與JCI路線圖</v>
      </c>
      <c r="AW134" s="363" t="str">
        <f aca="false">IF(AND($B134="D07",$C134="G3"),AW133&amp;IF(AW133="","",CHAR(10))&amp;$A134,AW133)</f>
        <v>◐ 041 感染預防與控制制度
◐ 043 事件通報與根因改善</v>
      </c>
      <c r="AX134" s="0" t="str">
        <f aca="false">IF(AND($B134="D07",$C134="G4"),AX133&amp;IF(AX133="","",CHAR(10))&amp;$A134,AX133)</f>
        <v>◐ 042 用藥安全閉環</v>
      </c>
      <c r="AY134" s="0" t="str">
        <f aca="false">IF(AND($B134="D07",$C134="G5"),AY133&amp;IF(AY133="","",CHAR(10))&amp;$A134,AY133)</f>
        <v>◐ 044 開院臨床安全驗證</v>
      </c>
      <c r="AZ134" s="0" t="str">
        <f aca="false">IF(AND($B134="D07",$C134="G6"),AZ133&amp;IF(AZ133="","",CHAR(10))&amp;$A134,AZ133)</f>
        <v/>
      </c>
      <c r="BA134" s="0" t="str">
        <f aca="false">IF(AND($B134="D08",$C134="G0"),BA133&amp;IF(BA133="","",CHAR(10))&amp;$A134,BA133)</f>
        <v/>
      </c>
      <c r="BB134" s="0" t="str">
        <f aca="false">IF(AND($B134="D08",$C134="G1"),BB133&amp;IF(BB133="","",CHAR(10))&amp;$A134,BB133)</f>
        <v/>
      </c>
      <c r="BC134" s="0" t="str">
        <f aca="false">IF(AND($B134="D08",$C134="G2"),BC133&amp;IF(BC133="","",CHAR(10))&amp;$A134,BC133)</f>
        <v>○ 045 人力與輪班模型</v>
      </c>
      <c r="BD134" s="0" t="str">
        <f aca="false">IF(AND($B134="D08",$C134="G3"),BD133&amp;IF(BD133="","",CHAR(10))&amp;$A134,BD133)</f>
        <v>◐ 046 職能矩陣與授權</v>
      </c>
      <c r="BE134" s="363" t="str">
        <f aca="false">IF(AND($B134="D08",$C134="G4"),BE133&amp;IF(BE133="","",CHAR(10))&amp;$A134,BE133)</f>
        <v>◐ 047 種子教師與技術移轉
◐ 049 變革管理與使用者採納</v>
      </c>
      <c r="BF134" s="0" t="str">
        <f aca="false">IF(AND($B134="D08",$C134="G5"),BF133&amp;IF(BF133="","",CHAR(10))&amp;$A134,BF133)</f>
        <v>◐ 048 模擬中心與開院演練</v>
      </c>
      <c r="BG134" s="0" t="str">
        <f aca="false">IF(AND($B134="D08",$C134="G6"),BG133&amp;IF(BG133="","",CHAR(10))&amp;$A134,BG133)</f>
        <v/>
      </c>
      <c r="BH134" s="0" t="str">
        <f aca="false">IF(AND($B134="D09",$C134="G0"),BH133&amp;IF(BH133="","",CHAR(10))&amp;$A134,BH133)</f>
        <v/>
      </c>
      <c r="BI134" s="0" t="str">
        <f aca="false">IF(AND($B134="D09",$C134="G1"),BI133&amp;IF(BI133="","",CHAR(10))&amp;$A134,BI133)</f>
        <v/>
      </c>
      <c r="BJ134" s="0" t="str">
        <f aca="false">IF(AND($B134="D09",$C134="G2"),BJ133&amp;IF(BJ133="","",CHAR(10))&amp;$A134,BJ133)</f>
        <v>◐ 050 整合採購與供應商治理</v>
      </c>
      <c r="BK134" s="0" t="str">
        <f aca="false">IF(AND($B134="D09",$C134="G3"),BK133&amp;IF(BK133="","",CHAR(10))&amp;$A134,BK133)</f>
        <v/>
      </c>
      <c r="BL134" s="363" t="str">
        <f aca="false">IF(AND($B134="D09",$C134="G4"),BL133&amp;IF(BL133="","",CHAR(10))&amp;$A134,BL133)</f>
        <v>◐ 051 藥品耗材與SPD物流
◐ 052 冷鏈與特殊物料
● 053 CMMS與設施維運</v>
      </c>
      <c r="BM134" s="0" t="str">
        <f aca="false">IF(AND($B134="D09",$C134="G5"),BM133&amp;IF(BM133="","",CHAR(10))&amp;$A134,BM133)</f>
        <v>◐ 054 在地備品、維修與汰換</v>
      </c>
      <c r="BN134" s="0" t="str">
        <f aca="false">IF(AND($B134="D09",$C134="G6"),BN133&amp;IF(BN133="","",CHAR(10))&amp;$A134,BN133)</f>
        <v/>
      </c>
      <c r="BO134" s="0" t="str">
        <f aca="false">IF(AND($B134="D10",$C134="G0"),BO133&amp;IF(BO133="","",CHAR(10))&amp;$A134,BO133)</f>
        <v/>
      </c>
      <c r="BP134" s="0" t="str">
        <f aca="false">IF(AND($B134="D10",$C134="G1"),BP133&amp;IF(BP133="","",CHAR(10))&amp;$A134,BP133)</f>
        <v>◐ 055 全生命週期成本模型</v>
      </c>
      <c r="BQ134" s="0" t="str">
        <f aca="false">IF(AND($B134="D10",$C134="G2"),BQ133&amp;IF(BQ133="","",CHAR(10))&amp;$A134,BQ133)</f>
        <v>◐ 059 PPP／JV財務與風險分配</v>
      </c>
      <c r="BR134" s="0" t="str">
        <f aca="false">IF(AND($B134="D10",$C134="G3"),BR133&amp;IF(BR133="","",CHAR(10))&amp;$A134,BR133)</f>
        <v/>
      </c>
      <c r="BS134" s="363" t="str">
        <f aca="false">IF(AND($B134="D10",$C134="G4"),BS133&amp;IF(BS133="","",CHAR(10))&amp;$A134,BS133)</f>
        <v>○ 056 健保申報與數位理賠
○ 057 現金流、支付與收入週期</v>
      </c>
      <c r="BT134" s="0" t="str">
        <f aca="false">IF(AND($B134="D10",$C134="G5"),BT133&amp;IF(BT133="","",CHAR(10))&amp;$A134,BT133)</f>
        <v>○ 058 國際醫療與高價值服務</v>
      </c>
      <c r="BU134" s="0" t="str">
        <f aca="false">IF(AND($B134="D10",$C134="G6"),BU133&amp;IF(BU133="","",CHAR(10))&amp;$A134,BU133)</f>
        <v>◐ 060 效益實現與複製藍圖</v>
      </c>
      <c r="BX134" s="0" t="str">
        <f aca="false">IF(AND(03_能力總表_Master!$A134&lt;&gt;"",LEFT(03_能力總表_Master!$H134,2)="缺口"),MAX($BX$4:BX133)+1,"")</f>
        <v/>
      </c>
      <c r="BY134" s="0" t="str">
        <f aca="false">IF(AND(03_能力總表_Master!$A134&lt;&gt;"",03_能力總表_Master!$J134=12_夥伴視角_PartnerView!$C$4),MAX($BY$4:BY133)+1,"")</f>
        <v/>
      </c>
      <c r="CC134" s="0" t="str">
        <f aca="false">IF(AND(03_能力總表_Master!$A134&lt;&gt;"",IFERROR(INDEX(16_能力商機矩陣_CapOppMap!$D134:$CO134,MATCH(LEFT(17_商機作戰卡_OppView!$C$4,6),16_能力商機矩陣_CapOppMap!$D$4:$CO$4,0)),"")="✓"),MAX($CC$4:CC133)+1,"")</f>
        <v/>
      </c>
    </row>
    <row r="135" customFormat="false" ht="95.5" hidden="false" customHeight="false" outlineLevel="0" collapsed="false">
      <c r="A135" s="0" t="str">
        <f aca="false">IF(03_能力總表_Master!$A135="","",IF(LEFT(03_能力總表_Master!$H135,2)="群晶","● ",IF(ISNUMBER(SEARCH("已確認",03_能力總表_Master!$H135)),"◆ ",IF(ISNUMBER(SEARCH("缺口",03_能力總表_Master!$H135)),"○ ","◐ ")))&amp;RIGHT(03_能力總表_Master!$A135,3)&amp;" "&amp;03_能力總表_Master!$E135)</f>
        <v/>
      </c>
      <c r="B135" s="0" t="str">
        <f aca="false">IF(03_能力總表_Master!$A135="","",LEFT(03_能力總表_Master!$B135,3))</f>
        <v/>
      </c>
      <c r="C135" s="0" t="str">
        <f aca="false">IF(03_能力總表_Master!$A135="","",03_能力總表_Master!$C135)</f>
        <v/>
      </c>
      <c r="D135" s="363" t="str">
        <f aca="false">IF(AND($B135="D01",$C135="G0"),D134&amp;IF(D134="","",CHAR(10))&amp;$A135,D134)</f>
        <v>◐ 001 政府授權與計畫章程
◐ 002 利害關係人與權力地圖
◐ 005 聯盟治理與利益衝突</v>
      </c>
      <c r="E135" s="363" t="str">
        <f aca="false">IF(AND($B135="D01",$C135="G1"),E134&amp;IF(E134="","",CHAR(10))&amp;$A135,E134)</f>
        <v>◐ 003 交易模式選擇
◐ 004 法規與執照路徑</v>
      </c>
      <c r="F135" s="0" t="str">
        <f aca="false">IF(AND($B135="D01",$C135="G2"),F134&amp;IF(F134="","",CHAR(10))&amp;$A135,F134)</f>
        <v>◐ 006 績效契約與變更控制</v>
      </c>
      <c r="G135" s="0" t="str">
        <f aca="false">IF(AND($B135="D01",$C135="G3"),G134&amp;IF(G134="","",CHAR(10))&amp;$A135,G134)</f>
        <v/>
      </c>
      <c r="H135" s="0" t="str">
        <f aca="false">IF(AND($B135="D01",$C135="G4"),H134&amp;IF(H134="","",CHAR(10))&amp;$A135,H134)</f>
        <v/>
      </c>
      <c r="I135" s="0" t="str">
        <f aca="false">IF(AND($B135="D01",$C135="G5"),I134&amp;IF(I134="","",CHAR(10))&amp;$A135,I134)</f>
        <v/>
      </c>
      <c r="J135" s="0" t="str">
        <f aca="false">IF(AND($B135="D01",$C135="G6"),J134&amp;IF(J134="","",CHAR(10))&amp;$A135,J134)</f>
        <v/>
      </c>
      <c r="K135" s="0" t="str">
        <f aca="false">IF(AND($B135="D02",$C135="G0"),K134&amp;IF(K134="","",CHAR(10))&amp;$A135,K134)</f>
        <v/>
      </c>
      <c r="L135" s="363" t="str">
        <f aca="false">IF(AND($B135="D02",$C135="G1"),L134&amp;IF(L134="","",CHAR(10))&amp;$A135,L134)</f>
        <v>◐ 007 人口需求與病例量預測
◐ 008 醫院定位與服務組合
◐ 009 重點專科優先化
◐ 010 病人流程與容量設計
◐ 011 轉診與區域照護網絡
◐ 012 臨床治理與責任架構</v>
      </c>
      <c r="M135" s="0" t="str">
        <f aca="false">IF(AND($B135="D02",$C135="G2"),M134&amp;IF(M134="","",CHAR(10))&amp;$A135,M134)</f>
        <v/>
      </c>
      <c r="N135" s="0" t="str">
        <f aca="false">IF(AND($B135="D02",$C135="G3"),N134&amp;IF(N134="","",CHAR(10))&amp;$A135,N134)</f>
        <v/>
      </c>
      <c r="O135" s="0" t="str">
        <f aca="false">IF(AND($B135="D02",$C135="G4"),O134&amp;IF(O134="","",CHAR(10))&amp;$A135,O134)</f>
        <v/>
      </c>
      <c r="P135" s="0" t="str">
        <f aca="false">IF(AND($B135="D02",$C135="G5"),P134&amp;IF(P134="","",CHAR(10))&amp;$A135,P134)</f>
        <v/>
      </c>
      <c r="Q135" s="0" t="str">
        <f aca="false">IF(AND($B135="D02",$C135="G6"),Q134&amp;IF(Q134="","",CHAR(10))&amp;$A135,Q134)</f>
        <v/>
      </c>
      <c r="R135" s="0" t="str">
        <f aca="false">IF(AND($B135="D03",$C135="G0"),R134&amp;IF(R134="","",CHAR(10))&amp;$A135,R134)</f>
        <v/>
      </c>
      <c r="S135" s="0" t="str">
        <f aca="false">IF(AND($B135="D03",$C135="G1"),S134&amp;IF(S134="","",CHAR(10))&amp;$A135,S134)</f>
        <v>◐ 013 場址與醫院總體規劃</v>
      </c>
      <c r="T135" s="363" t="str">
        <f aca="false">IF(AND($B135="D03",$C135="G2"),T134&amp;IF(T134="","",CHAR(10))&amp;$A135,T134)</f>
        <v>◐ 014 醫療建築功能計畫
◐ 015 感染控制與潔污動線
◐ 019 綠色與氣候韌性醫院</v>
      </c>
      <c r="U135" s="363" t="str">
        <f aca="false">IF(AND($B135="D03",$C135="G3"),U134&amp;IF(U134="","",CHAR(10))&amp;$A135,U134)</f>
        <v>● 016 電力、備援與微電網
◐ 017 醫療氣體與關鍵公用系統
◐ 018 醫療廢棄物與水資源</v>
      </c>
      <c r="V135" s="0" t="str">
        <f aca="false">IF(AND($B135="D03",$C135="G4"),V134&amp;IF(V134="","",CHAR(10))&amp;$A135,V134)</f>
        <v/>
      </c>
      <c r="W135" s="0" t="str">
        <f aca="false">IF(AND($B135="D03",$C135="G5"),W134&amp;IF(W134="","",CHAR(10))&amp;$A135,W134)</f>
        <v/>
      </c>
      <c r="X135" s="0" t="str">
        <f aca="false">IF(AND($B135="D03",$C135="G6"),X134&amp;IF(X134="","",CHAR(10))&amp;$A135,X134)</f>
        <v/>
      </c>
      <c r="Y135" s="0" t="str">
        <f aca="false">IF(AND($B135="D04",$C135="G0"),Y134&amp;IF(Y134="","",CHAR(10))&amp;$A135,Y134)</f>
        <v/>
      </c>
      <c r="Z135" s="0" t="str">
        <f aca="false">IF(AND($B135="D04",$C135="G1"),Z134&amp;IF(Z134="","",CHAR(10))&amp;$A135,Z134)</f>
        <v/>
      </c>
      <c r="AA135" s="0" t="str">
        <f aca="false">IF(AND($B135="D04",$C135="G2"),AA134&amp;IF(AA134="","",CHAR(10))&amp;$A135,AA134)</f>
        <v/>
      </c>
      <c r="AB135" s="0" t="str">
        <f aca="false">IF(AND($B135="D04",$C135="G3"),AB134&amp;IF(AB134="","",CHAR(10))&amp;$A135,AB134)</f>
        <v>● 020 IDC與邊緣運算底座</v>
      </c>
      <c r="AC135" s="363" t="str">
        <f aca="false">IF(AND($B135="D04",$C135="G4"),AC134&amp;IF(AC134="","",CHAR(10))&amp;$A135,AC134)</f>
        <v>● 021 有線無線網路與分區
◐ 022 資安營運與零信任
● 023 BMS與能源管理
● 024 RTLS與資產／人員定位
● 025 智慧病房、護理呼叫與感測
● 026 災難復原與營運持續</v>
      </c>
      <c r="AD135" s="0" t="str">
        <f aca="false">IF(AND($B135="D04",$C135="G5"),AD134&amp;IF(AD134="","",CHAR(10))&amp;$A135,AD134)</f>
        <v/>
      </c>
      <c r="AE135" s="0" t="str">
        <f aca="false">IF(AND($B135="D04",$C135="G6"),AE134&amp;IF(AE134="","",CHAR(10))&amp;$A135,AE134)</f>
        <v/>
      </c>
      <c r="AF135" s="0" t="str">
        <f aca="false">IF(AND($B135="D05",$C135="G0"),AF134&amp;IF(AF134="","",CHAR(10))&amp;$A135,AF134)</f>
        <v/>
      </c>
      <c r="AG135" s="0" t="str">
        <f aca="false">IF(AND($B135="D05",$C135="G1"),AG134&amp;IF(AG134="","",CHAR(10))&amp;$A135,AG134)</f>
        <v/>
      </c>
      <c r="AH135" s="0" t="str">
        <f aca="false">IF(AND($B135="D05",$C135="G2"),AH134&amp;IF(AH134="","",CHAR(10))&amp;$A135,AH134)</f>
        <v>◐ 027 醫材需求與設備計畫</v>
      </c>
      <c r="AI135" s="0" t="str">
        <f aca="false">IF(AND($B135="D05",$C135="G3"),AI134&amp;IF(AI134="","",CHAR(10))&amp;$A135,AI134)</f>
        <v/>
      </c>
      <c r="AJ135" s="363" t="str">
        <f aca="false">IF(AND($B135="D05",$C135="G4"),AJ134&amp;IF(AJ134="","",CHAR(10))&amp;$A135,AJ134)</f>
        <v>○ 028 影像設備、PACS與報告流程
○ 029 實驗室自動化與LIS
○ 030 手術室與重症整合
◐ 031 醫材介接與裝置身分
◐ 032 醫療工程與設備生命週期</v>
      </c>
      <c r="AK135" s="0" t="str">
        <f aca="false">IF(AND($B135="D05",$C135="G5"),AK134&amp;IF(AK134="","",CHAR(10))&amp;$A135,AK134)</f>
        <v/>
      </c>
      <c r="AL135" s="0" t="str">
        <f aca="false">IF(AND($B135="D05",$C135="G6"),AL134&amp;IF(AL134="","",CHAR(10))&amp;$A135,AL134)</f>
        <v/>
      </c>
      <c r="AM135" s="0" t="str">
        <f aca="false">IF(AND($B135="D06",$C135="G0"),AM134&amp;IF(AM134="","",CHAR(10))&amp;$A135,AM134)</f>
        <v/>
      </c>
      <c r="AN135" s="0" t="str">
        <f aca="false">IF(AND($B135="D06",$C135="G1"),AN134&amp;IF(AN134="","",CHAR(10))&amp;$A135,AN134)</f>
        <v/>
      </c>
      <c r="AO135" s="0" t="str">
        <f aca="false">IF(AND($B135="D06",$C135="G2"),AO134&amp;IF(AO134="","",CHAR(10))&amp;$A135,AO134)</f>
        <v/>
      </c>
      <c r="AP135" s="363" t="str">
        <f aca="false">IF(AND($B135="D06",$C135="G3"),AP134&amp;IF(AP134="","",CHAR(10))&amp;$A135,AP134)</f>
        <v>◐ 033 HIS／EMR核心平台
◐ 036 臨床術語與主資料治理</v>
      </c>
      <c r="AQ135" s="363" t="str">
        <f aca="false">IF(AND($B135="D06",$C135="G4"),AQ134&amp;IF(AQ134="","",CHAR(10))&amp;$A135,AQ134)</f>
        <v>◐ 034 FHIR介接與API管理
○ 035 主病人索引與身分整合
◐ 037 電子醫囑、用藥與決策支援
◐ 038 資料平台、BI與營運指揮</v>
      </c>
      <c r="AR135" s="0" t="str">
        <f aca="false">IF(AND($B135="D06",$C135="G5"),AR134&amp;IF(AR134="","",CHAR(10))&amp;$A135,AR134)</f>
        <v>○ 039 病人入口、行動服務與VNeID準備</v>
      </c>
      <c r="AS135" s="0" t="str">
        <f aca="false">IF(AND($B135="D06",$C135="G6"),AS134&amp;IF(AS134="","",CHAR(10))&amp;$A135,AS134)</f>
        <v/>
      </c>
      <c r="AT135" s="0" t="str">
        <f aca="false">IF(AND($B135="D07",$C135="G0"),AT134&amp;IF(AT134="","",CHAR(10))&amp;$A135,AT134)</f>
        <v/>
      </c>
      <c r="AU135" s="0" t="str">
        <f aca="false">IF(AND($B135="D07",$C135="G1"),AU134&amp;IF(AU134="","",CHAR(10))&amp;$A135,AU134)</f>
        <v/>
      </c>
      <c r="AV135" s="0" t="str">
        <f aca="false">IF(AND($B135="D07",$C135="G2"),AV134&amp;IF(AV134="","",CHAR(10))&amp;$A135,AV134)</f>
        <v>◐ 040 品質管理與JCI路線圖</v>
      </c>
      <c r="AW135" s="363" t="str">
        <f aca="false">IF(AND($B135="D07",$C135="G3"),AW134&amp;IF(AW134="","",CHAR(10))&amp;$A135,AW134)</f>
        <v>◐ 041 感染預防與控制制度
◐ 043 事件通報與根因改善</v>
      </c>
      <c r="AX135" s="0" t="str">
        <f aca="false">IF(AND($B135="D07",$C135="G4"),AX134&amp;IF(AX134="","",CHAR(10))&amp;$A135,AX134)</f>
        <v>◐ 042 用藥安全閉環</v>
      </c>
      <c r="AY135" s="0" t="str">
        <f aca="false">IF(AND($B135="D07",$C135="G5"),AY134&amp;IF(AY134="","",CHAR(10))&amp;$A135,AY134)</f>
        <v>◐ 044 開院臨床安全驗證</v>
      </c>
      <c r="AZ135" s="0" t="str">
        <f aca="false">IF(AND($B135="D07",$C135="G6"),AZ134&amp;IF(AZ134="","",CHAR(10))&amp;$A135,AZ134)</f>
        <v/>
      </c>
      <c r="BA135" s="0" t="str">
        <f aca="false">IF(AND($B135="D08",$C135="G0"),BA134&amp;IF(BA134="","",CHAR(10))&amp;$A135,BA134)</f>
        <v/>
      </c>
      <c r="BB135" s="0" t="str">
        <f aca="false">IF(AND($B135="D08",$C135="G1"),BB134&amp;IF(BB134="","",CHAR(10))&amp;$A135,BB134)</f>
        <v/>
      </c>
      <c r="BC135" s="0" t="str">
        <f aca="false">IF(AND($B135="D08",$C135="G2"),BC134&amp;IF(BC134="","",CHAR(10))&amp;$A135,BC134)</f>
        <v>○ 045 人力與輪班模型</v>
      </c>
      <c r="BD135" s="0" t="str">
        <f aca="false">IF(AND($B135="D08",$C135="G3"),BD134&amp;IF(BD134="","",CHAR(10))&amp;$A135,BD134)</f>
        <v>◐ 046 職能矩陣與授權</v>
      </c>
      <c r="BE135" s="363" t="str">
        <f aca="false">IF(AND($B135="D08",$C135="G4"),BE134&amp;IF(BE134="","",CHAR(10))&amp;$A135,BE134)</f>
        <v>◐ 047 種子教師與技術移轉
◐ 049 變革管理與使用者採納</v>
      </c>
      <c r="BF135" s="0" t="str">
        <f aca="false">IF(AND($B135="D08",$C135="G5"),BF134&amp;IF(BF134="","",CHAR(10))&amp;$A135,BF134)</f>
        <v>◐ 048 模擬中心與開院演練</v>
      </c>
      <c r="BG135" s="0" t="str">
        <f aca="false">IF(AND($B135="D08",$C135="G6"),BG134&amp;IF(BG134="","",CHAR(10))&amp;$A135,BG134)</f>
        <v/>
      </c>
      <c r="BH135" s="0" t="str">
        <f aca="false">IF(AND($B135="D09",$C135="G0"),BH134&amp;IF(BH134="","",CHAR(10))&amp;$A135,BH134)</f>
        <v/>
      </c>
      <c r="BI135" s="0" t="str">
        <f aca="false">IF(AND($B135="D09",$C135="G1"),BI134&amp;IF(BI134="","",CHAR(10))&amp;$A135,BI134)</f>
        <v/>
      </c>
      <c r="BJ135" s="0" t="str">
        <f aca="false">IF(AND($B135="D09",$C135="G2"),BJ134&amp;IF(BJ134="","",CHAR(10))&amp;$A135,BJ134)</f>
        <v>◐ 050 整合採購與供應商治理</v>
      </c>
      <c r="BK135" s="0" t="str">
        <f aca="false">IF(AND($B135="D09",$C135="G3"),BK134&amp;IF(BK134="","",CHAR(10))&amp;$A135,BK134)</f>
        <v/>
      </c>
      <c r="BL135" s="363" t="str">
        <f aca="false">IF(AND($B135="D09",$C135="G4"),BL134&amp;IF(BL134="","",CHAR(10))&amp;$A135,BL134)</f>
        <v>◐ 051 藥品耗材與SPD物流
◐ 052 冷鏈與特殊物料
● 053 CMMS與設施維運</v>
      </c>
      <c r="BM135" s="0" t="str">
        <f aca="false">IF(AND($B135="D09",$C135="G5"),BM134&amp;IF(BM134="","",CHAR(10))&amp;$A135,BM134)</f>
        <v>◐ 054 在地備品、維修與汰換</v>
      </c>
      <c r="BN135" s="0" t="str">
        <f aca="false">IF(AND($B135="D09",$C135="G6"),BN134&amp;IF(BN134="","",CHAR(10))&amp;$A135,BN134)</f>
        <v/>
      </c>
      <c r="BO135" s="0" t="str">
        <f aca="false">IF(AND($B135="D10",$C135="G0"),BO134&amp;IF(BO134="","",CHAR(10))&amp;$A135,BO134)</f>
        <v/>
      </c>
      <c r="BP135" s="0" t="str">
        <f aca="false">IF(AND($B135="D10",$C135="G1"),BP134&amp;IF(BP134="","",CHAR(10))&amp;$A135,BP134)</f>
        <v>◐ 055 全生命週期成本模型</v>
      </c>
      <c r="BQ135" s="0" t="str">
        <f aca="false">IF(AND($B135="D10",$C135="G2"),BQ134&amp;IF(BQ134="","",CHAR(10))&amp;$A135,BQ134)</f>
        <v>◐ 059 PPP／JV財務與風險分配</v>
      </c>
      <c r="BR135" s="0" t="str">
        <f aca="false">IF(AND($B135="D10",$C135="G3"),BR134&amp;IF(BR134="","",CHAR(10))&amp;$A135,BR134)</f>
        <v/>
      </c>
      <c r="BS135" s="363" t="str">
        <f aca="false">IF(AND($B135="D10",$C135="G4"),BS134&amp;IF(BS134="","",CHAR(10))&amp;$A135,BS134)</f>
        <v>○ 056 健保申報與數位理賠
○ 057 現金流、支付與收入週期</v>
      </c>
      <c r="BT135" s="0" t="str">
        <f aca="false">IF(AND($B135="D10",$C135="G5"),BT134&amp;IF(BT134="","",CHAR(10))&amp;$A135,BT134)</f>
        <v>○ 058 國際醫療與高價值服務</v>
      </c>
      <c r="BU135" s="0" t="str">
        <f aca="false">IF(AND($B135="D10",$C135="G6"),BU134&amp;IF(BU134="","",CHAR(10))&amp;$A135,BU134)</f>
        <v>◐ 060 效益實現與複製藍圖</v>
      </c>
      <c r="BX135" s="0" t="str">
        <f aca="false">IF(AND(03_能力總表_Master!$A135&lt;&gt;"",LEFT(03_能力總表_Master!$H135,2)="缺口"),MAX($BX$4:BX134)+1,"")</f>
        <v/>
      </c>
      <c r="BY135" s="0" t="str">
        <f aca="false">IF(AND(03_能力總表_Master!$A135&lt;&gt;"",03_能力總表_Master!$J135=12_夥伴視角_PartnerView!$C$4),MAX($BY$4:BY134)+1,"")</f>
        <v/>
      </c>
      <c r="CC135" s="0" t="str">
        <f aca="false">IF(AND(03_能力總表_Master!$A135&lt;&gt;"",IFERROR(INDEX(16_能力商機矩陣_CapOppMap!$D135:$CO135,MATCH(LEFT(17_商機作戰卡_OppView!$C$4,6),16_能力商機矩陣_CapOppMap!$D$4:$CO$4,0)),"")="✓"),MAX($CC$4:CC134)+1,"")</f>
        <v/>
      </c>
    </row>
    <row r="136" customFormat="false" ht="95.5" hidden="false" customHeight="false" outlineLevel="0" collapsed="false">
      <c r="A136" s="0" t="str">
        <f aca="false">IF(03_能力總表_Master!$A136="","",IF(LEFT(03_能力總表_Master!$H136,2)="群晶","● ",IF(ISNUMBER(SEARCH("已確認",03_能力總表_Master!$H136)),"◆ ",IF(ISNUMBER(SEARCH("缺口",03_能力總表_Master!$H136)),"○ ","◐ ")))&amp;RIGHT(03_能力總表_Master!$A136,3)&amp;" "&amp;03_能力總表_Master!$E136)</f>
        <v/>
      </c>
      <c r="B136" s="0" t="str">
        <f aca="false">IF(03_能力總表_Master!$A136="","",LEFT(03_能力總表_Master!$B136,3))</f>
        <v/>
      </c>
      <c r="C136" s="0" t="str">
        <f aca="false">IF(03_能力總表_Master!$A136="","",03_能力總表_Master!$C136)</f>
        <v/>
      </c>
      <c r="D136" s="363" t="str">
        <f aca="false">IF(AND($B136="D01",$C136="G0"),D135&amp;IF(D135="","",CHAR(10))&amp;$A136,D135)</f>
        <v>◐ 001 政府授權與計畫章程
◐ 002 利害關係人與權力地圖
◐ 005 聯盟治理與利益衝突</v>
      </c>
      <c r="E136" s="363" t="str">
        <f aca="false">IF(AND($B136="D01",$C136="G1"),E135&amp;IF(E135="","",CHAR(10))&amp;$A136,E135)</f>
        <v>◐ 003 交易模式選擇
◐ 004 法規與執照路徑</v>
      </c>
      <c r="F136" s="0" t="str">
        <f aca="false">IF(AND($B136="D01",$C136="G2"),F135&amp;IF(F135="","",CHAR(10))&amp;$A136,F135)</f>
        <v>◐ 006 績效契約與變更控制</v>
      </c>
      <c r="G136" s="0" t="str">
        <f aca="false">IF(AND($B136="D01",$C136="G3"),G135&amp;IF(G135="","",CHAR(10))&amp;$A136,G135)</f>
        <v/>
      </c>
      <c r="H136" s="0" t="str">
        <f aca="false">IF(AND($B136="D01",$C136="G4"),H135&amp;IF(H135="","",CHAR(10))&amp;$A136,H135)</f>
        <v/>
      </c>
      <c r="I136" s="0" t="str">
        <f aca="false">IF(AND($B136="D01",$C136="G5"),I135&amp;IF(I135="","",CHAR(10))&amp;$A136,I135)</f>
        <v/>
      </c>
      <c r="J136" s="0" t="str">
        <f aca="false">IF(AND($B136="D01",$C136="G6"),J135&amp;IF(J135="","",CHAR(10))&amp;$A136,J135)</f>
        <v/>
      </c>
      <c r="K136" s="0" t="str">
        <f aca="false">IF(AND($B136="D02",$C136="G0"),K135&amp;IF(K135="","",CHAR(10))&amp;$A136,K135)</f>
        <v/>
      </c>
      <c r="L136" s="363" t="str">
        <f aca="false">IF(AND($B136="D02",$C136="G1"),L135&amp;IF(L135="","",CHAR(10))&amp;$A136,L135)</f>
        <v>◐ 007 人口需求與病例量預測
◐ 008 醫院定位與服務組合
◐ 009 重點專科優先化
◐ 010 病人流程與容量設計
◐ 011 轉診與區域照護網絡
◐ 012 臨床治理與責任架構</v>
      </c>
      <c r="M136" s="0" t="str">
        <f aca="false">IF(AND($B136="D02",$C136="G2"),M135&amp;IF(M135="","",CHAR(10))&amp;$A136,M135)</f>
        <v/>
      </c>
      <c r="N136" s="0" t="str">
        <f aca="false">IF(AND($B136="D02",$C136="G3"),N135&amp;IF(N135="","",CHAR(10))&amp;$A136,N135)</f>
        <v/>
      </c>
      <c r="O136" s="0" t="str">
        <f aca="false">IF(AND($B136="D02",$C136="G4"),O135&amp;IF(O135="","",CHAR(10))&amp;$A136,O135)</f>
        <v/>
      </c>
      <c r="P136" s="0" t="str">
        <f aca="false">IF(AND($B136="D02",$C136="G5"),P135&amp;IF(P135="","",CHAR(10))&amp;$A136,P135)</f>
        <v/>
      </c>
      <c r="Q136" s="0" t="str">
        <f aca="false">IF(AND($B136="D02",$C136="G6"),Q135&amp;IF(Q135="","",CHAR(10))&amp;$A136,Q135)</f>
        <v/>
      </c>
      <c r="R136" s="0" t="str">
        <f aca="false">IF(AND($B136="D03",$C136="G0"),R135&amp;IF(R135="","",CHAR(10))&amp;$A136,R135)</f>
        <v/>
      </c>
      <c r="S136" s="0" t="str">
        <f aca="false">IF(AND($B136="D03",$C136="G1"),S135&amp;IF(S135="","",CHAR(10))&amp;$A136,S135)</f>
        <v>◐ 013 場址與醫院總體規劃</v>
      </c>
      <c r="T136" s="363" t="str">
        <f aca="false">IF(AND($B136="D03",$C136="G2"),T135&amp;IF(T135="","",CHAR(10))&amp;$A136,T135)</f>
        <v>◐ 014 醫療建築功能計畫
◐ 015 感染控制與潔污動線
◐ 019 綠色與氣候韌性醫院</v>
      </c>
      <c r="U136" s="363" t="str">
        <f aca="false">IF(AND($B136="D03",$C136="G3"),U135&amp;IF(U135="","",CHAR(10))&amp;$A136,U135)</f>
        <v>● 016 電力、備援與微電網
◐ 017 醫療氣體與關鍵公用系統
◐ 018 醫療廢棄物與水資源</v>
      </c>
      <c r="V136" s="0" t="str">
        <f aca="false">IF(AND($B136="D03",$C136="G4"),V135&amp;IF(V135="","",CHAR(10))&amp;$A136,V135)</f>
        <v/>
      </c>
      <c r="W136" s="0" t="str">
        <f aca="false">IF(AND($B136="D03",$C136="G5"),W135&amp;IF(W135="","",CHAR(10))&amp;$A136,W135)</f>
        <v/>
      </c>
      <c r="X136" s="0" t="str">
        <f aca="false">IF(AND($B136="D03",$C136="G6"),X135&amp;IF(X135="","",CHAR(10))&amp;$A136,X135)</f>
        <v/>
      </c>
      <c r="Y136" s="0" t="str">
        <f aca="false">IF(AND($B136="D04",$C136="G0"),Y135&amp;IF(Y135="","",CHAR(10))&amp;$A136,Y135)</f>
        <v/>
      </c>
      <c r="Z136" s="0" t="str">
        <f aca="false">IF(AND($B136="D04",$C136="G1"),Z135&amp;IF(Z135="","",CHAR(10))&amp;$A136,Z135)</f>
        <v/>
      </c>
      <c r="AA136" s="0" t="str">
        <f aca="false">IF(AND($B136="D04",$C136="G2"),AA135&amp;IF(AA135="","",CHAR(10))&amp;$A136,AA135)</f>
        <v/>
      </c>
      <c r="AB136" s="0" t="str">
        <f aca="false">IF(AND($B136="D04",$C136="G3"),AB135&amp;IF(AB135="","",CHAR(10))&amp;$A136,AB135)</f>
        <v>● 020 IDC與邊緣運算底座</v>
      </c>
      <c r="AC136" s="363" t="str">
        <f aca="false">IF(AND($B136="D04",$C136="G4"),AC135&amp;IF(AC135="","",CHAR(10))&amp;$A136,AC135)</f>
        <v>● 021 有線無線網路與分區
◐ 022 資安營運與零信任
● 023 BMS與能源管理
● 024 RTLS與資產／人員定位
● 025 智慧病房、護理呼叫與感測
● 026 災難復原與營運持續</v>
      </c>
      <c r="AD136" s="0" t="str">
        <f aca="false">IF(AND($B136="D04",$C136="G5"),AD135&amp;IF(AD135="","",CHAR(10))&amp;$A136,AD135)</f>
        <v/>
      </c>
      <c r="AE136" s="0" t="str">
        <f aca="false">IF(AND($B136="D04",$C136="G6"),AE135&amp;IF(AE135="","",CHAR(10))&amp;$A136,AE135)</f>
        <v/>
      </c>
      <c r="AF136" s="0" t="str">
        <f aca="false">IF(AND($B136="D05",$C136="G0"),AF135&amp;IF(AF135="","",CHAR(10))&amp;$A136,AF135)</f>
        <v/>
      </c>
      <c r="AG136" s="0" t="str">
        <f aca="false">IF(AND($B136="D05",$C136="G1"),AG135&amp;IF(AG135="","",CHAR(10))&amp;$A136,AG135)</f>
        <v/>
      </c>
      <c r="AH136" s="0" t="str">
        <f aca="false">IF(AND($B136="D05",$C136="G2"),AH135&amp;IF(AH135="","",CHAR(10))&amp;$A136,AH135)</f>
        <v>◐ 027 醫材需求與設備計畫</v>
      </c>
      <c r="AI136" s="0" t="str">
        <f aca="false">IF(AND($B136="D05",$C136="G3"),AI135&amp;IF(AI135="","",CHAR(10))&amp;$A136,AI135)</f>
        <v/>
      </c>
      <c r="AJ136" s="363" t="str">
        <f aca="false">IF(AND($B136="D05",$C136="G4"),AJ135&amp;IF(AJ135="","",CHAR(10))&amp;$A136,AJ135)</f>
        <v>○ 028 影像設備、PACS與報告流程
○ 029 實驗室自動化與LIS
○ 030 手術室與重症整合
◐ 031 醫材介接與裝置身分
◐ 032 醫療工程與設備生命週期</v>
      </c>
      <c r="AK136" s="0" t="str">
        <f aca="false">IF(AND($B136="D05",$C136="G5"),AK135&amp;IF(AK135="","",CHAR(10))&amp;$A136,AK135)</f>
        <v/>
      </c>
      <c r="AL136" s="0" t="str">
        <f aca="false">IF(AND($B136="D05",$C136="G6"),AL135&amp;IF(AL135="","",CHAR(10))&amp;$A136,AL135)</f>
        <v/>
      </c>
      <c r="AM136" s="0" t="str">
        <f aca="false">IF(AND($B136="D06",$C136="G0"),AM135&amp;IF(AM135="","",CHAR(10))&amp;$A136,AM135)</f>
        <v/>
      </c>
      <c r="AN136" s="0" t="str">
        <f aca="false">IF(AND($B136="D06",$C136="G1"),AN135&amp;IF(AN135="","",CHAR(10))&amp;$A136,AN135)</f>
        <v/>
      </c>
      <c r="AO136" s="0" t="str">
        <f aca="false">IF(AND($B136="D06",$C136="G2"),AO135&amp;IF(AO135="","",CHAR(10))&amp;$A136,AO135)</f>
        <v/>
      </c>
      <c r="AP136" s="363" t="str">
        <f aca="false">IF(AND($B136="D06",$C136="G3"),AP135&amp;IF(AP135="","",CHAR(10))&amp;$A136,AP135)</f>
        <v>◐ 033 HIS／EMR核心平台
◐ 036 臨床術語與主資料治理</v>
      </c>
      <c r="AQ136" s="363" t="str">
        <f aca="false">IF(AND($B136="D06",$C136="G4"),AQ135&amp;IF(AQ135="","",CHAR(10))&amp;$A136,AQ135)</f>
        <v>◐ 034 FHIR介接與API管理
○ 035 主病人索引與身分整合
◐ 037 電子醫囑、用藥與決策支援
◐ 038 資料平台、BI與營運指揮</v>
      </c>
      <c r="AR136" s="0" t="str">
        <f aca="false">IF(AND($B136="D06",$C136="G5"),AR135&amp;IF(AR135="","",CHAR(10))&amp;$A136,AR135)</f>
        <v>○ 039 病人入口、行動服務與VNeID準備</v>
      </c>
      <c r="AS136" s="0" t="str">
        <f aca="false">IF(AND($B136="D06",$C136="G6"),AS135&amp;IF(AS135="","",CHAR(10))&amp;$A136,AS135)</f>
        <v/>
      </c>
      <c r="AT136" s="0" t="str">
        <f aca="false">IF(AND($B136="D07",$C136="G0"),AT135&amp;IF(AT135="","",CHAR(10))&amp;$A136,AT135)</f>
        <v/>
      </c>
      <c r="AU136" s="0" t="str">
        <f aca="false">IF(AND($B136="D07",$C136="G1"),AU135&amp;IF(AU135="","",CHAR(10))&amp;$A136,AU135)</f>
        <v/>
      </c>
      <c r="AV136" s="0" t="str">
        <f aca="false">IF(AND($B136="D07",$C136="G2"),AV135&amp;IF(AV135="","",CHAR(10))&amp;$A136,AV135)</f>
        <v>◐ 040 品質管理與JCI路線圖</v>
      </c>
      <c r="AW136" s="363" t="str">
        <f aca="false">IF(AND($B136="D07",$C136="G3"),AW135&amp;IF(AW135="","",CHAR(10))&amp;$A136,AW135)</f>
        <v>◐ 041 感染預防與控制制度
◐ 043 事件通報與根因改善</v>
      </c>
      <c r="AX136" s="0" t="str">
        <f aca="false">IF(AND($B136="D07",$C136="G4"),AX135&amp;IF(AX135="","",CHAR(10))&amp;$A136,AX135)</f>
        <v>◐ 042 用藥安全閉環</v>
      </c>
      <c r="AY136" s="0" t="str">
        <f aca="false">IF(AND($B136="D07",$C136="G5"),AY135&amp;IF(AY135="","",CHAR(10))&amp;$A136,AY135)</f>
        <v>◐ 044 開院臨床安全驗證</v>
      </c>
      <c r="AZ136" s="0" t="str">
        <f aca="false">IF(AND($B136="D07",$C136="G6"),AZ135&amp;IF(AZ135="","",CHAR(10))&amp;$A136,AZ135)</f>
        <v/>
      </c>
      <c r="BA136" s="0" t="str">
        <f aca="false">IF(AND($B136="D08",$C136="G0"),BA135&amp;IF(BA135="","",CHAR(10))&amp;$A136,BA135)</f>
        <v/>
      </c>
      <c r="BB136" s="0" t="str">
        <f aca="false">IF(AND($B136="D08",$C136="G1"),BB135&amp;IF(BB135="","",CHAR(10))&amp;$A136,BB135)</f>
        <v/>
      </c>
      <c r="BC136" s="0" t="str">
        <f aca="false">IF(AND($B136="D08",$C136="G2"),BC135&amp;IF(BC135="","",CHAR(10))&amp;$A136,BC135)</f>
        <v>○ 045 人力與輪班模型</v>
      </c>
      <c r="BD136" s="0" t="str">
        <f aca="false">IF(AND($B136="D08",$C136="G3"),BD135&amp;IF(BD135="","",CHAR(10))&amp;$A136,BD135)</f>
        <v>◐ 046 職能矩陣與授權</v>
      </c>
      <c r="BE136" s="363" t="str">
        <f aca="false">IF(AND($B136="D08",$C136="G4"),BE135&amp;IF(BE135="","",CHAR(10))&amp;$A136,BE135)</f>
        <v>◐ 047 種子教師與技術移轉
◐ 049 變革管理與使用者採納</v>
      </c>
      <c r="BF136" s="0" t="str">
        <f aca="false">IF(AND($B136="D08",$C136="G5"),BF135&amp;IF(BF135="","",CHAR(10))&amp;$A136,BF135)</f>
        <v>◐ 048 模擬中心與開院演練</v>
      </c>
      <c r="BG136" s="0" t="str">
        <f aca="false">IF(AND($B136="D08",$C136="G6"),BG135&amp;IF(BG135="","",CHAR(10))&amp;$A136,BG135)</f>
        <v/>
      </c>
      <c r="BH136" s="0" t="str">
        <f aca="false">IF(AND($B136="D09",$C136="G0"),BH135&amp;IF(BH135="","",CHAR(10))&amp;$A136,BH135)</f>
        <v/>
      </c>
      <c r="BI136" s="0" t="str">
        <f aca="false">IF(AND($B136="D09",$C136="G1"),BI135&amp;IF(BI135="","",CHAR(10))&amp;$A136,BI135)</f>
        <v/>
      </c>
      <c r="BJ136" s="0" t="str">
        <f aca="false">IF(AND($B136="D09",$C136="G2"),BJ135&amp;IF(BJ135="","",CHAR(10))&amp;$A136,BJ135)</f>
        <v>◐ 050 整合採購與供應商治理</v>
      </c>
      <c r="BK136" s="0" t="str">
        <f aca="false">IF(AND($B136="D09",$C136="G3"),BK135&amp;IF(BK135="","",CHAR(10))&amp;$A136,BK135)</f>
        <v/>
      </c>
      <c r="BL136" s="363" t="str">
        <f aca="false">IF(AND($B136="D09",$C136="G4"),BL135&amp;IF(BL135="","",CHAR(10))&amp;$A136,BL135)</f>
        <v>◐ 051 藥品耗材與SPD物流
◐ 052 冷鏈與特殊物料
● 053 CMMS與設施維運</v>
      </c>
      <c r="BM136" s="0" t="str">
        <f aca="false">IF(AND($B136="D09",$C136="G5"),BM135&amp;IF(BM135="","",CHAR(10))&amp;$A136,BM135)</f>
        <v>◐ 054 在地備品、維修與汰換</v>
      </c>
      <c r="BN136" s="0" t="str">
        <f aca="false">IF(AND($B136="D09",$C136="G6"),BN135&amp;IF(BN135="","",CHAR(10))&amp;$A136,BN135)</f>
        <v/>
      </c>
      <c r="BO136" s="0" t="str">
        <f aca="false">IF(AND($B136="D10",$C136="G0"),BO135&amp;IF(BO135="","",CHAR(10))&amp;$A136,BO135)</f>
        <v/>
      </c>
      <c r="BP136" s="0" t="str">
        <f aca="false">IF(AND($B136="D10",$C136="G1"),BP135&amp;IF(BP135="","",CHAR(10))&amp;$A136,BP135)</f>
        <v>◐ 055 全生命週期成本模型</v>
      </c>
      <c r="BQ136" s="0" t="str">
        <f aca="false">IF(AND($B136="D10",$C136="G2"),BQ135&amp;IF(BQ135="","",CHAR(10))&amp;$A136,BQ135)</f>
        <v>◐ 059 PPP／JV財務與風險分配</v>
      </c>
      <c r="BR136" s="0" t="str">
        <f aca="false">IF(AND($B136="D10",$C136="G3"),BR135&amp;IF(BR135="","",CHAR(10))&amp;$A136,BR135)</f>
        <v/>
      </c>
      <c r="BS136" s="363" t="str">
        <f aca="false">IF(AND($B136="D10",$C136="G4"),BS135&amp;IF(BS135="","",CHAR(10))&amp;$A136,BS135)</f>
        <v>○ 056 健保申報與數位理賠
○ 057 現金流、支付與收入週期</v>
      </c>
      <c r="BT136" s="0" t="str">
        <f aca="false">IF(AND($B136="D10",$C136="G5"),BT135&amp;IF(BT135="","",CHAR(10))&amp;$A136,BT135)</f>
        <v>○ 058 國際醫療與高價值服務</v>
      </c>
      <c r="BU136" s="0" t="str">
        <f aca="false">IF(AND($B136="D10",$C136="G6"),BU135&amp;IF(BU135="","",CHAR(10))&amp;$A136,BU135)</f>
        <v>◐ 060 效益實現與複製藍圖</v>
      </c>
      <c r="BX136" s="0" t="str">
        <f aca="false">IF(AND(03_能力總表_Master!$A136&lt;&gt;"",LEFT(03_能力總表_Master!$H136,2)="缺口"),MAX($BX$4:BX135)+1,"")</f>
        <v/>
      </c>
      <c r="BY136" s="0" t="str">
        <f aca="false">IF(AND(03_能力總表_Master!$A136&lt;&gt;"",03_能力總表_Master!$J136=12_夥伴視角_PartnerView!$C$4),MAX($BY$4:BY135)+1,"")</f>
        <v/>
      </c>
      <c r="CC136" s="0" t="str">
        <f aca="false">IF(AND(03_能力總表_Master!$A136&lt;&gt;"",IFERROR(INDEX(16_能力商機矩陣_CapOppMap!$D136:$CO136,MATCH(LEFT(17_商機作戰卡_OppView!$C$4,6),16_能力商機矩陣_CapOppMap!$D$4:$CO$4,0)),"")="✓"),MAX($CC$4:CC135)+1,"")</f>
        <v/>
      </c>
    </row>
    <row r="137" customFormat="false" ht="95.5" hidden="false" customHeight="false" outlineLevel="0" collapsed="false">
      <c r="A137" s="0" t="str">
        <f aca="false">IF(03_能力總表_Master!$A137="","",IF(LEFT(03_能力總表_Master!$H137,2)="群晶","● ",IF(ISNUMBER(SEARCH("已確認",03_能力總表_Master!$H137)),"◆ ",IF(ISNUMBER(SEARCH("缺口",03_能力總表_Master!$H137)),"○ ","◐ ")))&amp;RIGHT(03_能力總表_Master!$A137,3)&amp;" "&amp;03_能力總表_Master!$E137)</f>
        <v/>
      </c>
      <c r="B137" s="0" t="str">
        <f aca="false">IF(03_能力總表_Master!$A137="","",LEFT(03_能力總表_Master!$B137,3))</f>
        <v/>
      </c>
      <c r="C137" s="0" t="str">
        <f aca="false">IF(03_能力總表_Master!$A137="","",03_能力總表_Master!$C137)</f>
        <v/>
      </c>
      <c r="D137" s="363" t="str">
        <f aca="false">IF(AND($B137="D01",$C137="G0"),D136&amp;IF(D136="","",CHAR(10))&amp;$A137,D136)</f>
        <v>◐ 001 政府授權與計畫章程
◐ 002 利害關係人與權力地圖
◐ 005 聯盟治理與利益衝突</v>
      </c>
      <c r="E137" s="363" t="str">
        <f aca="false">IF(AND($B137="D01",$C137="G1"),E136&amp;IF(E136="","",CHAR(10))&amp;$A137,E136)</f>
        <v>◐ 003 交易模式選擇
◐ 004 法規與執照路徑</v>
      </c>
      <c r="F137" s="0" t="str">
        <f aca="false">IF(AND($B137="D01",$C137="G2"),F136&amp;IF(F136="","",CHAR(10))&amp;$A137,F136)</f>
        <v>◐ 006 績效契約與變更控制</v>
      </c>
      <c r="G137" s="0" t="str">
        <f aca="false">IF(AND($B137="D01",$C137="G3"),G136&amp;IF(G136="","",CHAR(10))&amp;$A137,G136)</f>
        <v/>
      </c>
      <c r="H137" s="0" t="str">
        <f aca="false">IF(AND($B137="D01",$C137="G4"),H136&amp;IF(H136="","",CHAR(10))&amp;$A137,H136)</f>
        <v/>
      </c>
      <c r="I137" s="0" t="str">
        <f aca="false">IF(AND($B137="D01",$C137="G5"),I136&amp;IF(I136="","",CHAR(10))&amp;$A137,I136)</f>
        <v/>
      </c>
      <c r="J137" s="0" t="str">
        <f aca="false">IF(AND($B137="D01",$C137="G6"),J136&amp;IF(J136="","",CHAR(10))&amp;$A137,J136)</f>
        <v/>
      </c>
      <c r="K137" s="0" t="str">
        <f aca="false">IF(AND($B137="D02",$C137="G0"),K136&amp;IF(K136="","",CHAR(10))&amp;$A137,K136)</f>
        <v/>
      </c>
      <c r="L137" s="363" t="str">
        <f aca="false">IF(AND($B137="D02",$C137="G1"),L136&amp;IF(L136="","",CHAR(10))&amp;$A137,L136)</f>
        <v>◐ 007 人口需求與病例量預測
◐ 008 醫院定位與服務組合
◐ 009 重點專科優先化
◐ 010 病人流程與容量設計
◐ 011 轉診與區域照護網絡
◐ 012 臨床治理與責任架構</v>
      </c>
      <c r="M137" s="0" t="str">
        <f aca="false">IF(AND($B137="D02",$C137="G2"),M136&amp;IF(M136="","",CHAR(10))&amp;$A137,M136)</f>
        <v/>
      </c>
      <c r="N137" s="0" t="str">
        <f aca="false">IF(AND($B137="D02",$C137="G3"),N136&amp;IF(N136="","",CHAR(10))&amp;$A137,N136)</f>
        <v/>
      </c>
      <c r="O137" s="0" t="str">
        <f aca="false">IF(AND($B137="D02",$C137="G4"),O136&amp;IF(O136="","",CHAR(10))&amp;$A137,O136)</f>
        <v/>
      </c>
      <c r="P137" s="0" t="str">
        <f aca="false">IF(AND($B137="D02",$C137="G5"),P136&amp;IF(P136="","",CHAR(10))&amp;$A137,P136)</f>
        <v/>
      </c>
      <c r="Q137" s="0" t="str">
        <f aca="false">IF(AND($B137="D02",$C137="G6"),Q136&amp;IF(Q136="","",CHAR(10))&amp;$A137,Q136)</f>
        <v/>
      </c>
      <c r="R137" s="0" t="str">
        <f aca="false">IF(AND($B137="D03",$C137="G0"),R136&amp;IF(R136="","",CHAR(10))&amp;$A137,R136)</f>
        <v/>
      </c>
      <c r="S137" s="0" t="str">
        <f aca="false">IF(AND($B137="D03",$C137="G1"),S136&amp;IF(S136="","",CHAR(10))&amp;$A137,S136)</f>
        <v>◐ 013 場址與醫院總體規劃</v>
      </c>
      <c r="T137" s="363" t="str">
        <f aca="false">IF(AND($B137="D03",$C137="G2"),T136&amp;IF(T136="","",CHAR(10))&amp;$A137,T136)</f>
        <v>◐ 014 醫療建築功能計畫
◐ 015 感染控制與潔污動線
◐ 019 綠色與氣候韌性醫院</v>
      </c>
      <c r="U137" s="363" t="str">
        <f aca="false">IF(AND($B137="D03",$C137="G3"),U136&amp;IF(U136="","",CHAR(10))&amp;$A137,U136)</f>
        <v>● 016 電力、備援與微電網
◐ 017 醫療氣體與關鍵公用系統
◐ 018 醫療廢棄物與水資源</v>
      </c>
      <c r="V137" s="0" t="str">
        <f aca="false">IF(AND($B137="D03",$C137="G4"),V136&amp;IF(V136="","",CHAR(10))&amp;$A137,V136)</f>
        <v/>
      </c>
      <c r="W137" s="0" t="str">
        <f aca="false">IF(AND($B137="D03",$C137="G5"),W136&amp;IF(W136="","",CHAR(10))&amp;$A137,W136)</f>
        <v/>
      </c>
      <c r="X137" s="0" t="str">
        <f aca="false">IF(AND($B137="D03",$C137="G6"),X136&amp;IF(X136="","",CHAR(10))&amp;$A137,X136)</f>
        <v/>
      </c>
      <c r="Y137" s="0" t="str">
        <f aca="false">IF(AND($B137="D04",$C137="G0"),Y136&amp;IF(Y136="","",CHAR(10))&amp;$A137,Y136)</f>
        <v/>
      </c>
      <c r="Z137" s="0" t="str">
        <f aca="false">IF(AND($B137="D04",$C137="G1"),Z136&amp;IF(Z136="","",CHAR(10))&amp;$A137,Z136)</f>
        <v/>
      </c>
      <c r="AA137" s="0" t="str">
        <f aca="false">IF(AND($B137="D04",$C137="G2"),AA136&amp;IF(AA136="","",CHAR(10))&amp;$A137,AA136)</f>
        <v/>
      </c>
      <c r="AB137" s="0" t="str">
        <f aca="false">IF(AND($B137="D04",$C137="G3"),AB136&amp;IF(AB136="","",CHAR(10))&amp;$A137,AB136)</f>
        <v>● 020 IDC與邊緣運算底座</v>
      </c>
      <c r="AC137" s="363" t="str">
        <f aca="false">IF(AND($B137="D04",$C137="G4"),AC136&amp;IF(AC136="","",CHAR(10))&amp;$A137,AC136)</f>
        <v>● 021 有線無線網路與分區
◐ 022 資安營運與零信任
● 023 BMS與能源管理
● 024 RTLS與資產／人員定位
● 025 智慧病房、護理呼叫與感測
● 026 災難復原與營運持續</v>
      </c>
      <c r="AD137" s="0" t="str">
        <f aca="false">IF(AND($B137="D04",$C137="G5"),AD136&amp;IF(AD136="","",CHAR(10))&amp;$A137,AD136)</f>
        <v/>
      </c>
      <c r="AE137" s="0" t="str">
        <f aca="false">IF(AND($B137="D04",$C137="G6"),AE136&amp;IF(AE136="","",CHAR(10))&amp;$A137,AE136)</f>
        <v/>
      </c>
      <c r="AF137" s="0" t="str">
        <f aca="false">IF(AND($B137="D05",$C137="G0"),AF136&amp;IF(AF136="","",CHAR(10))&amp;$A137,AF136)</f>
        <v/>
      </c>
      <c r="AG137" s="0" t="str">
        <f aca="false">IF(AND($B137="D05",$C137="G1"),AG136&amp;IF(AG136="","",CHAR(10))&amp;$A137,AG136)</f>
        <v/>
      </c>
      <c r="AH137" s="0" t="str">
        <f aca="false">IF(AND($B137="D05",$C137="G2"),AH136&amp;IF(AH136="","",CHAR(10))&amp;$A137,AH136)</f>
        <v>◐ 027 醫材需求與設備計畫</v>
      </c>
      <c r="AI137" s="0" t="str">
        <f aca="false">IF(AND($B137="D05",$C137="G3"),AI136&amp;IF(AI136="","",CHAR(10))&amp;$A137,AI136)</f>
        <v/>
      </c>
      <c r="AJ137" s="363" t="str">
        <f aca="false">IF(AND($B137="D05",$C137="G4"),AJ136&amp;IF(AJ136="","",CHAR(10))&amp;$A137,AJ136)</f>
        <v>○ 028 影像設備、PACS與報告流程
○ 029 實驗室自動化與LIS
○ 030 手術室與重症整合
◐ 031 醫材介接與裝置身分
◐ 032 醫療工程與設備生命週期</v>
      </c>
      <c r="AK137" s="0" t="str">
        <f aca="false">IF(AND($B137="D05",$C137="G5"),AK136&amp;IF(AK136="","",CHAR(10))&amp;$A137,AK136)</f>
        <v/>
      </c>
      <c r="AL137" s="0" t="str">
        <f aca="false">IF(AND($B137="D05",$C137="G6"),AL136&amp;IF(AL136="","",CHAR(10))&amp;$A137,AL136)</f>
        <v/>
      </c>
      <c r="AM137" s="0" t="str">
        <f aca="false">IF(AND($B137="D06",$C137="G0"),AM136&amp;IF(AM136="","",CHAR(10))&amp;$A137,AM136)</f>
        <v/>
      </c>
      <c r="AN137" s="0" t="str">
        <f aca="false">IF(AND($B137="D06",$C137="G1"),AN136&amp;IF(AN136="","",CHAR(10))&amp;$A137,AN136)</f>
        <v/>
      </c>
      <c r="AO137" s="0" t="str">
        <f aca="false">IF(AND($B137="D06",$C137="G2"),AO136&amp;IF(AO136="","",CHAR(10))&amp;$A137,AO136)</f>
        <v/>
      </c>
      <c r="AP137" s="363" t="str">
        <f aca="false">IF(AND($B137="D06",$C137="G3"),AP136&amp;IF(AP136="","",CHAR(10))&amp;$A137,AP136)</f>
        <v>◐ 033 HIS／EMR核心平台
◐ 036 臨床術語與主資料治理</v>
      </c>
      <c r="AQ137" s="363" t="str">
        <f aca="false">IF(AND($B137="D06",$C137="G4"),AQ136&amp;IF(AQ136="","",CHAR(10))&amp;$A137,AQ136)</f>
        <v>◐ 034 FHIR介接與API管理
○ 035 主病人索引與身分整合
◐ 037 電子醫囑、用藥與決策支援
◐ 038 資料平台、BI與營運指揮</v>
      </c>
      <c r="AR137" s="0" t="str">
        <f aca="false">IF(AND($B137="D06",$C137="G5"),AR136&amp;IF(AR136="","",CHAR(10))&amp;$A137,AR136)</f>
        <v>○ 039 病人入口、行動服務與VNeID準備</v>
      </c>
      <c r="AS137" s="0" t="str">
        <f aca="false">IF(AND($B137="D06",$C137="G6"),AS136&amp;IF(AS136="","",CHAR(10))&amp;$A137,AS136)</f>
        <v/>
      </c>
      <c r="AT137" s="0" t="str">
        <f aca="false">IF(AND($B137="D07",$C137="G0"),AT136&amp;IF(AT136="","",CHAR(10))&amp;$A137,AT136)</f>
        <v/>
      </c>
      <c r="AU137" s="0" t="str">
        <f aca="false">IF(AND($B137="D07",$C137="G1"),AU136&amp;IF(AU136="","",CHAR(10))&amp;$A137,AU136)</f>
        <v/>
      </c>
      <c r="AV137" s="0" t="str">
        <f aca="false">IF(AND($B137="D07",$C137="G2"),AV136&amp;IF(AV136="","",CHAR(10))&amp;$A137,AV136)</f>
        <v>◐ 040 品質管理與JCI路線圖</v>
      </c>
      <c r="AW137" s="363" t="str">
        <f aca="false">IF(AND($B137="D07",$C137="G3"),AW136&amp;IF(AW136="","",CHAR(10))&amp;$A137,AW136)</f>
        <v>◐ 041 感染預防與控制制度
◐ 043 事件通報與根因改善</v>
      </c>
      <c r="AX137" s="0" t="str">
        <f aca="false">IF(AND($B137="D07",$C137="G4"),AX136&amp;IF(AX136="","",CHAR(10))&amp;$A137,AX136)</f>
        <v>◐ 042 用藥安全閉環</v>
      </c>
      <c r="AY137" s="0" t="str">
        <f aca="false">IF(AND($B137="D07",$C137="G5"),AY136&amp;IF(AY136="","",CHAR(10))&amp;$A137,AY136)</f>
        <v>◐ 044 開院臨床安全驗證</v>
      </c>
      <c r="AZ137" s="0" t="str">
        <f aca="false">IF(AND($B137="D07",$C137="G6"),AZ136&amp;IF(AZ136="","",CHAR(10))&amp;$A137,AZ136)</f>
        <v/>
      </c>
      <c r="BA137" s="0" t="str">
        <f aca="false">IF(AND($B137="D08",$C137="G0"),BA136&amp;IF(BA136="","",CHAR(10))&amp;$A137,BA136)</f>
        <v/>
      </c>
      <c r="BB137" s="0" t="str">
        <f aca="false">IF(AND($B137="D08",$C137="G1"),BB136&amp;IF(BB136="","",CHAR(10))&amp;$A137,BB136)</f>
        <v/>
      </c>
      <c r="BC137" s="0" t="str">
        <f aca="false">IF(AND($B137="D08",$C137="G2"),BC136&amp;IF(BC136="","",CHAR(10))&amp;$A137,BC136)</f>
        <v>○ 045 人力與輪班模型</v>
      </c>
      <c r="BD137" s="0" t="str">
        <f aca="false">IF(AND($B137="D08",$C137="G3"),BD136&amp;IF(BD136="","",CHAR(10))&amp;$A137,BD136)</f>
        <v>◐ 046 職能矩陣與授權</v>
      </c>
      <c r="BE137" s="363" t="str">
        <f aca="false">IF(AND($B137="D08",$C137="G4"),BE136&amp;IF(BE136="","",CHAR(10))&amp;$A137,BE136)</f>
        <v>◐ 047 種子教師與技術移轉
◐ 049 變革管理與使用者採納</v>
      </c>
      <c r="BF137" s="0" t="str">
        <f aca="false">IF(AND($B137="D08",$C137="G5"),BF136&amp;IF(BF136="","",CHAR(10))&amp;$A137,BF136)</f>
        <v>◐ 048 模擬中心與開院演練</v>
      </c>
      <c r="BG137" s="0" t="str">
        <f aca="false">IF(AND($B137="D08",$C137="G6"),BG136&amp;IF(BG136="","",CHAR(10))&amp;$A137,BG136)</f>
        <v/>
      </c>
      <c r="BH137" s="0" t="str">
        <f aca="false">IF(AND($B137="D09",$C137="G0"),BH136&amp;IF(BH136="","",CHAR(10))&amp;$A137,BH136)</f>
        <v/>
      </c>
      <c r="BI137" s="0" t="str">
        <f aca="false">IF(AND($B137="D09",$C137="G1"),BI136&amp;IF(BI136="","",CHAR(10))&amp;$A137,BI136)</f>
        <v/>
      </c>
      <c r="BJ137" s="0" t="str">
        <f aca="false">IF(AND($B137="D09",$C137="G2"),BJ136&amp;IF(BJ136="","",CHAR(10))&amp;$A137,BJ136)</f>
        <v>◐ 050 整合採購與供應商治理</v>
      </c>
      <c r="BK137" s="0" t="str">
        <f aca="false">IF(AND($B137="D09",$C137="G3"),BK136&amp;IF(BK136="","",CHAR(10))&amp;$A137,BK136)</f>
        <v/>
      </c>
      <c r="BL137" s="363" t="str">
        <f aca="false">IF(AND($B137="D09",$C137="G4"),BL136&amp;IF(BL136="","",CHAR(10))&amp;$A137,BL136)</f>
        <v>◐ 051 藥品耗材與SPD物流
◐ 052 冷鏈與特殊物料
● 053 CMMS與設施維運</v>
      </c>
      <c r="BM137" s="0" t="str">
        <f aca="false">IF(AND($B137="D09",$C137="G5"),BM136&amp;IF(BM136="","",CHAR(10))&amp;$A137,BM136)</f>
        <v>◐ 054 在地備品、維修與汰換</v>
      </c>
      <c r="BN137" s="0" t="str">
        <f aca="false">IF(AND($B137="D09",$C137="G6"),BN136&amp;IF(BN136="","",CHAR(10))&amp;$A137,BN136)</f>
        <v/>
      </c>
      <c r="BO137" s="0" t="str">
        <f aca="false">IF(AND($B137="D10",$C137="G0"),BO136&amp;IF(BO136="","",CHAR(10))&amp;$A137,BO136)</f>
        <v/>
      </c>
      <c r="BP137" s="0" t="str">
        <f aca="false">IF(AND($B137="D10",$C137="G1"),BP136&amp;IF(BP136="","",CHAR(10))&amp;$A137,BP136)</f>
        <v>◐ 055 全生命週期成本模型</v>
      </c>
      <c r="BQ137" s="0" t="str">
        <f aca="false">IF(AND($B137="D10",$C137="G2"),BQ136&amp;IF(BQ136="","",CHAR(10))&amp;$A137,BQ136)</f>
        <v>◐ 059 PPP／JV財務與風險分配</v>
      </c>
      <c r="BR137" s="0" t="str">
        <f aca="false">IF(AND($B137="D10",$C137="G3"),BR136&amp;IF(BR136="","",CHAR(10))&amp;$A137,BR136)</f>
        <v/>
      </c>
      <c r="BS137" s="363" t="str">
        <f aca="false">IF(AND($B137="D10",$C137="G4"),BS136&amp;IF(BS136="","",CHAR(10))&amp;$A137,BS136)</f>
        <v>○ 056 健保申報與數位理賠
○ 057 現金流、支付與收入週期</v>
      </c>
      <c r="BT137" s="0" t="str">
        <f aca="false">IF(AND($B137="D10",$C137="G5"),BT136&amp;IF(BT136="","",CHAR(10))&amp;$A137,BT136)</f>
        <v>○ 058 國際醫療與高價值服務</v>
      </c>
      <c r="BU137" s="0" t="str">
        <f aca="false">IF(AND($B137="D10",$C137="G6"),BU136&amp;IF(BU136="","",CHAR(10))&amp;$A137,BU136)</f>
        <v>◐ 060 效益實現與複製藍圖</v>
      </c>
      <c r="BX137" s="0" t="str">
        <f aca="false">IF(AND(03_能力總表_Master!$A137&lt;&gt;"",LEFT(03_能力總表_Master!$H137,2)="缺口"),MAX($BX$4:BX136)+1,"")</f>
        <v/>
      </c>
      <c r="BY137" s="0" t="str">
        <f aca="false">IF(AND(03_能力總表_Master!$A137&lt;&gt;"",03_能力總表_Master!$J137=12_夥伴視角_PartnerView!$C$4),MAX($BY$4:BY136)+1,"")</f>
        <v/>
      </c>
      <c r="CC137" s="0" t="str">
        <f aca="false">IF(AND(03_能力總表_Master!$A137&lt;&gt;"",IFERROR(INDEX(16_能力商機矩陣_CapOppMap!$D137:$CO137,MATCH(LEFT(17_商機作戰卡_OppView!$C$4,6),16_能力商機矩陣_CapOppMap!$D$4:$CO$4,0)),"")="✓"),MAX($CC$4:CC136)+1,"")</f>
        <v/>
      </c>
    </row>
    <row r="138" customFormat="false" ht="95.5" hidden="false" customHeight="false" outlineLevel="0" collapsed="false">
      <c r="A138" s="0" t="str">
        <f aca="false">IF(03_能力總表_Master!$A138="","",IF(LEFT(03_能力總表_Master!$H138,2)="群晶","● ",IF(ISNUMBER(SEARCH("已確認",03_能力總表_Master!$H138)),"◆ ",IF(ISNUMBER(SEARCH("缺口",03_能力總表_Master!$H138)),"○ ","◐ ")))&amp;RIGHT(03_能力總表_Master!$A138,3)&amp;" "&amp;03_能力總表_Master!$E138)</f>
        <v/>
      </c>
      <c r="B138" s="0" t="str">
        <f aca="false">IF(03_能力總表_Master!$A138="","",LEFT(03_能力總表_Master!$B138,3))</f>
        <v/>
      </c>
      <c r="C138" s="0" t="str">
        <f aca="false">IF(03_能力總表_Master!$A138="","",03_能力總表_Master!$C138)</f>
        <v/>
      </c>
      <c r="D138" s="363" t="str">
        <f aca="false">IF(AND($B138="D01",$C138="G0"),D137&amp;IF(D137="","",CHAR(10))&amp;$A138,D137)</f>
        <v>◐ 001 政府授權與計畫章程
◐ 002 利害關係人與權力地圖
◐ 005 聯盟治理與利益衝突</v>
      </c>
      <c r="E138" s="363" t="str">
        <f aca="false">IF(AND($B138="D01",$C138="G1"),E137&amp;IF(E137="","",CHAR(10))&amp;$A138,E137)</f>
        <v>◐ 003 交易模式選擇
◐ 004 法規與執照路徑</v>
      </c>
      <c r="F138" s="0" t="str">
        <f aca="false">IF(AND($B138="D01",$C138="G2"),F137&amp;IF(F137="","",CHAR(10))&amp;$A138,F137)</f>
        <v>◐ 006 績效契約與變更控制</v>
      </c>
      <c r="G138" s="0" t="str">
        <f aca="false">IF(AND($B138="D01",$C138="G3"),G137&amp;IF(G137="","",CHAR(10))&amp;$A138,G137)</f>
        <v/>
      </c>
      <c r="H138" s="0" t="str">
        <f aca="false">IF(AND($B138="D01",$C138="G4"),H137&amp;IF(H137="","",CHAR(10))&amp;$A138,H137)</f>
        <v/>
      </c>
      <c r="I138" s="0" t="str">
        <f aca="false">IF(AND($B138="D01",$C138="G5"),I137&amp;IF(I137="","",CHAR(10))&amp;$A138,I137)</f>
        <v/>
      </c>
      <c r="J138" s="0" t="str">
        <f aca="false">IF(AND($B138="D01",$C138="G6"),J137&amp;IF(J137="","",CHAR(10))&amp;$A138,J137)</f>
        <v/>
      </c>
      <c r="K138" s="0" t="str">
        <f aca="false">IF(AND($B138="D02",$C138="G0"),K137&amp;IF(K137="","",CHAR(10))&amp;$A138,K137)</f>
        <v/>
      </c>
      <c r="L138" s="363" t="str">
        <f aca="false">IF(AND($B138="D02",$C138="G1"),L137&amp;IF(L137="","",CHAR(10))&amp;$A138,L137)</f>
        <v>◐ 007 人口需求與病例量預測
◐ 008 醫院定位與服務組合
◐ 009 重點專科優先化
◐ 010 病人流程與容量設計
◐ 011 轉診與區域照護網絡
◐ 012 臨床治理與責任架構</v>
      </c>
      <c r="M138" s="0" t="str">
        <f aca="false">IF(AND($B138="D02",$C138="G2"),M137&amp;IF(M137="","",CHAR(10))&amp;$A138,M137)</f>
        <v/>
      </c>
      <c r="N138" s="0" t="str">
        <f aca="false">IF(AND($B138="D02",$C138="G3"),N137&amp;IF(N137="","",CHAR(10))&amp;$A138,N137)</f>
        <v/>
      </c>
      <c r="O138" s="0" t="str">
        <f aca="false">IF(AND($B138="D02",$C138="G4"),O137&amp;IF(O137="","",CHAR(10))&amp;$A138,O137)</f>
        <v/>
      </c>
      <c r="P138" s="0" t="str">
        <f aca="false">IF(AND($B138="D02",$C138="G5"),P137&amp;IF(P137="","",CHAR(10))&amp;$A138,P137)</f>
        <v/>
      </c>
      <c r="Q138" s="0" t="str">
        <f aca="false">IF(AND($B138="D02",$C138="G6"),Q137&amp;IF(Q137="","",CHAR(10))&amp;$A138,Q137)</f>
        <v/>
      </c>
      <c r="R138" s="0" t="str">
        <f aca="false">IF(AND($B138="D03",$C138="G0"),R137&amp;IF(R137="","",CHAR(10))&amp;$A138,R137)</f>
        <v/>
      </c>
      <c r="S138" s="0" t="str">
        <f aca="false">IF(AND($B138="D03",$C138="G1"),S137&amp;IF(S137="","",CHAR(10))&amp;$A138,S137)</f>
        <v>◐ 013 場址與醫院總體規劃</v>
      </c>
      <c r="T138" s="363" t="str">
        <f aca="false">IF(AND($B138="D03",$C138="G2"),T137&amp;IF(T137="","",CHAR(10))&amp;$A138,T137)</f>
        <v>◐ 014 醫療建築功能計畫
◐ 015 感染控制與潔污動線
◐ 019 綠色與氣候韌性醫院</v>
      </c>
      <c r="U138" s="363" t="str">
        <f aca="false">IF(AND($B138="D03",$C138="G3"),U137&amp;IF(U137="","",CHAR(10))&amp;$A138,U137)</f>
        <v>● 016 電力、備援與微電網
◐ 017 醫療氣體與關鍵公用系統
◐ 018 醫療廢棄物與水資源</v>
      </c>
      <c r="V138" s="0" t="str">
        <f aca="false">IF(AND($B138="D03",$C138="G4"),V137&amp;IF(V137="","",CHAR(10))&amp;$A138,V137)</f>
        <v/>
      </c>
      <c r="W138" s="0" t="str">
        <f aca="false">IF(AND($B138="D03",$C138="G5"),W137&amp;IF(W137="","",CHAR(10))&amp;$A138,W137)</f>
        <v/>
      </c>
      <c r="X138" s="0" t="str">
        <f aca="false">IF(AND($B138="D03",$C138="G6"),X137&amp;IF(X137="","",CHAR(10))&amp;$A138,X137)</f>
        <v/>
      </c>
      <c r="Y138" s="0" t="str">
        <f aca="false">IF(AND($B138="D04",$C138="G0"),Y137&amp;IF(Y137="","",CHAR(10))&amp;$A138,Y137)</f>
        <v/>
      </c>
      <c r="Z138" s="0" t="str">
        <f aca="false">IF(AND($B138="D04",$C138="G1"),Z137&amp;IF(Z137="","",CHAR(10))&amp;$A138,Z137)</f>
        <v/>
      </c>
      <c r="AA138" s="0" t="str">
        <f aca="false">IF(AND($B138="D04",$C138="G2"),AA137&amp;IF(AA137="","",CHAR(10))&amp;$A138,AA137)</f>
        <v/>
      </c>
      <c r="AB138" s="0" t="str">
        <f aca="false">IF(AND($B138="D04",$C138="G3"),AB137&amp;IF(AB137="","",CHAR(10))&amp;$A138,AB137)</f>
        <v>● 020 IDC與邊緣運算底座</v>
      </c>
      <c r="AC138" s="363" t="str">
        <f aca="false">IF(AND($B138="D04",$C138="G4"),AC137&amp;IF(AC137="","",CHAR(10))&amp;$A138,AC137)</f>
        <v>● 021 有線無線網路與分區
◐ 022 資安營運與零信任
● 023 BMS與能源管理
● 024 RTLS與資產／人員定位
● 025 智慧病房、護理呼叫與感測
● 026 災難復原與營運持續</v>
      </c>
      <c r="AD138" s="0" t="str">
        <f aca="false">IF(AND($B138="D04",$C138="G5"),AD137&amp;IF(AD137="","",CHAR(10))&amp;$A138,AD137)</f>
        <v/>
      </c>
      <c r="AE138" s="0" t="str">
        <f aca="false">IF(AND($B138="D04",$C138="G6"),AE137&amp;IF(AE137="","",CHAR(10))&amp;$A138,AE137)</f>
        <v/>
      </c>
      <c r="AF138" s="0" t="str">
        <f aca="false">IF(AND($B138="D05",$C138="G0"),AF137&amp;IF(AF137="","",CHAR(10))&amp;$A138,AF137)</f>
        <v/>
      </c>
      <c r="AG138" s="0" t="str">
        <f aca="false">IF(AND($B138="D05",$C138="G1"),AG137&amp;IF(AG137="","",CHAR(10))&amp;$A138,AG137)</f>
        <v/>
      </c>
      <c r="AH138" s="0" t="str">
        <f aca="false">IF(AND($B138="D05",$C138="G2"),AH137&amp;IF(AH137="","",CHAR(10))&amp;$A138,AH137)</f>
        <v>◐ 027 醫材需求與設備計畫</v>
      </c>
      <c r="AI138" s="0" t="str">
        <f aca="false">IF(AND($B138="D05",$C138="G3"),AI137&amp;IF(AI137="","",CHAR(10))&amp;$A138,AI137)</f>
        <v/>
      </c>
      <c r="AJ138" s="363" t="str">
        <f aca="false">IF(AND($B138="D05",$C138="G4"),AJ137&amp;IF(AJ137="","",CHAR(10))&amp;$A138,AJ137)</f>
        <v>○ 028 影像設備、PACS與報告流程
○ 029 實驗室自動化與LIS
○ 030 手術室與重症整合
◐ 031 醫材介接與裝置身分
◐ 032 醫療工程與設備生命週期</v>
      </c>
      <c r="AK138" s="0" t="str">
        <f aca="false">IF(AND($B138="D05",$C138="G5"),AK137&amp;IF(AK137="","",CHAR(10))&amp;$A138,AK137)</f>
        <v/>
      </c>
      <c r="AL138" s="0" t="str">
        <f aca="false">IF(AND($B138="D05",$C138="G6"),AL137&amp;IF(AL137="","",CHAR(10))&amp;$A138,AL137)</f>
        <v/>
      </c>
      <c r="AM138" s="0" t="str">
        <f aca="false">IF(AND($B138="D06",$C138="G0"),AM137&amp;IF(AM137="","",CHAR(10))&amp;$A138,AM137)</f>
        <v/>
      </c>
      <c r="AN138" s="0" t="str">
        <f aca="false">IF(AND($B138="D06",$C138="G1"),AN137&amp;IF(AN137="","",CHAR(10))&amp;$A138,AN137)</f>
        <v/>
      </c>
      <c r="AO138" s="0" t="str">
        <f aca="false">IF(AND($B138="D06",$C138="G2"),AO137&amp;IF(AO137="","",CHAR(10))&amp;$A138,AO137)</f>
        <v/>
      </c>
      <c r="AP138" s="363" t="str">
        <f aca="false">IF(AND($B138="D06",$C138="G3"),AP137&amp;IF(AP137="","",CHAR(10))&amp;$A138,AP137)</f>
        <v>◐ 033 HIS／EMR核心平台
◐ 036 臨床術語與主資料治理</v>
      </c>
      <c r="AQ138" s="363" t="str">
        <f aca="false">IF(AND($B138="D06",$C138="G4"),AQ137&amp;IF(AQ137="","",CHAR(10))&amp;$A138,AQ137)</f>
        <v>◐ 034 FHIR介接與API管理
○ 035 主病人索引與身分整合
◐ 037 電子醫囑、用藥與決策支援
◐ 038 資料平台、BI與營運指揮</v>
      </c>
      <c r="AR138" s="0" t="str">
        <f aca="false">IF(AND($B138="D06",$C138="G5"),AR137&amp;IF(AR137="","",CHAR(10))&amp;$A138,AR137)</f>
        <v>○ 039 病人入口、行動服務與VNeID準備</v>
      </c>
      <c r="AS138" s="0" t="str">
        <f aca="false">IF(AND($B138="D06",$C138="G6"),AS137&amp;IF(AS137="","",CHAR(10))&amp;$A138,AS137)</f>
        <v/>
      </c>
      <c r="AT138" s="0" t="str">
        <f aca="false">IF(AND($B138="D07",$C138="G0"),AT137&amp;IF(AT137="","",CHAR(10))&amp;$A138,AT137)</f>
        <v/>
      </c>
      <c r="AU138" s="0" t="str">
        <f aca="false">IF(AND($B138="D07",$C138="G1"),AU137&amp;IF(AU137="","",CHAR(10))&amp;$A138,AU137)</f>
        <v/>
      </c>
      <c r="AV138" s="0" t="str">
        <f aca="false">IF(AND($B138="D07",$C138="G2"),AV137&amp;IF(AV137="","",CHAR(10))&amp;$A138,AV137)</f>
        <v>◐ 040 品質管理與JCI路線圖</v>
      </c>
      <c r="AW138" s="363" t="str">
        <f aca="false">IF(AND($B138="D07",$C138="G3"),AW137&amp;IF(AW137="","",CHAR(10))&amp;$A138,AW137)</f>
        <v>◐ 041 感染預防與控制制度
◐ 043 事件通報與根因改善</v>
      </c>
      <c r="AX138" s="0" t="str">
        <f aca="false">IF(AND($B138="D07",$C138="G4"),AX137&amp;IF(AX137="","",CHAR(10))&amp;$A138,AX137)</f>
        <v>◐ 042 用藥安全閉環</v>
      </c>
      <c r="AY138" s="0" t="str">
        <f aca="false">IF(AND($B138="D07",$C138="G5"),AY137&amp;IF(AY137="","",CHAR(10))&amp;$A138,AY137)</f>
        <v>◐ 044 開院臨床安全驗證</v>
      </c>
      <c r="AZ138" s="0" t="str">
        <f aca="false">IF(AND($B138="D07",$C138="G6"),AZ137&amp;IF(AZ137="","",CHAR(10))&amp;$A138,AZ137)</f>
        <v/>
      </c>
      <c r="BA138" s="0" t="str">
        <f aca="false">IF(AND($B138="D08",$C138="G0"),BA137&amp;IF(BA137="","",CHAR(10))&amp;$A138,BA137)</f>
        <v/>
      </c>
      <c r="BB138" s="0" t="str">
        <f aca="false">IF(AND($B138="D08",$C138="G1"),BB137&amp;IF(BB137="","",CHAR(10))&amp;$A138,BB137)</f>
        <v/>
      </c>
      <c r="BC138" s="0" t="str">
        <f aca="false">IF(AND($B138="D08",$C138="G2"),BC137&amp;IF(BC137="","",CHAR(10))&amp;$A138,BC137)</f>
        <v>○ 045 人力與輪班模型</v>
      </c>
      <c r="BD138" s="0" t="str">
        <f aca="false">IF(AND($B138="D08",$C138="G3"),BD137&amp;IF(BD137="","",CHAR(10))&amp;$A138,BD137)</f>
        <v>◐ 046 職能矩陣與授權</v>
      </c>
      <c r="BE138" s="363" t="str">
        <f aca="false">IF(AND($B138="D08",$C138="G4"),BE137&amp;IF(BE137="","",CHAR(10))&amp;$A138,BE137)</f>
        <v>◐ 047 種子教師與技術移轉
◐ 049 變革管理與使用者採納</v>
      </c>
      <c r="BF138" s="0" t="str">
        <f aca="false">IF(AND($B138="D08",$C138="G5"),BF137&amp;IF(BF137="","",CHAR(10))&amp;$A138,BF137)</f>
        <v>◐ 048 模擬中心與開院演練</v>
      </c>
      <c r="BG138" s="0" t="str">
        <f aca="false">IF(AND($B138="D08",$C138="G6"),BG137&amp;IF(BG137="","",CHAR(10))&amp;$A138,BG137)</f>
        <v/>
      </c>
      <c r="BH138" s="0" t="str">
        <f aca="false">IF(AND($B138="D09",$C138="G0"),BH137&amp;IF(BH137="","",CHAR(10))&amp;$A138,BH137)</f>
        <v/>
      </c>
      <c r="BI138" s="0" t="str">
        <f aca="false">IF(AND($B138="D09",$C138="G1"),BI137&amp;IF(BI137="","",CHAR(10))&amp;$A138,BI137)</f>
        <v/>
      </c>
      <c r="BJ138" s="0" t="str">
        <f aca="false">IF(AND($B138="D09",$C138="G2"),BJ137&amp;IF(BJ137="","",CHAR(10))&amp;$A138,BJ137)</f>
        <v>◐ 050 整合採購與供應商治理</v>
      </c>
      <c r="BK138" s="0" t="str">
        <f aca="false">IF(AND($B138="D09",$C138="G3"),BK137&amp;IF(BK137="","",CHAR(10))&amp;$A138,BK137)</f>
        <v/>
      </c>
      <c r="BL138" s="363" t="str">
        <f aca="false">IF(AND($B138="D09",$C138="G4"),BL137&amp;IF(BL137="","",CHAR(10))&amp;$A138,BL137)</f>
        <v>◐ 051 藥品耗材與SPD物流
◐ 052 冷鏈與特殊物料
● 053 CMMS與設施維運</v>
      </c>
      <c r="BM138" s="0" t="str">
        <f aca="false">IF(AND($B138="D09",$C138="G5"),BM137&amp;IF(BM137="","",CHAR(10))&amp;$A138,BM137)</f>
        <v>◐ 054 在地備品、維修與汰換</v>
      </c>
      <c r="BN138" s="0" t="str">
        <f aca="false">IF(AND($B138="D09",$C138="G6"),BN137&amp;IF(BN137="","",CHAR(10))&amp;$A138,BN137)</f>
        <v/>
      </c>
      <c r="BO138" s="0" t="str">
        <f aca="false">IF(AND($B138="D10",$C138="G0"),BO137&amp;IF(BO137="","",CHAR(10))&amp;$A138,BO137)</f>
        <v/>
      </c>
      <c r="BP138" s="0" t="str">
        <f aca="false">IF(AND($B138="D10",$C138="G1"),BP137&amp;IF(BP137="","",CHAR(10))&amp;$A138,BP137)</f>
        <v>◐ 055 全生命週期成本模型</v>
      </c>
      <c r="BQ138" s="0" t="str">
        <f aca="false">IF(AND($B138="D10",$C138="G2"),BQ137&amp;IF(BQ137="","",CHAR(10))&amp;$A138,BQ137)</f>
        <v>◐ 059 PPP／JV財務與風險分配</v>
      </c>
      <c r="BR138" s="0" t="str">
        <f aca="false">IF(AND($B138="D10",$C138="G3"),BR137&amp;IF(BR137="","",CHAR(10))&amp;$A138,BR137)</f>
        <v/>
      </c>
      <c r="BS138" s="363" t="str">
        <f aca="false">IF(AND($B138="D10",$C138="G4"),BS137&amp;IF(BS137="","",CHAR(10))&amp;$A138,BS137)</f>
        <v>○ 056 健保申報與數位理賠
○ 057 現金流、支付與收入週期</v>
      </c>
      <c r="BT138" s="0" t="str">
        <f aca="false">IF(AND($B138="D10",$C138="G5"),BT137&amp;IF(BT137="","",CHAR(10))&amp;$A138,BT137)</f>
        <v>○ 058 國際醫療與高價值服務</v>
      </c>
      <c r="BU138" s="0" t="str">
        <f aca="false">IF(AND($B138="D10",$C138="G6"),BU137&amp;IF(BU137="","",CHAR(10))&amp;$A138,BU137)</f>
        <v>◐ 060 效益實現與複製藍圖</v>
      </c>
      <c r="BX138" s="0" t="str">
        <f aca="false">IF(AND(03_能力總表_Master!$A138&lt;&gt;"",LEFT(03_能力總表_Master!$H138,2)="缺口"),MAX($BX$4:BX137)+1,"")</f>
        <v/>
      </c>
      <c r="BY138" s="0" t="str">
        <f aca="false">IF(AND(03_能力總表_Master!$A138&lt;&gt;"",03_能力總表_Master!$J138=12_夥伴視角_PartnerView!$C$4),MAX($BY$4:BY137)+1,"")</f>
        <v/>
      </c>
      <c r="CC138" s="0" t="str">
        <f aca="false">IF(AND(03_能力總表_Master!$A138&lt;&gt;"",IFERROR(INDEX(16_能力商機矩陣_CapOppMap!$D138:$CO138,MATCH(LEFT(17_商機作戰卡_OppView!$C$4,6),16_能力商機矩陣_CapOppMap!$D$4:$CO$4,0)),"")="✓"),MAX($CC$4:CC137)+1,"")</f>
        <v/>
      </c>
    </row>
    <row r="139" customFormat="false" ht="95.5" hidden="false" customHeight="false" outlineLevel="0" collapsed="false">
      <c r="A139" s="0" t="str">
        <f aca="false">IF(03_能力總表_Master!$A139="","",IF(LEFT(03_能力總表_Master!$H139,2)="群晶","● ",IF(ISNUMBER(SEARCH("已確認",03_能力總表_Master!$H139)),"◆ ",IF(ISNUMBER(SEARCH("缺口",03_能力總表_Master!$H139)),"○ ","◐ ")))&amp;RIGHT(03_能力總表_Master!$A139,3)&amp;" "&amp;03_能力總表_Master!$E139)</f>
        <v/>
      </c>
      <c r="B139" s="0" t="str">
        <f aca="false">IF(03_能力總表_Master!$A139="","",LEFT(03_能力總表_Master!$B139,3))</f>
        <v/>
      </c>
      <c r="C139" s="0" t="str">
        <f aca="false">IF(03_能力總表_Master!$A139="","",03_能力總表_Master!$C139)</f>
        <v/>
      </c>
      <c r="D139" s="363" t="str">
        <f aca="false">IF(AND($B139="D01",$C139="G0"),D138&amp;IF(D138="","",CHAR(10))&amp;$A139,D138)</f>
        <v>◐ 001 政府授權與計畫章程
◐ 002 利害關係人與權力地圖
◐ 005 聯盟治理與利益衝突</v>
      </c>
      <c r="E139" s="363" t="str">
        <f aca="false">IF(AND($B139="D01",$C139="G1"),E138&amp;IF(E138="","",CHAR(10))&amp;$A139,E138)</f>
        <v>◐ 003 交易模式選擇
◐ 004 法規與執照路徑</v>
      </c>
      <c r="F139" s="0" t="str">
        <f aca="false">IF(AND($B139="D01",$C139="G2"),F138&amp;IF(F138="","",CHAR(10))&amp;$A139,F138)</f>
        <v>◐ 006 績效契約與變更控制</v>
      </c>
      <c r="G139" s="0" t="str">
        <f aca="false">IF(AND($B139="D01",$C139="G3"),G138&amp;IF(G138="","",CHAR(10))&amp;$A139,G138)</f>
        <v/>
      </c>
      <c r="H139" s="0" t="str">
        <f aca="false">IF(AND($B139="D01",$C139="G4"),H138&amp;IF(H138="","",CHAR(10))&amp;$A139,H138)</f>
        <v/>
      </c>
      <c r="I139" s="0" t="str">
        <f aca="false">IF(AND($B139="D01",$C139="G5"),I138&amp;IF(I138="","",CHAR(10))&amp;$A139,I138)</f>
        <v/>
      </c>
      <c r="J139" s="0" t="str">
        <f aca="false">IF(AND($B139="D01",$C139="G6"),J138&amp;IF(J138="","",CHAR(10))&amp;$A139,J138)</f>
        <v/>
      </c>
      <c r="K139" s="0" t="str">
        <f aca="false">IF(AND($B139="D02",$C139="G0"),K138&amp;IF(K138="","",CHAR(10))&amp;$A139,K138)</f>
        <v/>
      </c>
      <c r="L139" s="363" t="str">
        <f aca="false">IF(AND($B139="D02",$C139="G1"),L138&amp;IF(L138="","",CHAR(10))&amp;$A139,L138)</f>
        <v>◐ 007 人口需求與病例量預測
◐ 008 醫院定位與服務組合
◐ 009 重點專科優先化
◐ 010 病人流程與容量設計
◐ 011 轉診與區域照護網絡
◐ 012 臨床治理與責任架構</v>
      </c>
      <c r="M139" s="0" t="str">
        <f aca="false">IF(AND($B139="D02",$C139="G2"),M138&amp;IF(M138="","",CHAR(10))&amp;$A139,M138)</f>
        <v/>
      </c>
      <c r="N139" s="0" t="str">
        <f aca="false">IF(AND($B139="D02",$C139="G3"),N138&amp;IF(N138="","",CHAR(10))&amp;$A139,N138)</f>
        <v/>
      </c>
      <c r="O139" s="0" t="str">
        <f aca="false">IF(AND($B139="D02",$C139="G4"),O138&amp;IF(O138="","",CHAR(10))&amp;$A139,O138)</f>
        <v/>
      </c>
      <c r="P139" s="0" t="str">
        <f aca="false">IF(AND($B139="D02",$C139="G5"),P138&amp;IF(P138="","",CHAR(10))&amp;$A139,P138)</f>
        <v/>
      </c>
      <c r="Q139" s="0" t="str">
        <f aca="false">IF(AND($B139="D02",$C139="G6"),Q138&amp;IF(Q138="","",CHAR(10))&amp;$A139,Q138)</f>
        <v/>
      </c>
      <c r="R139" s="0" t="str">
        <f aca="false">IF(AND($B139="D03",$C139="G0"),R138&amp;IF(R138="","",CHAR(10))&amp;$A139,R138)</f>
        <v/>
      </c>
      <c r="S139" s="0" t="str">
        <f aca="false">IF(AND($B139="D03",$C139="G1"),S138&amp;IF(S138="","",CHAR(10))&amp;$A139,S138)</f>
        <v>◐ 013 場址與醫院總體規劃</v>
      </c>
      <c r="T139" s="363" t="str">
        <f aca="false">IF(AND($B139="D03",$C139="G2"),T138&amp;IF(T138="","",CHAR(10))&amp;$A139,T138)</f>
        <v>◐ 014 醫療建築功能計畫
◐ 015 感染控制與潔污動線
◐ 019 綠色與氣候韌性醫院</v>
      </c>
      <c r="U139" s="363" t="str">
        <f aca="false">IF(AND($B139="D03",$C139="G3"),U138&amp;IF(U138="","",CHAR(10))&amp;$A139,U138)</f>
        <v>● 016 電力、備援與微電網
◐ 017 醫療氣體與關鍵公用系統
◐ 018 醫療廢棄物與水資源</v>
      </c>
      <c r="V139" s="0" t="str">
        <f aca="false">IF(AND($B139="D03",$C139="G4"),V138&amp;IF(V138="","",CHAR(10))&amp;$A139,V138)</f>
        <v/>
      </c>
      <c r="W139" s="0" t="str">
        <f aca="false">IF(AND($B139="D03",$C139="G5"),W138&amp;IF(W138="","",CHAR(10))&amp;$A139,W138)</f>
        <v/>
      </c>
      <c r="X139" s="0" t="str">
        <f aca="false">IF(AND($B139="D03",$C139="G6"),X138&amp;IF(X138="","",CHAR(10))&amp;$A139,X138)</f>
        <v/>
      </c>
      <c r="Y139" s="0" t="str">
        <f aca="false">IF(AND($B139="D04",$C139="G0"),Y138&amp;IF(Y138="","",CHAR(10))&amp;$A139,Y138)</f>
        <v/>
      </c>
      <c r="Z139" s="0" t="str">
        <f aca="false">IF(AND($B139="D04",$C139="G1"),Z138&amp;IF(Z138="","",CHAR(10))&amp;$A139,Z138)</f>
        <v/>
      </c>
      <c r="AA139" s="0" t="str">
        <f aca="false">IF(AND($B139="D04",$C139="G2"),AA138&amp;IF(AA138="","",CHAR(10))&amp;$A139,AA138)</f>
        <v/>
      </c>
      <c r="AB139" s="0" t="str">
        <f aca="false">IF(AND($B139="D04",$C139="G3"),AB138&amp;IF(AB138="","",CHAR(10))&amp;$A139,AB138)</f>
        <v>● 020 IDC與邊緣運算底座</v>
      </c>
      <c r="AC139" s="363" t="str">
        <f aca="false">IF(AND($B139="D04",$C139="G4"),AC138&amp;IF(AC138="","",CHAR(10))&amp;$A139,AC138)</f>
        <v>● 021 有線無線網路與分區
◐ 022 資安營運與零信任
● 023 BMS與能源管理
● 024 RTLS與資產／人員定位
● 025 智慧病房、護理呼叫與感測
● 026 災難復原與營運持續</v>
      </c>
      <c r="AD139" s="0" t="str">
        <f aca="false">IF(AND($B139="D04",$C139="G5"),AD138&amp;IF(AD138="","",CHAR(10))&amp;$A139,AD138)</f>
        <v/>
      </c>
      <c r="AE139" s="0" t="str">
        <f aca="false">IF(AND($B139="D04",$C139="G6"),AE138&amp;IF(AE138="","",CHAR(10))&amp;$A139,AE138)</f>
        <v/>
      </c>
      <c r="AF139" s="0" t="str">
        <f aca="false">IF(AND($B139="D05",$C139="G0"),AF138&amp;IF(AF138="","",CHAR(10))&amp;$A139,AF138)</f>
        <v/>
      </c>
      <c r="AG139" s="0" t="str">
        <f aca="false">IF(AND($B139="D05",$C139="G1"),AG138&amp;IF(AG138="","",CHAR(10))&amp;$A139,AG138)</f>
        <v/>
      </c>
      <c r="AH139" s="0" t="str">
        <f aca="false">IF(AND($B139="D05",$C139="G2"),AH138&amp;IF(AH138="","",CHAR(10))&amp;$A139,AH138)</f>
        <v>◐ 027 醫材需求與設備計畫</v>
      </c>
      <c r="AI139" s="0" t="str">
        <f aca="false">IF(AND($B139="D05",$C139="G3"),AI138&amp;IF(AI138="","",CHAR(10))&amp;$A139,AI138)</f>
        <v/>
      </c>
      <c r="AJ139" s="363" t="str">
        <f aca="false">IF(AND($B139="D05",$C139="G4"),AJ138&amp;IF(AJ138="","",CHAR(10))&amp;$A139,AJ138)</f>
        <v>○ 028 影像設備、PACS與報告流程
○ 029 實驗室自動化與LIS
○ 030 手術室與重症整合
◐ 031 醫材介接與裝置身分
◐ 032 醫療工程與設備生命週期</v>
      </c>
      <c r="AK139" s="0" t="str">
        <f aca="false">IF(AND($B139="D05",$C139="G5"),AK138&amp;IF(AK138="","",CHAR(10))&amp;$A139,AK138)</f>
        <v/>
      </c>
      <c r="AL139" s="0" t="str">
        <f aca="false">IF(AND($B139="D05",$C139="G6"),AL138&amp;IF(AL138="","",CHAR(10))&amp;$A139,AL138)</f>
        <v/>
      </c>
      <c r="AM139" s="0" t="str">
        <f aca="false">IF(AND($B139="D06",$C139="G0"),AM138&amp;IF(AM138="","",CHAR(10))&amp;$A139,AM138)</f>
        <v/>
      </c>
      <c r="AN139" s="0" t="str">
        <f aca="false">IF(AND($B139="D06",$C139="G1"),AN138&amp;IF(AN138="","",CHAR(10))&amp;$A139,AN138)</f>
        <v/>
      </c>
      <c r="AO139" s="0" t="str">
        <f aca="false">IF(AND($B139="D06",$C139="G2"),AO138&amp;IF(AO138="","",CHAR(10))&amp;$A139,AO138)</f>
        <v/>
      </c>
      <c r="AP139" s="363" t="str">
        <f aca="false">IF(AND($B139="D06",$C139="G3"),AP138&amp;IF(AP138="","",CHAR(10))&amp;$A139,AP138)</f>
        <v>◐ 033 HIS／EMR核心平台
◐ 036 臨床術語與主資料治理</v>
      </c>
      <c r="AQ139" s="363" t="str">
        <f aca="false">IF(AND($B139="D06",$C139="G4"),AQ138&amp;IF(AQ138="","",CHAR(10))&amp;$A139,AQ138)</f>
        <v>◐ 034 FHIR介接與API管理
○ 035 主病人索引與身分整合
◐ 037 電子醫囑、用藥與決策支援
◐ 038 資料平台、BI與營運指揮</v>
      </c>
      <c r="AR139" s="0" t="str">
        <f aca="false">IF(AND($B139="D06",$C139="G5"),AR138&amp;IF(AR138="","",CHAR(10))&amp;$A139,AR138)</f>
        <v>○ 039 病人入口、行動服務與VNeID準備</v>
      </c>
      <c r="AS139" s="0" t="str">
        <f aca="false">IF(AND($B139="D06",$C139="G6"),AS138&amp;IF(AS138="","",CHAR(10))&amp;$A139,AS138)</f>
        <v/>
      </c>
      <c r="AT139" s="0" t="str">
        <f aca="false">IF(AND($B139="D07",$C139="G0"),AT138&amp;IF(AT138="","",CHAR(10))&amp;$A139,AT138)</f>
        <v/>
      </c>
      <c r="AU139" s="0" t="str">
        <f aca="false">IF(AND($B139="D07",$C139="G1"),AU138&amp;IF(AU138="","",CHAR(10))&amp;$A139,AU138)</f>
        <v/>
      </c>
      <c r="AV139" s="0" t="str">
        <f aca="false">IF(AND($B139="D07",$C139="G2"),AV138&amp;IF(AV138="","",CHAR(10))&amp;$A139,AV138)</f>
        <v>◐ 040 品質管理與JCI路線圖</v>
      </c>
      <c r="AW139" s="363" t="str">
        <f aca="false">IF(AND($B139="D07",$C139="G3"),AW138&amp;IF(AW138="","",CHAR(10))&amp;$A139,AW138)</f>
        <v>◐ 041 感染預防與控制制度
◐ 043 事件通報與根因改善</v>
      </c>
      <c r="AX139" s="0" t="str">
        <f aca="false">IF(AND($B139="D07",$C139="G4"),AX138&amp;IF(AX138="","",CHAR(10))&amp;$A139,AX138)</f>
        <v>◐ 042 用藥安全閉環</v>
      </c>
      <c r="AY139" s="0" t="str">
        <f aca="false">IF(AND($B139="D07",$C139="G5"),AY138&amp;IF(AY138="","",CHAR(10))&amp;$A139,AY138)</f>
        <v>◐ 044 開院臨床安全驗證</v>
      </c>
      <c r="AZ139" s="0" t="str">
        <f aca="false">IF(AND($B139="D07",$C139="G6"),AZ138&amp;IF(AZ138="","",CHAR(10))&amp;$A139,AZ138)</f>
        <v/>
      </c>
      <c r="BA139" s="0" t="str">
        <f aca="false">IF(AND($B139="D08",$C139="G0"),BA138&amp;IF(BA138="","",CHAR(10))&amp;$A139,BA138)</f>
        <v/>
      </c>
      <c r="BB139" s="0" t="str">
        <f aca="false">IF(AND($B139="D08",$C139="G1"),BB138&amp;IF(BB138="","",CHAR(10))&amp;$A139,BB138)</f>
        <v/>
      </c>
      <c r="BC139" s="0" t="str">
        <f aca="false">IF(AND($B139="D08",$C139="G2"),BC138&amp;IF(BC138="","",CHAR(10))&amp;$A139,BC138)</f>
        <v>○ 045 人力與輪班模型</v>
      </c>
      <c r="BD139" s="0" t="str">
        <f aca="false">IF(AND($B139="D08",$C139="G3"),BD138&amp;IF(BD138="","",CHAR(10))&amp;$A139,BD138)</f>
        <v>◐ 046 職能矩陣與授權</v>
      </c>
      <c r="BE139" s="363" t="str">
        <f aca="false">IF(AND($B139="D08",$C139="G4"),BE138&amp;IF(BE138="","",CHAR(10))&amp;$A139,BE138)</f>
        <v>◐ 047 種子教師與技術移轉
◐ 049 變革管理與使用者採納</v>
      </c>
      <c r="BF139" s="0" t="str">
        <f aca="false">IF(AND($B139="D08",$C139="G5"),BF138&amp;IF(BF138="","",CHAR(10))&amp;$A139,BF138)</f>
        <v>◐ 048 模擬中心與開院演練</v>
      </c>
      <c r="BG139" s="0" t="str">
        <f aca="false">IF(AND($B139="D08",$C139="G6"),BG138&amp;IF(BG138="","",CHAR(10))&amp;$A139,BG138)</f>
        <v/>
      </c>
      <c r="BH139" s="0" t="str">
        <f aca="false">IF(AND($B139="D09",$C139="G0"),BH138&amp;IF(BH138="","",CHAR(10))&amp;$A139,BH138)</f>
        <v/>
      </c>
      <c r="BI139" s="0" t="str">
        <f aca="false">IF(AND($B139="D09",$C139="G1"),BI138&amp;IF(BI138="","",CHAR(10))&amp;$A139,BI138)</f>
        <v/>
      </c>
      <c r="BJ139" s="0" t="str">
        <f aca="false">IF(AND($B139="D09",$C139="G2"),BJ138&amp;IF(BJ138="","",CHAR(10))&amp;$A139,BJ138)</f>
        <v>◐ 050 整合採購與供應商治理</v>
      </c>
      <c r="BK139" s="0" t="str">
        <f aca="false">IF(AND($B139="D09",$C139="G3"),BK138&amp;IF(BK138="","",CHAR(10))&amp;$A139,BK138)</f>
        <v/>
      </c>
      <c r="BL139" s="363" t="str">
        <f aca="false">IF(AND($B139="D09",$C139="G4"),BL138&amp;IF(BL138="","",CHAR(10))&amp;$A139,BL138)</f>
        <v>◐ 051 藥品耗材與SPD物流
◐ 052 冷鏈與特殊物料
● 053 CMMS與設施維運</v>
      </c>
      <c r="BM139" s="0" t="str">
        <f aca="false">IF(AND($B139="D09",$C139="G5"),BM138&amp;IF(BM138="","",CHAR(10))&amp;$A139,BM138)</f>
        <v>◐ 054 在地備品、維修與汰換</v>
      </c>
      <c r="BN139" s="0" t="str">
        <f aca="false">IF(AND($B139="D09",$C139="G6"),BN138&amp;IF(BN138="","",CHAR(10))&amp;$A139,BN138)</f>
        <v/>
      </c>
      <c r="BO139" s="0" t="str">
        <f aca="false">IF(AND($B139="D10",$C139="G0"),BO138&amp;IF(BO138="","",CHAR(10))&amp;$A139,BO138)</f>
        <v/>
      </c>
      <c r="BP139" s="0" t="str">
        <f aca="false">IF(AND($B139="D10",$C139="G1"),BP138&amp;IF(BP138="","",CHAR(10))&amp;$A139,BP138)</f>
        <v>◐ 055 全生命週期成本模型</v>
      </c>
      <c r="BQ139" s="0" t="str">
        <f aca="false">IF(AND($B139="D10",$C139="G2"),BQ138&amp;IF(BQ138="","",CHAR(10))&amp;$A139,BQ138)</f>
        <v>◐ 059 PPP／JV財務與風險分配</v>
      </c>
      <c r="BR139" s="0" t="str">
        <f aca="false">IF(AND($B139="D10",$C139="G3"),BR138&amp;IF(BR138="","",CHAR(10))&amp;$A139,BR138)</f>
        <v/>
      </c>
      <c r="BS139" s="363" t="str">
        <f aca="false">IF(AND($B139="D10",$C139="G4"),BS138&amp;IF(BS138="","",CHAR(10))&amp;$A139,BS138)</f>
        <v>○ 056 健保申報與數位理賠
○ 057 現金流、支付與收入週期</v>
      </c>
      <c r="BT139" s="0" t="str">
        <f aca="false">IF(AND($B139="D10",$C139="G5"),BT138&amp;IF(BT138="","",CHAR(10))&amp;$A139,BT138)</f>
        <v>○ 058 國際醫療與高價值服務</v>
      </c>
      <c r="BU139" s="0" t="str">
        <f aca="false">IF(AND($B139="D10",$C139="G6"),BU138&amp;IF(BU138="","",CHAR(10))&amp;$A139,BU138)</f>
        <v>◐ 060 效益實現與複製藍圖</v>
      </c>
      <c r="BX139" s="0" t="str">
        <f aca="false">IF(AND(03_能力總表_Master!$A139&lt;&gt;"",LEFT(03_能力總表_Master!$H139,2)="缺口"),MAX($BX$4:BX138)+1,"")</f>
        <v/>
      </c>
      <c r="BY139" s="0" t="str">
        <f aca="false">IF(AND(03_能力總表_Master!$A139&lt;&gt;"",03_能力總表_Master!$J139=12_夥伴視角_PartnerView!$C$4),MAX($BY$4:BY138)+1,"")</f>
        <v/>
      </c>
      <c r="CC139" s="0" t="str">
        <f aca="false">IF(AND(03_能力總表_Master!$A139&lt;&gt;"",IFERROR(INDEX(16_能力商機矩陣_CapOppMap!$D139:$CO139,MATCH(LEFT(17_商機作戰卡_OppView!$C$4,6),16_能力商機矩陣_CapOppMap!$D$4:$CO$4,0)),"")="✓"),MAX($CC$4:CC138)+1,"")</f>
        <v/>
      </c>
    </row>
    <row r="140" customFormat="false" ht="95.5" hidden="false" customHeight="false" outlineLevel="0" collapsed="false">
      <c r="A140" s="0" t="str">
        <f aca="false">IF(03_能力總表_Master!$A140="","",IF(LEFT(03_能力總表_Master!$H140,2)="群晶","● ",IF(ISNUMBER(SEARCH("已確認",03_能力總表_Master!$H140)),"◆ ",IF(ISNUMBER(SEARCH("缺口",03_能力總表_Master!$H140)),"○ ","◐ ")))&amp;RIGHT(03_能力總表_Master!$A140,3)&amp;" "&amp;03_能力總表_Master!$E140)</f>
        <v/>
      </c>
      <c r="B140" s="0" t="str">
        <f aca="false">IF(03_能力總表_Master!$A140="","",LEFT(03_能力總表_Master!$B140,3))</f>
        <v/>
      </c>
      <c r="C140" s="0" t="str">
        <f aca="false">IF(03_能力總表_Master!$A140="","",03_能力總表_Master!$C140)</f>
        <v/>
      </c>
      <c r="D140" s="363" t="str">
        <f aca="false">IF(AND($B140="D01",$C140="G0"),D139&amp;IF(D139="","",CHAR(10))&amp;$A140,D139)</f>
        <v>◐ 001 政府授權與計畫章程
◐ 002 利害關係人與權力地圖
◐ 005 聯盟治理與利益衝突</v>
      </c>
      <c r="E140" s="363" t="str">
        <f aca="false">IF(AND($B140="D01",$C140="G1"),E139&amp;IF(E139="","",CHAR(10))&amp;$A140,E139)</f>
        <v>◐ 003 交易模式選擇
◐ 004 法規與執照路徑</v>
      </c>
      <c r="F140" s="0" t="str">
        <f aca="false">IF(AND($B140="D01",$C140="G2"),F139&amp;IF(F139="","",CHAR(10))&amp;$A140,F139)</f>
        <v>◐ 006 績效契約與變更控制</v>
      </c>
      <c r="G140" s="0" t="str">
        <f aca="false">IF(AND($B140="D01",$C140="G3"),G139&amp;IF(G139="","",CHAR(10))&amp;$A140,G139)</f>
        <v/>
      </c>
      <c r="H140" s="0" t="str">
        <f aca="false">IF(AND($B140="D01",$C140="G4"),H139&amp;IF(H139="","",CHAR(10))&amp;$A140,H139)</f>
        <v/>
      </c>
      <c r="I140" s="0" t="str">
        <f aca="false">IF(AND($B140="D01",$C140="G5"),I139&amp;IF(I139="","",CHAR(10))&amp;$A140,I139)</f>
        <v/>
      </c>
      <c r="J140" s="0" t="str">
        <f aca="false">IF(AND($B140="D01",$C140="G6"),J139&amp;IF(J139="","",CHAR(10))&amp;$A140,J139)</f>
        <v/>
      </c>
      <c r="K140" s="0" t="str">
        <f aca="false">IF(AND($B140="D02",$C140="G0"),K139&amp;IF(K139="","",CHAR(10))&amp;$A140,K139)</f>
        <v/>
      </c>
      <c r="L140" s="363" t="str">
        <f aca="false">IF(AND($B140="D02",$C140="G1"),L139&amp;IF(L139="","",CHAR(10))&amp;$A140,L139)</f>
        <v>◐ 007 人口需求與病例量預測
◐ 008 醫院定位與服務組合
◐ 009 重點專科優先化
◐ 010 病人流程與容量設計
◐ 011 轉診與區域照護網絡
◐ 012 臨床治理與責任架構</v>
      </c>
      <c r="M140" s="0" t="str">
        <f aca="false">IF(AND($B140="D02",$C140="G2"),M139&amp;IF(M139="","",CHAR(10))&amp;$A140,M139)</f>
        <v/>
      </c>
      <c r="N140" s="0" t="str">
        <f aca="false">IF(AND($B140="D02",$C140="G3"),N139&amp;IF(N139="","",CHAR(10))&amp;$A140,N139)</f>
        <v/>
      </c>
      <c r="O140" s="0" t="str">
        <f aca="false">IF(AND($B140="D02",$C140="G4"),O139&amp;IF(O139="","",CHAR(10))&amp;$A140,O139)</f>
        <v/>
      </c>
      <c r="P140" s="0" t="str">
        <f aca="false">IF(AND($B140="D02",$C140="G5"),P139&amp;IF(P139="","",CHAR(10))&amp;$A140,P139)</f>
        <v/>
      </c>
      <c r="Q140" s="0" t="str">
        <f aca="false">IF(AND($B140="D02",$C140="G6"),Q139&amp;IF(Q139="","",CHAR(10))&amp;$A140,Q139)</f>
        <v/>
      </c>
      <c r="R140" s="0" t="str">
        <f aca="false">IF(AND($B140="D03",$C140="G0"),R139&amp;IF(R139="","",CHAR(10))&amp;$A140,R139)</f>
        <v/>
      </c>
      <c r="S140" s="0" t="str">
        <f aca="false">IF(AND($B140="D03",$C140="G1"),S139&amp;IF(S139="","",CHAR(10))&amp;$A140,S139)</f>
        <v>◐ 013 場址與醫院總體規劃</v>
      </c>
      <c r="T140" s="363" t="str">
        <f aca="false">IF(AND($B140="D03",$C140="G2"),T139&amp;IF(T139="","",CHAR(10))&amp;$A140,T139)</f>
        <v>◐ 014 醫療建築功能計畫
◐ 015 感染控制與潔污動線
◐ 019 綠色與氣候韌性醫院</v>
      </c>
      <c r="U140" s="363" t="str">
        <f aca="false">IF(AND($B140="D03",$C140="G3"),U139&amp;IF(U139="","",CHAR(10))&amp;$A140,U139)</f>
        <v>● 016 電力、備援與微電網
◐ 017 醫療氣體與關鍵公用系統
◐ 018 醫療廢棄物與水資源</v>
      </c>
      <c r="V140" s="0" t="str">
        <f aca="false">IF(AND($B140="D03",$C140="G4"),V139&amp;IF(V139="","",CHAR(10))&amp;$A140,V139)</f>
        <v/>
      </c>
      <c r="W140" s="0" t="str">
        <f aca="false">IF(AND($B140="D03",$C140="G5"),W139&amp;IF(W139="","",CHAR(10))&amp;$A140,W139)</f>
        <v/>
      </c>
      <c r="X140" s="0" t="str">
        <f aca="false">IF(AND($B140="D03",$C140="G6"),X139&amp;IF(X139="","",CHAR(10))&amp;$A140,X139)</f>
        <v/>
      </c>
      <c r="Y140" s="0" t="str">
        <f aca="false">IF(AND($B140="D04",$C140="G0"),Y139&amp;IF(Y139="","",CHAR(10))&amp;$A140,Y139)</f>
        <v/>
      </c>
      <c r="Z140" s="0" t="str">
        <f aca="false">IF(AND($B140="D04",$C140="G1"),Z139&amp;IF(Z139="","",CHAR(10))&amp;$A140,Z139)</f>
        <v/>
      </c>
      <c r="AA140" s="0" t="str">
        <f aca="false">IF(AND($B140="D04",$C140="G2"),AA139&amp;IF(AA139="","",CHAR(10))&amp;$A140,AA139)</f>
        <v/>
      </c>
      <c r="AB140" s="0" t="str">
        <f aca="false">IF(AND($B140="D04",$C140="G3"),AB139&amp;IF(AB139="","",CHAR(10))&amp;$A140,AB139)</f>
        <v>● 020 IDC與邊緣運算底座</v>
      </c>
      <c r="AC140" s="363" t="str">
        <f aca="false">IF(AND($B140="D04",$C140="G4"),AC139&amp;IF(AC139="","",CHAR(10))&amp;$A140,AC139)</f>
        <v>● 021 有線無線網路與分區
◐ 022 資安營運與零信任
● 023 BMS與能源管理
● 024 RTLS與資產／人員定位
● 025 智慧病房、護理呼叫與感測
● 026 災難復原與營運持續</v>
      </c>
      <c r="AD140" s="0" t="str">
        <f aca="false">IF(AND($B140="D04",$C140="G5"),AD139&amp;IF(AD139="","",CHAR(10))&amp;$A140,AD139)</f>
        <v/>
      </c>
      <c r="AE140" s="0" t="str">
        <f aca="false">IF(AND($B140="D04",$C140="G6"),AE139&amp;IF(AE139="","",CHAR(10))&amp;$A140,AE139)</f>
        <v/>
      </c>
      <c r="AF140" s="0" t="str">
        <f aca="false">IF(AND($B140="D05",$C140="G0"),AF139&amp;IF(AF139="","",CHAR(10))&amp;$A140,AF139)</f>
        <v/>
      </c>
      <c r="AG140" s="0" t="str">
        <f aca="false">IF(AND($B140="D05",$C140="G1"),AG139&amp;IF(AG139="","",CHAR(10))&amp;$A140,AG139)</f>
        <v/>
      </c>
      <c r="AH140" s="0" t="str">
        <f aca="false">IF(AND($B140="D05",$C140="G2"),AH139&amp;IF(AH139="","",CHAR(10))&amp;$A140,AH139)</f>
        <v>◐ 027 醫材需求與設備計畫</v>
      </c>
      <c r="AI140" s="0" t="str">
        <f aca="false">IF(AND($B140="D05",$C140="G3"),AI139&amp;IF(AI139="","",CHAR(10))&amp;$A140,AI139)</f>
        <v/>
      </c>
      <c r="AJ140" s="363" t="str">
        <f aca="false">IF(AND($B140="D05",$C140="G4"),AJ139&amp;IF(AJ139="","",CHAR(10))&amp;$A140,AJ139)</f>
        <v>○ 028 影像設備、PACS與報告流程
○ 029 實驗室自動化與LIS
○ 030 手術室與重症整合
◐ 031 醫材介接與裝置身分
◐ 032 醫療工程與設備生命週期</v>
      </c>
      <c r="AK140" s="0" t="str">
        <f aca="false">IF(AND($B140="D05",$C140="G5"),AK139&amp;IF(AK139="","",CHAR(10))&amp;$A140,AK139)</f>
        <v/>
      </c>
      <c r="AL140" s="0" t="str">
        <f aca="false">IF(AND($B140="D05",$C140="G6"),AL139&amp;IF(AL139="","",CHAR(10))&amp;$A140,AL139)</f>
        <v/>
      </c>
      <c r="AM140" s="0" t="str">
        <f aca="false">IF(AND($B140="D06",$C140="G0"),AM139&amp;IF(AM139="","",CHAR(10))&amp;$A140,AM139)</f>
        <v/>
      </c>
      <c r="AN140" s="0" t="str">
        <f aca="false">IF(AND($B140="D06",$C140="G1"),AN139&amp;IF(AN139="","",CHAR(10))&amp;$A140,AN139)</f>
        <v/>
      </c>
      <c r="AO140" s="0" t="str">
        <f aca="false">IF(AND($B140="D06",$C140="G2"),AO139&amp;IF(AO139="","",CHAR(10))&amp;$A140,AO139)</f>
        <v/>
      </c>
      <c r="AP140" s="363" t="str">
        <f aca="false">IF(AND($B140="D06",$C140="G3"),AP139&amp;IF(AP139="","",CHAR(10))&amp;$A140,AP139)</f>
        <v>◐ 033 HIS／EMR核心平台
◐ 036 臨床術語與主資料治理</v>
      </c>
      <c r="AQ140" s="363" t="str">
        <f aca="false">IF(AND($B140="D06",$C140="G4"),AQ139&amp;IF(AQ139="","",CHAR(10))&amp;$A140,AQ139)</f>
        <v>◐ 034 FHIR介接與API管理
○ 035 主病人索引與身分整合
◐ 037 電子醫囑、用藥與決策支援
◐ 038 資料平台、BI與營運指揮</v>
      </c>
      <c r="AR140" s="0" t="str">
        <f aca="false">IF(AND($B140="D06",$C140="G5"),AR139&amp;IF(AR139="","",CHAR(10))&amp;$A140,AR139)</f>
        <v>○ 039 病人入口、行動服務與VNeID準備</v>
      </c>
      <c r="AS140" s="0" t="str">
        <f aca="false">IF(AND($B140="D06",$C140="G6"),AS139&amp;IF(AS139="","",CHAR(10))&amp;$A140,AS139)</f>
        <v/>
      </c>
      <c r="AT140" s="0" t="str">
        <f aca="false">IF(AND($B140="D07",$C140="G0"),AT139&amp;IF(AT139="","",CHAR(10))&amp;$A140,AT139)</f>
        <v/>
      </c>
      <c r="AU140" s="0" t="str">
        <f aca="false">IF(AND($B140="D07",$C140="G1"),AU139&amp;IF(AU139="","",CHAR(10))&amp;$A140,AU139)</f>
        <v/>
      </c>
      <c r="AV140" s="0" t="str">
        <f aca="false">IF(AND($B140="D07",$C140="G2"),AV139&amp;IF(AV139="","",CHAR(10))&amp;$A140,AV139)</f>
        <v>◐ 040 品質管理與JCI路線圖</v>
      </c>
      <c r="AW140" s="363" t="str">
        <f aca="false">IF(AND($B140="D07",$C140="G3"),AW139&amp;IF(AW139="","",CHAR(10))&amp;$A140,AW139)</f>
        <v>◐ 041 感染預防與控制制度
◐ 043 事件通報與根因改善</v>
      </c>
      <c r="AX140" s="0" t="str">
        <f aca="false">IF(AND($B140="D07",$C140="G4"),AX139&amp;IF(AX139="","",CHAR(10))&amp;$A140,AX139)</f>
        <v>◐ 042 用藥安全閉環</v>
      </c>
      <c r="AY140" s="0" t="str">
        <f aca="false">IF(AND($B140="D07",$C140="G5"),AY139&amp;IF(AY139="","",CHAR(10))&amp;$A140,AY139)</f>
        <v>◐ 044 開院臨床安全驗證</v>
      </c>
      <c r="AZ140" s="0" t="str">
        <f aca="false">IF(AND($B140="D07",$C140="G6"),AZ139&amp;IF(AZ139="","",CHAR(10))&amp;$A140,AZ139)</f>
        <v/>
      </c>
      <c r="BA140" s="0" t="str">
        <f aca="false">IF(AND($B140="D08",$C140="G0"),BA139&amp;IF(BA139="","",CHAR(10))&amp;$A140,BA139)</f>
        <v/>
      </c>
      <c r="BB140" s="0" t="str">
        <f aca="false">IF(AND($B140="D08",$C140="G1"),BB139&amp;IF(BB139="","",CHAR(10))&amp;$A140,BB139)</f>
        <v/>
      </c>
      <c r="BC140" s="0" t="str">
        <f aca="false">IF(AND($B140="D08",$C140="G2"),BC139&amp;IF(BC139="","",CHAR(10))&amp;$A140,BC139)</f>
        <v>○ 045 人力與輪班模型</v>
      </c>
      <c r="BD140" s="0" t="str">
        <f aca="false">IF(AND($B140="D08",$C140="G3"),BD139&amp;IF(BD139="","",CHAR(10))&amp;$A140,BD139)</f>
        <v>◐ 046 職能矩陣與授權</v>
      </c>
      <c r="BE140" s="363" t="str">
        <f aca="false">IF(AND($B140="D08",$C140="G4"),BE139&amp;IF(BE139="","",CHAR(10))&amp;$A140,BE139)</f>
        <v>◐ 047 種子教師與技術移轉
◐ 049 變革管理與使用者採納</v>
      </c>
      <c r="BF140" s="0" t="str">
        <f aca="false">IF(AND($B140="D08",$C140="G5"),BF139&amp;IF(BF139="","",CHAR(10))&amp;$A140,BF139)</f>
        <v>◐ 048 模擬中心與開院演練</v>
      </c>
      <c r="BG140" s="0" t="str">
        <f aca="false">IF(AND($B140="D08",$C140="G6"),BG139&amp;IF(BG139="","",CHAR(10))&amp;$A140,BG139)</f>
        <v/>
      </c>
      <c r="BH140" s="0" t="str">
        <f aca="false">IF(AND($B140="D09",$C140="G0"),BH139&amp;IF(BH139="","",CHAR(10))&amp;$A140,BH139)</f>
        <v/>
      </c>
      <c r="BI140" s="0" t="str">
        <f aca="false">IF(AND($B140="D09",$C140="G1"),BI139&amp;IF(BI139="","",CHAR(10))&amp;$A140,BI139)</f>
        <v/>
      </c>
      <c r="BJ140" s="0" t="str">
        <f aca="false">IF(AND($B140="D09",$C140="G2"),BJ139&amp;IF(BJ139="","",CHAR(10))&amp;$A140,BJ139)</f>
        <v>◐ 050 整合採購與供應商治理</v>
      </c>
      <c r="BK140" s="0" t="str">
        <f aca="false">IF(AND($B140="D09",$C140="G3"),BK139&amp;IF(BK139="","",CHAR(10))&amp;$A140,BK139)</f>
        <v/>
      </c>
      <c r="BL140" s="363" t="str">
        <f aca="false">IF(AND($B140="D09",$C140="G4"),BL139&amp;IF(BL139="","",CHAR(10))&amp;$A140,BL139)</f>
        <v>◐ 051 藥品耗材與SPD物流
◐ 052 冷鏈與特殊物料
● 053 CMMS與設施維運</v>
      </c>
      <c r="BM140" s="0" t="str">
        <f aca="false">IF(AND($B140="D09",$C140="G5"),BM139&amp;IF(BM139="","",CHAR(10))&amp;$A140,BM139)</f>
        <v>◐ 054 在地備品、維修與汰換</v>
      </c>
      <c r="BN140" s="0" t="str">
        <f aca="false">IF(AND($B140="D09",$C140="G6"),BN139&amp;IF(BN139="","",CHAR(10))&amp;$A140,BN139)</f>
        <v/>
      </c>
      <c r="BO140" s="0" t="str">
        <f aca="false">IF(AND($B140="D10",$C140="G0"),BO139&amp;IF(BO139="","",CHAR(10))&amp;$A140,BO139)</f>
        <v/>
      </c>
      <c r="BP140" s="0" t="str">
        <f aca="false">IF(AND($B140="D10",$C140="G1"),BP139&amp;IF(BP139="","",CHAR(10))&amp;$A140,BP139)</f>
        <v>◐ 055 全生命週期成本模型</v>
      </c>
      <c r="BQ140" s="0" t="str">
        <f aca="false">IF(AND($B140="D10",$C140="G2"),BQ139&amp;IF(BQ139="","",CHAR(10))&amp;$A140,BQ139)</f>
        <v>◐ 059 PPP／JV財務與風險分配</v>
      </c>
      <c r="BR140" s="0" t="str">
        <f aca="false">IF(AND($B140="D10",$C140="G3"),BR139&amp;IF(BR139="","",CHAR(10))&amp;$A140,BR139)</f>
        <v/>
      </c>
      <c r="BS140" s="363" t="str">
        <f aca="false">IF(AND($B140="D10",$C140="G4"),BS139&amp;IF(BS139="","",CHAR(10))&amp;$A140,BS139)</f>
        <v>○ 056 健保申報與數位理賠
○ 057 現金流、支付與收入週期</v>
      </c>
      <c r="BT140" s="0" t="str">
        <f aca="false">IF(AND($B140="D10",$C140="G5"),BT139&amp;IF(BT139="","",CHAR(10))&amp;$A140,BT139)</f>
        <v>○ 058 國際醫療與高價值服務</v>
      </c>
      <c r="BU140" s="0" t="str">
        <f aca="false">IF(AND($B140="D10",$C140="G6"),BU139&amp;IF(BU139="","",CHAR(10))&amp;$A140,BU139)</f>
        <v>◐ 060 效益實現與複製藍圖</v>
      </c>
      <c r="BX140" s="0" t="str">
        <f aca="false">IF(AND(03_能力總表_Master!$A140&lt;&gt;"",LEFT(03_能力總表_Master!$H140,2)="缺口"),MAX($BX$4:BX139)+1,"")</f>
        <v/>
      </c>
      <c r="BY140" s="0" t="str">
        <f aca="false">IF(AND(03_能力總表_Master!$A140&lt;&gt;"",03_能力總表_Master!$J140=12_夥伴視角_PartnerView!$C$4),MAX($BY$4:BY139)+1,"")</f>
        <v/>
      </c>
      <c r="CC140" s="0" t="str">
        <f aca="false">IF(AND(03_能力總表_Master!$A140&lt;&gt;"",IFERROR(INDEX(16_能力商機矩陣_CapOppMap!$D140:$CO140,MATCH(LEFT(17_商機作戰卡_OppView!$C$4,6),16_能力商機矩陣_CapOppMap!$D$4:$CO$4,0)),"")="✓"),MAX($CC$4:CC139)+1,"")</f>
        <v/>
      </c>
    </row>
    <row r="141" customFormat="false" ht="95.5" hidden="false" customHeight="false" outlineLevel="0" collapsed="false">
      <c r="A141" s="0" t="str">
        <f aca="false">IF(03_能力總表_Master!$A141="","",IF(LEFT(03_能力總表_Master!$H141,2)="群晶","● ",IF(ISNUMBER(SEARCH("已確認",03_能力總表_Master!$H141)),"◆ ",IF(ISNUMBER(SEARCH("缺口",03_能力總表_Master!$H141)),"○ ","◐ ")))&amp;RIGHT(03_能力總表_Master!$A141,3)&amp;" "&amp;03_能力總表_Master!$E141)</f>
        <v/>
      </c>
      <c r="B141" s="0" t="str">
        <f aca="false">IF(03_能力總表_Master!$A141="","",LEFT(03_能力總表_Master!$B141,3))</f>
        <v/>
      </c>
      <c r="C141" s="0" t="str">
        <f aca="false">IF(03_能力總表_Master!$A141="","",03_能力總表_Master!$C141)</f>
        <v/>
      </c>
      <c r="D141" s="363" t="str">
        <f aca="false">IF(AND($B141="D01",$C141="G0"),D140&amp;IF(D140="","",CHAR(10))&amp;$A141,D140)</f>
        <v>◐ 001 政府授權與計畫章程
◐ 002 利害關係人與權力地圖
◐ 005 聯盟治理與利益衝突</v>
      </c>
      <c r="E141" s="363" t="str">
        <f aca="false">IF(AND($B141="D01",$C141="G1"),E140&amp;IF(E140="","",CHAR(10))&amp;$A141,E140)</f>
        <v>◐ 003 交易模式選擇
◐ 004 法規與執照路徑</v>
      </c>
      <c r="F141" s="0" t="str">
        <f aca="false">IF(AND($B141="D01",$C141="G2"),F140&amp;IF(F140="","",CHAR(10))&amp;$A141,F140)</f>
        <v>◐ 006 績效契約與變更控制</v>
      </c>
      <c r="G141" s="0" t="str">
        <f aca="false">IF(AND($B141="D01",$C141="G3"),G140&amp;IF(G140="","",CHAR(10))&amp;$A141,G140)</f>
        <v/>
      </c>
      <c r="H141" s="0" t="str">
        <f aca="false">IF(AND($B141="D01",$C141="G4"),H140&amp;IF(H140="","",CHAR(10))&amp;$A141,H140)</f>
        <v/>
      </c>
      <c r="I141" s="0" t="str">
        <f aca="false">IF(AND($B141="D01",$C141="G5"),I140&amp;IF(I140="","",CHAR(10))&amp;$A141,I140)</f>
        <v/>
      </c>
      <c r="J141" s="0" t="str">
        <f aca="false">IF(AND($B141="D01",$C141="G6"),J140&amp;IF(J140="","",CHAR(10))&amp;$A141,J140)</f>
        <v/>
      </c>
      <c r="K141" s="0" t="str">
        <f aca="false">IF(AND($B141="D02",$C141="G0"),K140&amp;IF(K140="","",CHAR(10))&amp;$A141,K140)</f>
        <v/>
      </c>
      <c r="L141" s="363" t="str">
        <f aca="false">IF(AND($B141="D02",$C141="G1"),L140&amp;IF(L140="","",CHAR(10))&amp;$A141,L140)</f>
        <v>◐ 007 人口需求與病例量預測
◐ 008 醫院定位與服務組合
◐ 009 重點專科優先化
◐ 010 病人流程與容量設計
◐ 011 轉診與區域照護網絡
◐ 012 臨床治理與責任架構</v>
      </c>
      <c r="M141" s="0" t="str">
        <f aca="false">IF(AND($B141="D02",$C141="G2"),M140&amp;IF(M140="","",CHAR(10))&amp;$A141,M140)</f>
        <v/>
      </c>
      <c r="N141" s="0" t="str">
        <f aca="false">IF(AND($B141="D02",$C141="G3"),N140&amp;IF(N140="","",CHAR(10))&amp;$A141,N140)</f>
        <v/>
      </c>
      <c r="O141" s="0" t="str">
        <f aca="false">IF(AND($B141="D02",$C141="G4"),O140&amp;IF(O140="","",CHAR(10))&amp;$A141,O140)</f>
        <v/>
      </c>
      <c r="P141" s="0" t="str">
        <f aca="false">IF(AND($B141="D02",$C141="G5"),P140&amp;IF(P140="","",CHAR(10))&amp;$A141,P140)</f>
        <v/>
      </c>
      <c r="Q141" s="0" t="str">
        <f aca="false">IF(AND($B141="D02",$C141="G6"),Q140&amp;IF(Q140="","",CHAR(10))&amp;$A141,Q140)</f>
        <v/>
      </c>
      <c r="R141" s="0" t="str">
        <f aca="false">IF(AND($B141="D03",$C141="G0"),R140&amp;IF(R140="","",CHAR(10))&amp;$A141,R140)</f>
        <v/>
      </c>
      <c r="S141" s="0" t="str">
        <f aca="false">IF(AND($B141="D03",$C141="G1"),S140&amp;IF(S140="","",CHAR(10))&amp;$A141,S140)</f>
        <v>◐ 013 場址與醫院總體規劃</v>
      </c>
      <c r="T141" s="363" t="str">
        <f aca="false">IF(AND($B141="D03",$C141="G2"),T140&amp;IF(T140="","",CHAR(10))&amp;$A141,T140)</f>
        <v>◐ 014 醫療建築功能計畫
◐ 015 感染控制與潔污動線
◐ 019 綠色與氣候韌性醫院</v>
      </c>
      <c r="U141" s="363" t="str">
        <f aca="false">IF(AND($B141="D03",$C141="G3"),U140&amp;IF(U140="","",CHAR(10))&amp;$A141,U140)</f>
        <v>● 016 電力、備援與微電網
◐ 017 醫療氣體與關鍵公用系統
◐ 018 醫療廢棄物與水資源</v>
      </c>
      <c r="V141" s="0" t="str">
        <f aca="false">IF(AND($B141="D03",$C141="G4"),V140&amp;IF(V140="","",CHAR(10))&amp;$A141,V140)</f>
        <v/>
      </c>
      <c r="W141" s="0" t="str">
        <f aca="false">IF(AND($B141="D03",$C141="G5"),W140&amp;IF(W140="","",CHAR(10))&amp;$A141,W140)</f>
        <v/>
      </c>
      <c r="X141" s="0" t="str">
        <f aca="false">IF(AND($B141="D03",$C141="G6"),X140&amp;IF(X140="","",CHAR(10))&amp;$A141,X140)</f>
        <v/>
      </c>
      <c r="Y141" s="0" t="str">
        <f aca="false">IF(AND($B141="D04",$C141="G0"),Y140&amp;IF(Y140="","",CHAR(10))&amp;$A141,Y140)</f>
        <v/>
      </c>
      <c r="Z141" s="0" t="str">
        <f aca="false">IF(AND($B141="D04",$C141="G1"),Z140&amp;IF(Z140="","",CHAR(10))&amp;$A141,Z140)</f>
        <v/>
      </c>
      <c r="AA141" s="0" t="str">
        <f aca="false">IF(AND($B141="D04",$C141="G2"),AA140&amp;IF(AA140="","",CHAR(10))&amp;$A141,AA140)</f>
        <v/>
      </c>
      <c r="AB141" s="0" t="str">
        <f aca="false">IF(AND($B141="D04",$C141="G3"),AB140&amp;IF(AB140="","",CHAR(10))&amp;$A141,AB140)</f>
        <v>● 020 IDC與邊緣運算底座</v>
      </c>
      <c r="AC141" s="363" t="str">
        <f aca="false">IF(AND($B141="D04",$C141="G4"),AC140&amp;IF(AC140="","",CHAR(10))&amp;$A141,AC140)</f>
        <v>● 021 有線無線網路與分區
◐ 022 資安營運與零信任
● 023 BMS與能源管理
● 024 RTLS與資產／人員定位
● 025 智慧病房、護理呼叫與感測
● 026 災難復原與營運持續</v>
      </c>
      <c r="AD141" s="0" t="str">
        <f aca="false">IF(AND($B141="D04",$C141="G5"),AD140&amp;IF(AD140="","",CHAR(10))&amp;$A141,AD140)</f>
        <v/>
      </c>
      <c r="AE141" s="0" t="str">
        <f aca="false">IF(AND($B141="D04",$C141="G6"),AE140&amp;IF(AE140="","",CHAR(10))&amp;$A141,AE140)</f>
        <v/>
      </c>
      <c r="AF141" s="0" t="str">
        <f aca="false">IF(AND($B141="D05",$C141="G0"),AF140&amp;IF(AF140="","",CHAR(10))&amp;$A141,AF140)</f>
        <v/>
      </c>
      <c r="AG141" s="0" t="str">
        <f aca="false">IF(AND($B141="D05",$C141="G1"),AG140&amp;IF(AG140="","",CHAR(10))&amp;$A141,AG140)</f>
        <v/>
      </c>
      <c r="AH141" s="0" t="str">
        <f aca="false">IF(AND($B141="D05",$C141="G2"),AH140&amp;IF(AH140="","",CHAR(10))&amp;$A141,AH140)</f>
        <v>◐ 027 醫材需求與設備計畫</v>
      </c>
      <c r="AI141" s="0" t="str">
        <f aca="false">IF(AND($B141="D05",$C141="G3"),AI140&amp;IF(AI140="","",CHAR(10))&amp;$A141,AI140)</f>
        <v/>
      </c>
      <c r="AJ141" s="363" t="str">
        <f aca="false">IF(AND($B141="D05",$C141="G4"),AJ140&amp;IF(AJ140="","",CHAR(10))&amp;$A141,AJ140)</f>
        <v>○ 028 影像設備、PACS與報告流程
○ 029 實驗室自動化與LIS
○ 030 手術室與重症整合
◐ 031 醫材介接與裝置身分
◐ 032 醫療工程與設備生命週期</v>
      </c>
      <c r="AK141" s="0" t="str">
        <f aca="false">IF(AND($B141="D05",$C141="G5"),AK140&amp;IF(AK140="","",CHAR(10))&amp;$A141,AK140)</f>
        <v/>
      </c>
      <c r="AL141" s="0" t="str">
        <f aca="false">IF(AND($B141="D05",$C141="G6"),AL140&amp;IF(AL140="","",CHAR(10))&amp;$A141,AL140)</f>
        <v/>
      </c>
      <c r="AM141" s="0" t="str">
        <f aca="false">IF(AND($B141="D06",$C141="G0"),AM140&amp;IF(AM140="","",CHAR(10))&amp;$A141,AM140)</f>
        <v/>
      </c>
      <c r="AN141" s="0" t="str">
        <f aca="false">IF(AND($B141="D06",$C141="G1"),AN140&amp;IF(AN140="","",CHAR(10))&amp;$A141,AN140)</f>
        <v/>
      </c>
      <c r="AO141" s="0" t="str">
        <f aca="false">IF(AND($B141="D06",$C141="G2"),AO140&amp;IF(AO140="","",CHAR(10))&amp;$A141,AO140)</f>
        <v/>
      </c>
      <c r="AP141" s="363" t="str">
        <f aca="false">IF(AND($B141="D06",$C141="G3"),AP140&amp;IF(AP140="","",CHAR(10))&amp;$A141,AP140)</f>
        <v>◐ 033 HIS／EMR核心平台
◐ 036 臨床術語與主資料治理</v>
      </c>
      <c r="AQ141" s="363" t="str">
        <f aca="false">IF(AND($B141="D06",$C141="G4"),AQ140&amp;IF(AQ140="","",CHAR(10))&amp;$A141,AQ140)</f>
        <v>◐ 034 FHIR介接與API管理
○ 035 主病人索引與身分整合
◐ 037 電子醫囑、用藥與決策支援
◐ 038 資料平台、BI與營運指揮</v>
      </c>
      <c r="AR141" s="0" t="str">
        <f aca="false">IF(AND($B141="D06",$C141="G5"),AR140&amp;IF(AR140="","",CHAR(10))&amp;$A141,AR140)</f>
        <v>○ 039 病人入口、行動服務與VNeID準備</v>
      </c>
      <c r="AS141" s="0" t="str">
        <f aca="false">IF(AND($B141="D06",$C141="G6"),AS140&amp;IF(AS140="","",CHAR(10))&amp;$A141,AS140)</f>
        <v/>
      </c>
      <c r="AT141" s="0" t="str">
        <f aca="false">IF(AND($B141="D07",$C141="G0"),AT140&amp;IF(AT140="","",CHAR(10))&amp;$A141,AT140)</f>
        <v/>
      </c>
      <c r="AU141" s="0" t="str">
        <f aca="false">IF(AND($B141="D07",$C141="G1"),AU140&amp;IF(AU140="","",CHAR(10))&amp;$A141,AU140)</f>
        <v/>
      </c>
      <c r="AV141" s="0" t="str">
        <f aca="false">IF(AND($B141="D07",$C141="G2"),AV140&amp;IF(AV140="","",CHAR(10))&amp;$A141,AV140)</f>
        <v>◐ 040 品質管理與JCI路線圖</v>
      </c>
      <c r="AW141" s="363" t="str">
        <f aca="false">IF(AND($B141="D07",$C141="G3"),AW140&amp;IF(AW140="","",CHAR(10))&amp;$A141,AW140)</f>
        <v>◐ 041 感染預防與控制制度
◐ 043 事件通報與根因改善</v>
      </c>
      <c r="AX141" s="0" t="str">
        <f aca="false">IF(AND($B141="D07",$C141="G4"),AX140&amp;IF(AX140="","",CHAR(10))&amp;$A141,AX140)</f>
        <v>◐ 042 用藥安全閉環</v>
      </c>
      <c r="AY141" s="0" t="str">
        <f aca="false">IF(AND($B141="D07",$C141="G5"),AY140&amp;IF(AY140="","",CHAR(10))&amp;$A141,AY140)</f>
        <v>◐ 044 開院臨床安全驗證</v>
      </c>
      <c r="AZ141" s="0" t="str">
        <f aca="false">IF(AND($B141="D07",$C141="G6"),AZ140&amp;IF(AZ140="","",CHAR(10))&amp;$A141,AZ140)</f>
        <v/>
      </c>
      <c r="BA141" s="0" t="str">
        <f aca="false">IF(AND($B141="D08",$C141="G0"),BA140&amp;IF(BA140="","",CHAR(10))&amp;$A141,BA140)</f>
        <v/>
      </c>
      <c r="BB141" s="0" t="str">
        <f aca="false">IF(AND($B141="D08",$C141="G1"),BB140&amp;IF(BB140="","",CHAR(10))&amp;$A141,BB140)</f>
        <v/>
      </c>
      <c r="BC141" s="0" t="str">
        <f aca="false">IF(AND($B141="D08",$C141="G2"),BC140&amp;IF(BC140="","",CHAR(10))&amp;$A141,BC140)</f>
        <v>○ 045 人力與輪班模型</v>
      </c>
      <c r="BD141" s="0" t="str">
        <f aca="false">IF(AND($B141="D08",$C141="G3"),BD140&amp;IF(BD140="","",CHAR(10))&amp;$A141,BD140)</f>
        <v>◐ 046 職能矩陣與授權</v>
      </c>
      <c r="BE141" s="363" t="str">
        <f aca="false">IF(AND($B141="D08",$C141="G4"),BE140&amp;IF(BE140="","",CHAR(10))&amp;$A141,BE140)</f>
        <v>◐ 047 種子教師與技術移轉
◐ 049 變革管理與使用者採納</v>
      </c>
      <c r="BF141" s="0" t="str">
        <f aca="false">IF(AND($B141="D08",$C141="G5"),BF140&amp;IF(BF140="","",CHAR(10))&amp;$A141,BF140)</f>
        <v>◐ 048 模擬中心與開院演練</v>
      </c>
      <c r="BG141" s="0" t="str">
        <f aca="false">IF(AND($B141="D08",$C141="G6"),BG140&amp;IF(BG140="","",CHAR(10))&amp;$A141,BG140)</f>
        <v/>
      </c>
      <c r="BH141" s="0" t="str">
        <f aca="false">IF(AND($B141="D09",$C141="G0"),BH140&amp;IF(BH140="","",CHAR(10))&amp;$A141,BH140)</f>
        <v/>
      </c>
      <c r="BI141" s="0" t="str">
        <f aca="false">IF(AND($B141="D09",$C141="G1"),BI140&amp;IF(BI140="","",CHAR(10))&amp;$A141,BI140)</f>
        <v/>
      </c>
      <c r="BJ141" s="0" t="str">
        <f aca="false">IF(AND($B141="D09",$C141="G2"),BJ140&amp;IF(BJ140="","",CHAR(10))&amp;$A141,BJ140)</f>
        <v>◐ 050 整合採購與供應商治理</v>
      </c>
      <c r="BK141" s="0" t="str">
        <f aca="false">IF(AND($B141="D09",$C141="G3"),BK140&amp;IF(BK140="","",CHAR(10))&amp;$A141,BK140)</f>
        <v/>
      </c>
      <c r="BL141" s="363" t="str">
        <f aca="false">IF(AND($B141="D09",$C141="G4"),BL140&amp;IF(BL140="","",CHAR(10))&amp;$A141,BL140)</f>
        <v>◐ 051 藥品耗材與SPD物流
◐ 052 冷鏈與特殊物料
● 053 CMMS與設施維運</v>
      </c>
      <c r="BM141" s="0" t="str">
        <f aca="false">IF(AND($B141="D09",$C141="G5"),BM140&amp;IF(BM140="","",CHAR(10))&amp;$A141,BM140)</f>
        <v>◐ 054 在地備品、維修與汰換</v>
      </c>
      <c r="BN141" s="0" t="str">
        <f aca="false">IF(AND($B141="D09",$C141="G6"),BN140&amp;IF(BN140="","",CHAR(10))&amp;$A141,BN140)</f>
        <v/>
      </c>
      <c r="BO141" s="0" t="str">
        <f aca="false">IF(AND($B141="D10",$C141="G0"),BO140&amp;IF(BO140="","",CHAR(10))&amp;$A141,BO140)</f>
        <v/>
      </c>
      <c r="BP141" s="0" t="str">
        <f aca="false">IF(AND($B141="D10",$C141="G1"),BP140&amp;IF(BP140="","",CHAR(10))&amp;$A141,BP140)</f>
        <v>◐ 055 全生命週期成本模型</v>
      </c>
      <c r="BQ141" s="0" t="str">
        <f aca="false">IF(AND($B141="D10",$C141="G2"),BQ140&amp;IF(BQ140="","",CHAR(10))&amp;$A141,BQ140)</f>
        <v>◐ 059 PPP／JV財務與風險分配</v>
      </c>
      <c r="BR141" s="0" t="str">
        <f aca="false">IF(AND($B141="D10",$C141="G3"),BR140&amp;IF(BR140="","",CHAR(10))&amp;$A141,BR140)</f>
        <v/>
      </c>
      <c r="BS141" s="363" t="str">
        <f aca="false">IF(AND($B141="D10",$C141="G4"),BS140&amp;IF(BS140="","",CHAR(10))&amp;$A141,BS140)</f>
        <v>○ 056 健保申報與數位理賠
○ 057 現金流、支付與收入週期</v>
      </c>
      <c r="BT141" s="0" t="str">
        <f aca="false">IF(AND($B141="D10",$C141="G5"),BT140&amp;IF(BT140="","",CHAR(10))&amp;$A141,BT140)</f>
        <v>○ 058 國際醫療與高價值服務</v>
      </c>
      <c r="BU141" s="0" t="str">
        <f aca="false">IF(AND($B141="D10",$C141="G6"),BU140&amp;IF(BU140="","",CHAR(10))&amp;$A141,BU140)</f>
        <v>◐ 060 效益實現與複製藍圖</v>
      </c>
      <c r="BX141" s="0" t="str">
        <f aca="false">IF(AND(03_能力總表_Master!$A141&lt;&gt;"",LEFT(03_能力總表_Master!$H141,2)="缺口"),MAX($BX$4:BX140)+1,"")</f>
        <v/>
      </c>
      <c r="BY141" s="0" t="str">
        <f aca="false">IF(AND(03_能力總表_Master!$A141&lt;&gt;"",03_能力總表_Master!$J141=12_夥伴視角_PartnerView!$C$4),MAX($BY$4:BY140)+1,"")</f>
        <v/>
      </c>
      <c r="CC141" s="0" t="str">
        <f aca="false">IF(AND(03_能力總表_Master!$A141&lt;&gt;"",IFERROR(INDEX(16_能力商機矩陣_CapOppMap!$D141:$CO141,MATCH(LEFT(17_商機作戰卡_OppView!$C$4,6),16_能力商機矩陣_CapOppMap!$D$4:$CO$4,0)),"")="✓"),MAX($CC$4:CC140)+1,"")</f>
        <v/>
      </c>
    </row>
    <row r="142" customFormat="false" ht="95.5" hidden="false" customHeight="false" outlineLevel="0" collapsed="false">
      <c r="A142" s="0" t="str">
        <f aca="false">IF(03_能力總表_Master!$A142="","",IF(LEFT(03_能力總表_Master!$H142,2)="群晶","● ",IF(ISNUMBER(SEARCH("已確認",03_能力總表_Master!$H142)),"◆ ",IF(ISNUMBER(SEARCH("缺口",03_能力總表_Master!$H142)),"○ ","◐ ")))&amp;RIGHT(03_能力總表_Master!$A142,3)&amp;" "&amp;03_能力總表_Master!$E142)</f>
        <v/>
      </c>
      <c r="B142" s="0" t="str">
        <f aca="false">IF(03_能力總表_Master!$A142="","",LEFT(03_能力總表_Master!$B142,3))</f>
        <v/>
      </c>
      <c r="C142" s="0" t="str">
        <f aca="false">IF(03_能力總表_Master!$A142="","",03_能力總表_Master!$C142)</f>
        <v/>
      </c>
      <c r="D142" s="363" t="str">
        <f aca="false">IF(AND($B142="D01",$C142="G0"),D141&amp;IF(D141="","",CHAR(10))&amp;$A142,D141)</f>
        <v>◐ 001 政府授權與計畫章程
◐ 002 利害關係人與權力地圖
◐ 005 聯盟治理與利益衝突</v>
      </c>
      <c r="E142" s="363" t="str">
        <f aca="false">IF(AND($B142="D01",$C142="G1"),E141&amp;IF(E141="","",CHAR(10))&amp;$A142,E141)</f>
        <v>◐ 003 交易模式選擇
◐ 004 法規與執照路徑</v>
      </c>
      <c r="F142" s="0" t="str">
        <f aca="false">IF(AND($B142="D01",$C142="G2"),F141&amp;IF(F141="","",CHAR(10))&amp;$A142,F141)</f>
        <v>◐ 006 績效契約與變更控制</v>
      </c>
      <c r="G142" s="0" t="str">
        <f aca="false">IF(AND($B142="D01",$C142="G3"),G141&amp;IF(G141="","",CHAR(10))&amp;$A142,G141)</f>
        <v/>
      </c>
      <c r="H142" s="0" t="str">
        <f aca="false">IF(AND($B142="D01",$C142="G4"),H141&amp;IF(H141="","",CHAR(10))&amp;$A142,H141)</f>
        <v/>
      </c>
      <c r="I142" s="0" t="str">
        <f aca="false">IF(AND($B142="D01",$C142="G5"),I141&amp;IF(I141="","",CHAR(10))&amp;$A142,I141)</f>
        <v/>
      </c>
      <c r="J142" s="0" t="str">
        <f aca="false">IF(AND($B142="D01",$C142="G6"),J141&amp;IF(J141="","",CHAR(10))&amp;$A142,J141)</f>
        <v/>
      </c>
      <c r="K142" s="0" t="str">
        <f aca="false">IF(AND($B142="D02",$C142="G0"),K141&amp;IF(K141="","",CHAR(10))&amp;$A142,K141)</f>
        <v/>
      </c>
      <c r="L142" s="363" t="str">
        <f aca="false">IF(AND($B142="D02",$C142="G1"),L141&amp;IF(L141="","",CHAR(10))&amp;$A142,L141)</f>
        <v>◐ 007 人口需求與病例量預測
◐ 008 醫院定位與服務組合
◐ 009 重點專科優先化
◐ 010 病人流程與容量設計
◐ 011 轉診與區域照護網絡
◐ 012 臨床治理與責任架構</v>
      </c>
      <c r="M142" s="0" t="str">
        <f aca="false">IF(AND($B142="D02",$C142="G2"),M141&amp;IF(M141="","",CHAR(10))&amp;$A142,M141)</f>
        <v/>
      </c>
      <c r="N142" s="0" t="str">
        <f aca="false">IF(AND($B142="D02",$C142="G3"),N141&amp;IF(N141="","",CHAR(10))&amp;$A142,N141)</f>
        <v/>
      </c>
      <c r="O142" s="0" t="str">
        <f aca="false">IF(AND($B142="D02",$C142="G4"),O141&amp;IF(O141="","",CHAR(10))&amp;$A142,O141)</f>
        <v/>
      </c>
      <c r="P142" s="0" t="str">
        <f aca="false">IF(AND($B142="D02",$C142="G5"),P141&amp;IF(P141="","",CHAR(10))&amp;$A142,P141)</f>
        <v/>
      </c>
      <c r="Q142" s="0" t="str">
        <f aca="false">IF(AND($B142="D02",$C142="G6"),Q141&amp;IF(Q141="","",CHAR(10))&amp;$A142,Q141)</f>
        <v/>
      </c>
      <c r="R142" s="0" t="str">
        <f aca="false">IF(AND($B142="D03",$C142="G0"),R141&amp;IF(R141="","",CHAR(10))&amp;$A142,R141)</f>
        <v/>
      </c>
      <c r="S142" s="0" t="str">
        <f aca="false">IF(AND($B142="D03",$C142="G1"),S141&amp;IF(S141="","",CHAR(10))&amp;$A142,S141)</f>
        <v>◐ 013 場址與醫院總體規劃</v>
      </c>
      <c r="T142" s="363" t="str">
        <f aca="false">IF(AND($B142="D03",$C142="G2"),T141&amp;IF(T141="","",CHAR(10))&amp;$A142,T141)</f>
        <v>◐ 014 醫療建築功能計畫
◐ 015 感染控制與潔污動線
◐ 019 綠色與氣候韌性醫院</v>
      </c>
      <c r="U142" s="363" t="str">
        <f aca="false">IF(AND($B142="D03",$C142="G3"),U141&amp;IF(U141="","",CHAR(10))&amp;$A142,U141)</f>
        <v>● 016 電力、備援與微電網
◐ 017 醫療氣體與關鍵公用系統
◐ 018 醫療廢棄物與水資源</v>
      </c>
      <c r="V142" s="0" t="str">
        <f aca="false">IF(AND($B142="D03",$C142="G4"),V141&amp;IF(V141="","",CHAR(10))&amp;$A142,V141)</f>
        <v/>
      </c>
      <c r="W142" s="0" t="str">
        <f aca="false">IF(AND($B142="D03",$C142="G5"),W141&amp;IF(W141="","",CHAR(10))&amp;$A142,W141)</f>
        <v/>
      </c>
      <c r="X142" s="0" t="str">
        <f aca="false">IF(AND($B142="D03",$C142="G6"),X141&amp;IF(X141="","",CHAR(10))&amp;$A142,X141)</f>
        <v/>
      </c>
      <c r="Y142" s="0" t="str">
        <f aca="false">IF(AND($B142="D04",$C142="G0"),Y141&amp;IF(Y141="","",CHAR(10))&amp;$A142,Y141)</f>
        <v/>
      </c>
      <c r="Z142" s="0" t="str">
        <f aca="false">IF(AND($B142="D04",$C142="G1"),Z141&amp;IF(Z141="","",CHAR(10))&amp;$A142,Z141)</f>
        <v/>
      </c>
      <c r="AA142" s="0" t="str">
        <f aca="false">IF(AND($B142="D04",$C142="G2"),AA141&amp;IF(AA141="","",CHAR(10))&amp;$A142,AA141)</f>
        <v/>
      </c>
      <c r="AB142" s="0" t="str">
        <f aca="false">IF(AND($B142="D04",$C142="G3"),AB141&amp;IF(AB141="","",CHAR(10))&amp;$A142,AB141)</f>
        <v>● 020 IDC與邊緣運算底座</v>
      </c>
      <c r="AC142" s="363" t="str">
        <f aca="false">IF(AND($B142="D04",$C142="G4"),AC141&amp;IF(AC141="","",CHAR(10))&amp;$A142,AC141)</f>
        <v>● 021 有線無線網路與分區
◐ 022 資安營運與零信任
● 023 BMS與能源管理
● 024 RTLS與資產／人員定位
● 025 智慧病房、護理呼叫與感測
● 026 災難復原與營運持續</v>
      </c>
      <c r="AD142" s="0" t="str">
        <f aca="false">IF(AND($B142="D04",$C142="G5"),AD141&amp;IF(AD141="","",CHAR(10))&amp;$A142,AD141)</f>
        <v/>
      </c>
      <c r="AE142" s="0" t="str">
        <f aca="false">IF(AND($B142="D04",$C142="G6"),AE141&amp;IF(AE141="","",CHAR(10))&amp;$A142,AE141)</f>
        <v/>
      </c>
      <c r="AF142" s="0" t="str">
        <f aca="false">IF(AND($B142="D05",$C142="G0"),AF141&amp;IF(AF141="","",CHAR(10))&amp;$A142,AF141)</f>
        <v/>
      </c>
      <c r="AG142" s="0" t="str">
        <f aca="false">IF(AND($B142="D05",$C142="G1"),AG141&amp;IF(AG141="","",CHAR(10))&amp;$A142,AG141)</f>
        <v/>
      </c>
      <c r="AH142" s="0" t="str">
        <f aca="false">IF(AND($B142="D05",$C142="G2"),AH141&amp;IF(AH141="","",CHAR(10))&amp;$A142,AH141)</f>
        <v>◐ 027 醫材需求與設備計畫</v>
      </c>
      <c r="AI142" s="0" t="str">
        <f aca="false">IF(AND($B142="D05",$C142="G3"),AI141&amp;IF(AI141="","",CHAR(10))&amp;$A142,AI141)</f>
        <v/>
      </c>
      <c r="AJ142" s="363" t="str">
        <f aca="false">IF(AND($B142="D05",$C142="G4"),AJ141&amp;IF(AJ141="","",CHAR(10))&amp;$A142,AJ141)</f>
        <v>○ 028 影像設備、PACS與報告流程
○ 029 實驗室自動化與LIS
○ 030 手術室與重症整合
◐ 031 醫材介接與裝置身分
◐ 032 醫療工程與設備生命週期</v>
      </c>
      <c r="AK142" s="0" t="str">
        <f aca="false">IF(AND($B142="D05",$C142="G5"),AK141&amp;IF(AK141="","",CHAR(10))&amp;$A142,AK141)</f>
        <v/>
      </c>
      <c r="AL142" s="0" t="str">
        <f aca="false">IF(AND($B142="D05",$C142="G6"),AL141&amp;IF(AL141="","",CHAR(10))&amp;$A142,AL141)</f>
        <v/>
      </c>
      <c r="AM142" s="0" t="str">
        <f aca="false">IF(AND($B142="D06",$C142="G0"),AM141&amp;IF(AM141="","",CHAR(10))&amp;$A142,AM141)</f>
        <v/>
      </c>
      <c r="AN142" s="0" t="str">
        <f aca="false">IF(AND($B142="D06",$C142="G1"),AN141&amp;IF(AN141="","",CHAR(10))&amp;$A142,AN141)</f>
        <v/>
      </c>
      <c r="AO142" s="0" t="str">
        <f aca="false">IF(AND($B142="D06",$C142="G2"),AO141&amp;IF(AO141="","",CHAR(10))&amp;$A142,AO141)</f>
        <v/>
      </c>
      <c r="AP142" s="363" t="str">
        <f aca="false">IF(AND($B142="D06",$C142="G3"),AP141&amp;IF(AP141="","",CHAR(10))&amp;$A142,AP141)</f>
        <v>◐ 033 HIS／EMR核心平台
◐ 036 臨床術語與主資料治理</v>
      </c>
      <c r="AQ142" s="363" t="str">
        <f aca="false">IF(AND($B142="D06",$C142="G4"),AQ141&amp;IF(AQ141="","",CHAR(10))&amp;$A142,AQ141)</f>
        <v>◐ 034 FHIR介接與API管理
○ 035 主病人索引與身分整合
◐ 037 電子醫囑、用藥與決策支援
◐ 038 資料平台、BI與營運指揮</v>
      </c>
      <c r="AR142" s="0" t="str">
        <f aca="false">IF(AND($B142="D06",$C142="G5"),AR141&amp;IF(AR141="","",CHAR(10))&amp;$A142,AR141)</f>
        <v>○ 039 病人入口、行動服務與VNeID準備</v>
      </c>
      <c r="AS142" s="0" t="str">
        <f aca="false">IF(AND($B142="D06",$C142="G6"),AS141&amp;IF(AS141="","",CHAR(10))&amp;$A142,AS141)</f>
        <v/>
      </c>
      <c r="AT142" s="0" t="str">
        <f aca="false">IF(AND($B142="D07",$C142="G0"),AT141&amp;IF(AT141="","",CHAR(10))&amp;$A142,AT141)</f>
        <v/>
      </c>
      <c r="AU142" s="0" t="str">
        <f aca="false">IF(AND($B142="D07",$C142="G1"),AU141&amp;IF(AU141="","",CHAR(10))&amp;$A142,AU141)</f>
        <v/>
      </c>
      <c r="AV142" s="0" t="str">
        <f aca="false">IF(AND($B142="D07",$C142="G2"),AV141&amp;IF(AV141="","",CHAR(10))&amp;$A142,AV141)</f>
        <v>◐ 040 品質管理與JCI路線圖</v>
      </c>
      <c r="AW142" s="363" t="str">
        <f aca="false">IF(AND($B142="D07",$C142="G3"),AW141&amp;IF(AW141="","",CHAR(10))&amp;$A142,AW141)</f>
        <v>◐ 041 感染預防與控制制度
◐ 043 事件通報與根因改善</v>
      </c>
      <c r="AX142" s="0" t="str">
        <f aca="false">IF(AND($B142="D07",$C142="G4"),AX141&amp;IF(AX141="","",CHAR(10))&amp;$A142,AX141)</f>
        <v>◐ 042 用藥安全閉環</v>
      </c>
      <c r="AY142" s="0" t="str">
        <f aca="false">IF(AND($B142="D07",$C142="G5"),AY141&amp;IF(AY141="","",CHAR(10))&amp;$A142,AY141)</f>
        <v>◐ 044 開院臨床安全驗證</v>
      </c>
      <c r="AZ142" s="0" t="str">
        <f aca="false">IF(AND($B142="D07",$C142="G6"),AZ141&amp;IF(AZ141="","",CHAR(10))&amp;$A142,AZ141)</f>
        <v/>
      </c>
      <c r="BA142" s="0" t="str">
        <f aca="false">IF(AND($B142="D08",$C142="G0"),BA141&amp;IF(BA141="","",CHAR(10))&amp;$A142,BA141)</f>
        <v/>
      </c>
      <c r="BB142" s="0" t="str">
        <f aca="false">IF(AND($B142="D08",$C142="G1"),BB141&amp;IF(BB141="","",CHAR(10))&amp;$A142,BB141)</f>
        <v/>
      </c>
      <c r="BC142" s="0" t="str">
        <f aca="false">IF(AND($B142="D08",$C142="G2"),BC141&amp;IF(BC141="","",CHAR(10))&amp;$A142,BC141)</f>
        <v>○ 045 人力與輪班模型</v>
      </c>
      <c r="BD142" s="0" t="str">
        <f aca="false">IF(AND($B142="D08",$C142="G3"),BD141&amp;IF(BD141="","",CHAR(10))&amp;$A142,BD141)</f>
        <v>◐ 046 職能矩陣與授權</v>
      </c>
      <c r="BE142" s="363" t="str">
        <f aca="false">IF(AND($B142="D08",$C142="G4"),BE141&amp;IF(BE141="","",CHAR(10))&amp;$A142,BE141)</f>
        <v>◐ 047 種子教師與技術移轉
◐ 049 變革管理與使用者採納</v>
      </c>
      <c r="BF142" s="0" t="str">
        <f aca="false">IF(AND($B142="D08",$C142="G5"),BF141&amp;IF(BF141="","",CHAR(10))&amp;$A142,BF141)</f>
        <v>◐ 048 模擬中心與開院演練</v>
      </c>
      <c r="BG142" s="0" t="str">
        <f aca="false">IF(AND($B142="D08",$C142="G6"),BG141&amp;IF(BG141="","",CHAR(10))&amp;$A142,BG141)</f>
        <v/>
      </c>
      <c r="BH142" s="0" t="str">
        <f aca="false">IF(AND($B142="D09",$C142="G0"),BH141&amp;IF(BH141="","",CHAR(10))&amp;$A142,BH141)</f>
        <v/>
      </c>
      <c r="BI142" s="0" t="str">
        <f aca="false">IF(AND($B142="D09",$C142="G1"),BI141&amp;IF(BI141="","",CHAR(10))&amp;$A142,BI141)</f>
        <v/>
      </c>
      <c r="BJ142" s="0" t="str">
        <f aca="false">IF(AND($B142="D09",$C142="G2"),BJ141&amp;IF(BJ141="","",CHAR(10))&amp;$A142,BJ141)</f>
        <v>◐ 050 整合採購與供應商治理</v>
      </c>
      <c r="BK142" s="0" t="str">
        <f aca="false">IF(AND($B142="D09",$C142="G3"),BK141&amp;IF(BK141="","",CHAR(10))&amp;$A142,BK141)</f>
        <v/>
      </c>
      <c r="BL142" s="363" t="str">
        <f aca="false">IF(AND($B142="D09",$C142="G4"),BL141&amp;IF(BL141="","",CHAR(10))&amp;$A142,BL141)</f>
        <v>◐ 051 藥品耗材與SPD物流
◐ 052 冷鏈與特殊物料
● 053 CMMS與設施維運</v>
      </c>
      <c r="BM142" s="0" t="str">
        <f aca="false">IF(AND($B142="D09",$C142="G5"),BM141&amp;IF(BM141="","",CHAR(10))&amp;$A142,BM141)</f>
        <v>◐ 054 在地備品、維修與汰換</v>
      </c>
      <c r="BN142" s="0" t="str">
        <f aca="false">IF(AND($B142="D09",$C142="G6"),BN141&amp;IF(BN141="","",CHAR(10))&amp;$A142,BN141)</f>
        <v/>
      </c>
      <c r="BO142" s="0" t="str">
        <f aca="false">IF(AND($B142="D10",$C142="G0"),BO141&amp;IF(BO141="","",CHAR(10))&amp;$A142,BO141)</f>
        <v/>
      </c>
      <c r="BP142" s="0" t="str">
        <f aca="false">IF(AND($B142="D10",$C142="G1"),BP141&amp;IF(BP141="","",CHAR(10))&amp;$A142,BP141)</f>
        <v>◐ 055 全生命週期成本模型</v>
      </c>
      <c r="BQ142" s="0" t="str">
        <f aca="false">IF(AND($B142="D10",$C142="G2"),BQ141&amp;IF(BQ141="","",CHAR(10))&amp;$A142,BQ141)</f>
        <v>◐ 059 PPP／JV財務與風險分配</v>
      </c>
      <c r="BR142" s="0" t="str">
        <f aca="false">IF(AND($B142="D10",$C142="G3"),BR141&amp;IF(BR141="","",CHAR(10))&amp;$A142,BR141)</f>
        <v/>
      </c>
      <c r="BS142" s="363" t="str">
        <f aca="false">IF(AND($B142="D10",$C142="G4"),BS141&amp;IF(BS141="","",CHAR(10))&amp;$A142,BS141)</f>
        <v>○ 056 健保申報與數位理賠
○ 057 現金流、支付與收入週期</v>
      </c>
      <c r="BT142" s="0" t="str">
        <f aca="false">IF(AND($B142="D10",$C142="G5"),BT141&amp;IF(BT141="","",CHAR(10))&amp;$A142,BT141)</f>
        <v>○ 058 國際醫療與高價值服務</v>
      </c>
      <c r="BU142" s="0" t="str">
        <f aca="false">IF(AND($B142="D10",$C142="G6"),BU141&amp;IF(BU141="","",CHAR(10))&amp;$A142,BU141)</f>
        <v>◐ 060 效益實現與複製藍圖</v>
      </c>
      <c r="BX142" s="0" t="str">
        <f aca="false">IF(AND(03_能力總表_Master!$A142&lt;&gt;"",LEFT(03_能力總表_Master!$H142,2)="缺口"),MAX($BX$4:BX141)+1,"")</f>
        <v/>
      </c>
      <c r="BY142" s="0" t="str">
        <f aca="false">IF(AND(03_能力總表_Master!$A142&lt;&gt;"",03_能力總表_Master!$J142=12_夥伴視角_PartnerView!$C$4),MAX($BY$4:BY141)+1,"")</f>
        <v/>
      </c>
      <c r="CC142" s="0" t="str">
        <f aca="false">IF(AND(03_能力總表_Master!$A142&lt;&gt;"",IFERROR(INDEX(16_能力商機矩陣_CapOppMap!$D142:$CO142,MATCH(LEFT(17_商機作戰卡_OppView!$C$4,6),16_能力商機矩陣_CapOppMap!$D$4:$CO$4,0)),"")="✓"),MAX($CC$4:CC141)+1,"")</f>
        <v/>
      </c>
    </row>
    <row r="143" customFormat="false" ht="95.5" hidden="false" customHeight="false" outlineLevel="0" collapsed="false">
      <c r="A143" s="0" t="str">
        <f aca="false">IF(03_能力總表_Master!$A143="","",IF(LEFT(03_能力總表_Master!$H143,2)="群晶","● ",IF(ISNUMBER(SEARCH("已確認",03_能力總表_Master!$H143)),"◆ ",IF(ISNUMBER(SEARCH("缺口",03_能力總表_Master!$H143)),"○ ","◐ ")))&amp;RIGHT(03_能力總表_Master!$A143,3)&amp;" "&amp;03_能力總表_Master!$E143)</f>
        <v/>
      </c>
      <c r="B143" s="0" t="str">
        <f aca="false">IF(03_能力總表_Master!$A143="","",LEFT(03_能力總表_Master!$B143,3))</f>
        <v/>
      </c>
      <c r="C143" s="0" t="str">
        <f aca="false">IF(03_能力總表_Master!$A143="","",03_能力總表_Master!$C143)</f>
        <v/>
      </c>
      <c r="D143" s="363" t="str">
        <f aca="false">IF(AND($B143="D01",$C143="G0"),D142&amp;IF(D142="","",CHAR(10))&amp;$A143,D142)</f>
        <v>◐ 001 政府授權與計畫章程
◐ 002 利害關係人與權力地圖
◐ 005 聯盟治理與利益衝突</v>
      </c>
      <c r="E143" s="363" t="str">
        <f aca="false">IF(AND($B143="D01",$C143="G1"),E142&amp;IF(E142="","",CHAR(10))&amp;$A143,E142)</f>
        <v>◐ 003 交易模式選擇
◐ 004 法規與執照路徑</v>
      </c>
      <c r="F143" s="0" t="str">
        <f aca="false">IF(AND($B143="D01",$C143="G2"),F142&amp;IF(F142="","",CHAR(10))&amp;$A143,F142)</f>
        <v>◐ 006 績效契約與變更控制</v>
      </c>
      <c r="G143" s="0" t="str">
        <f aca="false">IF(AND($B143="D01",$C143="G3"),G142&amp;IF(G142="","",CHAR(10))&amp;$A143,G142)</f>
        <v/>
      </c>
      <c r="H143" s="0" t="str">
        <f aca="false">IF(AND($B143="D01",$C143="G4"),H142&amp;IF(H142="","",CHAR(10))&amp;$A143,H142)</f>
        <v/>
      </c>
      <c r="I143" s="0" t="str">
        <f aca="false">IF(AND($B143="D01",$C143="G5"),I142&amp;IF(I142="","",CHAR(10))&amp;$A143,I142)</f>
        <v/>
      </c>
      <c r="J143" s="0" t="str">
        <f aca="false">IF(AND($B143="D01",$C143="G6"),J142&amp;IF(J142="","",CHAR(10))&amp;$A143,J142)</f>
        <v/>
      </c>
      <c r="K143" s="0" t="str">
        <f aca="false">IF(AND($B143="D02",$C143="G0"),K142&amp;IF(K142="","",CHAR(10))&amp;$A143,K142)</f>
        <v/>
      </c>
      <c r="L143" s="363" t="str">
        <f aca="false">IF(AND($B143="D02",$C143="G1"),L142&amp;IF(L142="","",CHAR(10))&amp;$A143,L142)</f>
        <v>◐ 007 人口需求與病例量預測
◐ 008 醫院定位與服務組合
◐ 009 重點專科優先化
◐ 010 病人流程與容量設計
◐ 011 轉診與區域照護網絡
◐ 012 臨床治理與責任架構</v>
      </c>
      <c r="M143" s="0" t="str">
        <f aca="false">IF(AND($B143="D02",$C143="G2"),M142&amp;IF(M142="","",CHAR(10))&amp;$A143,M142)</f>
        <v/>
      </c>
      <c r="N143" s="0" t="str">
        <f aca="false">IF(AND($B143="D02",$C143="G3"),N142&amp;IF(N142="","",CHAR(10))&amp;$A143,N142)</f>
        <v/>
      </c>
      <c r="O143" s="0" t="str">
        <f aca="false">IF(AND($B143="D02",$C143="G4"),O142&amp;IF(O142="","",CHAR(10))&amp;$A143,O142)</f>
        <v/>
      </c>
      <c r="P143" s="0" t="str">
        <f aca="false">IF(AND($B143="D02",$C143="G5"),P142&amp;IF(P142="","",CHAR(10))&amp;$A143,P142)</f>
        <v/>
      </c>
      <c r="Q143" s="0" t="str">
        <f aca="false">IF(AND($B143="D02",$C143="G6"),Q142&amp;IF(Q142="","",CHAR(10))&amp;$A143,Q142)</f>
        <v/>
      </c>
      <c r="R143" s="0" t="str">
        <f aca="false">IF(AND($B143="D03",$C143="G0"),R142&amp;IF(R142="","",CHAR(10))&amp;$A143,R142)</f>
        <v/>
      </c>
      <c r="S143" s="0" t="str">
        <f aca="false">IF(AND($B143="D03",$C143="G1"),S142&amp;IF(S142="","",CHAR(10))&amp;$A143,S142)</f>
        <v>◐ 013 場址與醫院總體規劃</v>
      </c>
      <c r="T143" s="363" t="str">
        <f aca="false">IF(AND($B143="D03",$C143="G2"),T142&amp;IF(T142="","",CHAR(10))&amp;$A143,T142)</f>
        <v>◐ 014 醫療建築功能計畫
◐ 015 感染控制與潔污動線
◐ 019 綠色與氣候韌性醫院</v>
      </c>
      <c r="U143" s="363" t="str">
        <f aca="false">IF(AND($B143="D03",$C143="G3"),U142&amp;IF(U142="","",CHAR(10))&amp;$A143,U142)</f>
        <v>● 016 電力、備援與微電網
◐ 017 醫療氣體與關鍵公用系統
◐ 018 醫療廢棄物與水資源</v>
      </c>
      <c r="V143" s="0" t="str">
        <f aca="false">IF(AND($B143="D03",$C143="G4"),V142&amp;IF(V142="","",CHAR(10))&amp;$A143,V142)</f>
        <v/>
      </c>
      <c r="W143" s="0" t="str">
        <f aca="false">IF(AND($B143="D03",$C143="G5"),W142&amp;IF(W142="","",CHAR(10))&amp;$A143,W142)</f>
        <v/>
      </c>
      <c r="X143" s="0" t="str">
        <f aca="false">IF(AND($B143="D03",$C143="G6"),X142&amp;IF(X142="","",CHAR(10))&amp;$A143,X142)</f>
        <v/>
      </c>
      <c r="Y143" s="0" t="str">
        <f aca="false">IF(AND($B143="D04",$C143="G0"),Y142&amp;IF(Y142="","",CHAR(10))&amp;$A143,Y142)</f>
        <v/>
      </c>
      <c r="Z143" s="0" t="str">
        <f aca="false">IF(AND($B143="D04",$C143="G1"),Z142&amp;IF(Z142="","",CHAR(10))&amp;$A143,Z142)</f>
        <v/>
      </c>
      <c r="AA143" s="0" t="str">
        <f aca="false">IF(AND($B143="D04",$C143="G2"),AA142&amp;IF(AA142="","",CHAR(10))&amp;$A143,AA142)</f>
        <v/>
      </c>
      <c r="AB143" s="0" t="str">
        <f aca="false">IF(AND($B143="D04",$C143="G3"),AB142&amp;IF(AB142="","",CHAR(10))&amp;$A143,AB142)</f>
        <v>● 020 IDC與邊緣運算底座</v>
      </c>
      <c r="AC143" s="363" t="str">
        <f aca="false">IF(AND($B143="D04",$C143="G4"),AC142&amp;IF(AC142="","",CHAR(10))&amp;$A143,AC142)</f>
        <v>● 021 有線無線網路與分區
◐ 022 資安營運與零信任
● 023 BMS與能源管理
● 024 RTLS與資產／人員定位
● 025 智慧病房、護理呼叫與感測
● 026 災難復原與營運持續</v>
      </c>
      <c r="AD143" s="0" t="str">
        <f aca="false">IF(AND($B143="D04",$C143="G5"),AD142&amp;IF(AD142="","",CHAR(10))&amp;$A143,AD142)</f>
        <v/>
      </c>
      <c r="AE143" s="0" t="str">
        <f aca="false">IF(AND($B143="D04",$C143="G6"),AE142&amp;IF(AE142="","",CHAR(10))&amp;$A143,AE142)</f>
        <v/>
      </c>
      <c r="AF143" s="0" t="str">
        <f aca="false">IF(AND($B143="D05",$C143="G0"),AF142&amp;IF(AF142="","",CHAR(10))&amp;$A143,AF142)</f>
        <v/>
      </c>
      <c r="AG143" s="0" t="str">
        <f aca="false">IF(AND($B143="D05",$C143="G1"),AG142&amp;IF(AG142="","",CHAR(10))&amp;$A143,AG142)</f>
        <v/>
      </c>
      <c r="AH143" s="0" t="str">
        <f aca="false">IF(AND($B143="D05",$C143="G2"),AH142&amp;IF(AH142="","",CHAR(10))&amp;$A143,AH142)</f>
        <v>◐ 027 醫材需求與設備計畫</v>
      </c>
      <c r="AI143" s="0" t="str">
        <f aca="false">IF(AND($B143="D05",$C143="G3"),AI142&amp;IF(AI142="","",CHAR(10))&amp;$A143,AI142)</f>
        <v/>
      </c>
      <c r="AJ143" s="363" t="str">
        <f aca="false">IF(AND($B143="D05",$C143="G4"),AJ142&amp;IF(AJ142="","",CHAR(10))&amp;$A143,AJ142)</f>
        <v>○ 028 影像設備、PACS與報告流程
○ 029 實驗室自動化與LIS
○ 030 手術室與重症整合
◐ 031 醫材介接與裝置身分
◐ 032 醫療工程與設備生命週期</v>
      </c>
      <c r="AK143" s="0" t="str">
        <f aca="false">IF(AND($B143="D05",$C143="G5"),AK142&amp;IF(AK142="","",CHAR(10))&amp;$A143,AK142)</f>
        <v/>
      </c>
      <c r="AL143" s="0" t="str">
        <f aca="false">IF(AND($B143="D05",$C143="G6"),AL142&amp;IF(AL142="","",CHAR(10))&amp;$A143,AL142)</f>
        <v/>
      </c>
      <c r="AM143" s="0" t="str">
        <f aca="false">IF(AND($B143="D06",$C143="G0"),AM142&amp;IF(AM142="","",CHAR(10))&amp;$A143,AM142)</f>
        <v/>
      </c>
      <c r="AN143" s="0" t="str">
        <f aca="false">IF(AND($B143="D06",$C143="G1"),AN142&amp;IF(AN142="","",CHAR(10))&amp;$A143,AN142)</f>
        <v/>
      </c>
      <c r="AO143" s="0" t="str">
        <f aca="false">IF(AND($B143="D06",$C143="G2"),AO142&amp;IF(AO142="","",CHAR(10))&amp;$A143,AO142)</f>
        <v/>
      </c>
      <c r="AP143" s="363" t="str">
        <f aca="false">IF(AND($B143="D06",$C143="G3"),AP142&amp;IF(AP142="","",CHAR(10))&amp;$A143,AP142)</f>
        <v>◐ 033 HIS／EMR核心平台
◐ 036 臨床術語與主資料治理</v>
      </c>
      <c r="AQ143" s="363" t="str">
        <f aca="false">IF(AND($B143="D06",$C143="G4"),AQ142&amp;IF(AQ142="","",CHAR(10))&amp;$A143,AQ142)</f>
        <v>◐ 034 FHIR介接與API管理
○ 035 主病人索引與身分整合
◐ 037 電子醫囑、用藥與決策支援
◐ 038 資料平台、BI與營運指揮</v>
      </c>
      <c r="AR143" s="0" t="str">
        <f aca="false">IF(AND($B143="D06",$C143="G5"),AR142&amp;IF(AR142="","",CHAR(10))&amp;$A143,AR142)</f>
        <v>○ 039 病人入口、行動服務與VNeID準備</v>
      </c>
      <c r="AS143" s="0" t="str">
        <f aca="false">IF(AND($B143="D06",$C143="G6"),AS142&amp;IF(AS142="","",CHAR(10))&amp;$A143,AS142)</f>
        <v/>
      </c>
      <c r="AT143" s="0" t="str">
        <f aca="false">IF(AND($B143="D07",$C143="G0"),AT142&amp;IF(AT142="","",CHAR(10))&amp;$A143,AT142)</f>
        <v/>
      </c>
      <c r="AU143" s="0" t="str">
        <f aca="false">IF(AND($B143="D07",$C143="G1"),AU142&amp;IF(AU142="","",CHAR(10))&amp;$A143,AU142)</f>
        <v/>
      </c>
      <c r="AV143" s="0" t="str">
        <f aca="false">IF(AND($B143="D07",$C143="G2"),AV142&amp;IF(AV142="","",CHAR(10))&amp;$A143,AV142)</f>
        <v>◐ 040 品質管理與JCI路線圖</v>
      </c>
      <c r="AW143" s="363" t="str">
        <f aca="false">IF(AND($B143="D07",$C143="G3"),AW142&amp;IF(AW142="","",CHAR(10))&amp;$A143,AW142)</f>
        <v>◐ 041 感染預防與控制制度
◐ 043 事件通報與根因改善</v>
      </c>
      <c r="AX143" s="0" t="str">
        <f aca="false">IF(AND($B143="D07",$C143="G4"),AX142&amp;IF(AX142="","",CHAR(10))&amp;$A143,AX142)</f>
        <v>◐ 042 用藥安全閉環</v>
      </c>
      <c r="AY143" s="0" t="str">
        <f aca="false">IF(AND($B143="D07",$C143="G5"),AY142&amp;IF(AY142="","",CHAR(10))&amp;$A143,AY142)</f>
        <v>◐ 044 開院臨床安全驗證</v>
      </c>
      <c r="AZ143" s="0" t="str">
        <f aca="false">IF(AND($B143="D07",$C143="G6"),AZ142&amp;IF(AZ142="","",CHAR(10))&amp;$A143,AZ142)</f>
        <v/>
      </c>
      <c r="BA143" s="0" t="str">
        <f aca="false">IF(AND($B143="D08",$C143="G0"),BA142&amp;IF(BA142="","",CHAR(10))&amp;$A143,BA142)</f>
        <v/>
      </c>
      <c r="BB143" s="0" t="str">
        <f aca="false">IF(AND($B143="D08",$C143="G1"),BB142&amp;IF(BB142="","",CHAR(10))&amp;$A143,BB142)</f>
        <v/>
      </c>
      <c r="BC143" s="0" t="str">
        <f aca="false">IF(AND($B143="D08",$C143="G2"),BC142&amp;IF(BC142="","",CHAR(10))&amp;$A143,BC142)</f>
        <v>○ 045 人力與輪班模型</v>
      </c>
      <c r="BD143" s="0" t="str">
        <f aca="false">IF(AND($B143="D08",$C143="G3"),BD142&amp;IF(BD142="","",CHAR(10))&amp;$A143,BD142)</f>
        <v>◐ 046 職能矩陣與授權</v>
      </c>
      <c r="BE143" s="363" t="str">
        <f aca="false">IF(AND($B143="D08",$C143="G4"),BE142&amp;IF(BE142="","",CHAR(10))&amp;$A143,BE142)</f>
        <v>◐ 047 種子教師與技術移轉
◐ 049 變革管理與使用者採納</v>
      </c>
      <c r="BF143" s="0" t="str">
        <f aca="false">IF(AND($B143="D08",$C143="G5"),BF142&amp;IF(BF142="","",CHAR(10))&amp;$A143,BF142)</f>
        <v>◐ 048 模擬中心與開院演練</v>
      </c>
      <c r="BG143" s="0" t="str">
        <f aca="false">IF(AND($B143="D08",$C143="G6"),BG142&amp;IF(BG142="","",CHAR(10))&amp;$A143,BG142)</f>
        <v/>
      </c>
      <c r="BH143" s="0" t="str">
        <f aca="false">IF(AND($B143="D09",$C143="G0"),BH142&amp;IF(BH142="","",CHAR(10))&amp;$A143,BH142)</f>
        <v/>
      </c>
      <c r="BI143" s="0" t="str">
        <f aca="false">IF(AND($B143="D09",$C143="G1"),BI142&amp;IF(BI142="","",CHAR(10))&amp;$A143,BI142)</f>
        <v/>
      </c>
      <c r="BJ143" s="0" t="str">
        <f aca="false">IF(AND($B143="D09",$C143="G2"),BJ142&amp;IF(BJ142="","",CHAR(10))&amp;$A143,BJ142)</f>
        <v>◐ 050 整合採購與供應商治理</v>
      </c>
      <c r="BK143" s="0" t="str">
        <f aca="false">IF(AND($B143="D09",$C143="G3"),BK142&amp;IF(BK142="","",CHAR(10))&amp;$A143,BK142)</f>
        <v/>
      </c>
      <c r="BL143" s="363" t="str">
        <f aca="false">IF(AND($B143="D09",$C143="G4"),BL142&amp;IF(BL142="","",CHAR(10))&amp;$A143,BL142)</f>
        <v>◐ 051 藥品耗材與SPD物流
◐ 052 冷鏈與特殊物料
● 053 CMMS與設施維運</v>
      </c>
      <c r="BM143" s="0" t="str">
        <f aca="false">IF(AND($B143="D09",$C143="G5"),BM142&amp;IF(BM142="","",CHAR(10))&amp;$A143,BM142)</f>
        <v>◐ 054 在地備品、維修與汰換</v>
      </c>
      <c r="BN143" s="0" t="str">
        <f aca="false">IF(AND($B143="D09",$C143="G6"),BN142&amp;IF(BN142="","",CHAR(10))&amp;$A143,BN142)</f>
        <v/>
      </c>
      <c r="BO143" s="0" t="str">
        <f aca="false">IF(AND($B143="D10",$C143="G0"),BO142&amp;IF(BO142="","",CHAR(10))&amp;$A143,BO142)</f>
        <v/>
      </c>
      <c r="BP143" s="0" t="str">
        <f aca="false">IF(AND($B143="D10",$C143="G1"),BP142&amp;IF(BP142="","",CHAR(10))&amp;$A143,BP142)</f>
        <v>◐ 055 全生命週期成本模型</v>
      </c>
      <c r="BQ143" s="0" t="str">
        <f aca="false">IF(AND($B143="D10",$C143="G2"),BQ142&amp;IF(BQ142="","",CHAR(10))&amp;$A143,BQ142)</f>
        <v>◐ 059 PPP／JV財務與風險分配</v>
      </c>
      <c r="BR143" s="0" t="str">
        <f aca="false">IF(AND($B143="D10",$C143="G3"),BR142&amp;IF(BR142="","",CHAR(10))&amp;$A143,BR142)</f>
        <v/>
      </c>
      <c r="BS143" s="363" t="str">
        <f aca="false">IF(AND($B143="D10",$C143="G4"),BS142&amp;IF(BS142="","",CHAR(10))&amp;$A143,BS142)</f>
        <v>○ 056 健保申報與數位理賠
○ 057 現金流、支付與收入週期</v>
      </c>
      <c r="BT143" s="0" t="str">
        <f aca="false">IF(AND($B143="D10",$C143="G5"),BT142&amp;IF(BT142="","",CHAR(10))&amp;$A143,BT142)</f>
        <v>○ 058 國際醫療與高價值服務</v>
      </c>
      <c r="BU143" s="0" t="str">
        <f aca="false">IF(AND($B143="D10",$C143="G6"),BU142&amp;IF(BU142="","",CHAR(10))&amp;$A143,BU142)</f>
        <v>◐ 060 效益實現與複製藍圖</v>
      </c>
      <c r="BX143" s="0" t="str">
        <f aca="false">IF(AND(03_能力總表_Master!$A143&lt;&gt;"",LEFT(03_能力總表_Master!$H143,2)="缺口"),MAX($BX$4:BX142)+1,"")</f>
        <v/>
      </c>
      <c r="BY143" s="0" t="str">
        <f aca="false">IF(AND(03_能力總表_Master!$A143&lt;&gt;"",03_能力總表_Master!$J143=12_夥伴視角_PartnerView!$C$4),MAX($BY$4:BY142)+1,"")</f>
        <v/>
      </c>
      <c r="CC143" s="0" t="str">
        <f aca="false">IF(AND(03_能力總表_Master!$A143&lt;&gt;"",IFERROR(INDEX(16_能力商機矩陣_CapOppMap!$D143:$CO143,MATCH(LEFT(17_商機作戰卡_OppView!$C$4,6),16_能力商機矩陣_CapOppMap!$D$4:$CO$4,0)),"")="✓"),MAX($CC$4:CC142)+1,"")</f>
        <v/>
      </c>
    </row>
    <row r="144" customFormat="false" ht="95.5" hidden="false" customHeight="false" outlineLevel="0" collapsed="false">
      <c r="A144" s="0" t="str">
        <f aca="false">IF(03_能力總表_Master!$A144="","",IF(LEFT(03_能力總表_Master!$H144,2)="群晶","● ",IF(ISNUMBER(SEARCH("已確認",03_能力總表_Master!$H144)),"◆ ",IF(ISNUMBER(SEARCH("缺口",03_能力總表_Master!$H144)),"○ ","◐ ")))&amp;RIGHT(03_能力總表_Master!$A144,3)&amp;" "&amp;03_能力總表_Master!$E144)</f>
        <v/>
      </c>
      <c r="B144" s="0" t="str">
        <f aca="false">IF(03_能力總表_Master!$A144="","",LEFT(03_能力總表_Master!$B144,3))</f>
        <v/>
      </c>
      <c r="C144" s="0" t="str">
        <f aca="false">IF(03_能力總表_Master!$A144="","",03_能力總表_Master!$C144)</f>
        <v/>
      </c>
      <c r="D144" s="363" t="str">
        <f aca="false">IF(AND($B144="D01",$C144="G0"),D143&amp;IF(D143="","",CHAR(10))&amp;$A144,D143)</f>
        <v>◐ 001 政府授權與計畫章程
◐ 002 利害關係人與權力地圖
◐ 005 聯盟治理與利益衝突</v>
      </c>
      <c r="E144" s="363" t="str">
        <f aca="false">IF(AND($B144="D01",$C144="G1"),E143&amp;IF(E143="","",CHAR(10))&amp;$A144,E143)</f>
        <v>◐ 003 交易模式選擇
◐ 004 法規與執照路徑</v>
      </c>
      <c r="F144" s="0" t="str">
        <f aca="false">IF(AND($B144="D01",$C144="G2"),F143&amp;IF(F143="","",CHAR(10))&amp;$A144,F143)</f>
        <v>◐ 006 績效契約與變更控制</v>
      </c>
      <c r="G144" s="0" t="str">
        <f aca="false">IF(AND($B144="D01",$C144="G3"),G143&amp;IF(G143="","",CHAR(10))&amp;$A144,G143)</f>
        <v/>
      </c>
      <c r="H144" s="0" t="str">
        <f aca="false">IF(AND($B144="D01",$C144="G4"),H143&amp;IF(H143="","",CHAR(10))&amp;$A144,H143)</f>
        <v/>
      </c>
      <c r="I144" s="0" t="str">
        <f aca="false">IF(AND($B144="D01",$C144="G5"),I143&amp;IF(I143="","",CHAR(10))&amp;$A144,I143)</f>
        <v/>
      </c>
      <c r="J144" s="0" t="str">
        <f aca="false">IF(AND($B144="D01",$C144="G6"),J143&amp;IF(J143="","",CHAR(10))&amp;$A144,J143)</f>
        <v/>
      </c>
      <c r="K144" s="0" t="str">
        <f aca="false">IF(AND($B144="D02",$C144="G0"),K143&amp;IF(K143="","",CHAR(10))&amp;$A144,K143)</f>
        <v/>
      </c>
      <c r="L144" s="363" t="str">
        <f aca="false">IF(AND($B144="D02",$C144="G1"),L143&amp;IF(L143="","",CHAR(10))&amp;$A144,L143)</f>
        <v>◐ 007 人口需求與病例量預測
◐ 008 醫院定位與服務組合
◐ 009 重點專科優先化
◐ 010 病人流程與容量設計
◐ 011 轉診與區域照護網絡
◐ 012 臨床治理與責任架構</v>
      </c>
      <c r="M144" s="0" t="str">
        <f aca="false">IF(AND($B144="D02",$C144="G2"),M143&amp;IF(M143="","",CHAR(10))&amp;$A144,M143)</f>
        <v/>
      </c>
      <c r="N144" s="0" t="str">
        <f aca="false">IF(AND($B144="D02",$C144="G3"),N143&amp;IF(N143="","",CHAR(10))&amp;$A144,N143)</f>
        <v/>
      </c>
      <c r="O144" s="0" t="str">
        <f aca="false">IF(AND($B144="D02",$C144="G4"),O143&amp;IF(O143="","",CHAR(10))&amp;$A144,O143)</f>
        <v/>
      </c>
      <c r="P144" s="0" t="str">
        <f aca="false">IF(AND($B144="D02",$C144="G5"),P143&amp;IF(P143="","",CHAR(10))&amp;$A144,P143)</f>
        <v/>
      </c>
      <c r="Q144" s="0" t="str">
        <f aca="false">IF(AND($B144="D02",$C144="G6"),Q143&amp;IF(Q143="","",CHAR(10))&amp;$A144,Q143)</f>
        <v/>
      </c>
      <c r="R144" s="0" t="str">
        <f aca="false">IF(AND($B144="D03",$C144="G0"),R143&amp;IF(R143="","",CHAR(10))&amp;$A144,R143)</f>
        <v/>
      </c>
      <c r="S144" s="0" t="str">
        <f aca="false">IF(AND($B144="D03",$C144="G1"),S143&amp;IF(S143="","",CHAR(10))&amp;$A144,S143)</f>
        <v>◐ 013 場址與醫院總體規劃</v>
      </c>
      <c r="T144" s="363" t="str">
        <f aca="false">IF(AND($B144="D03",$C144="G2"),T143&amp;IF(T143="","",CHAR(10))&amp;$A144,T143)</f>
        <v>◐ 014 醫療建築功能計畫
◐ 015 感染控制與潔污動線
◐ 019 綠色與氣候韌性醫院</v>
      </c>
      <c r="U144" s="363" t="str">
        <f aca="false">IF(AND($B144="D03",$C144="G3"),U143&amp;IF(U143="","",CHAR(10))&amp;$A144,U143)</f>
        <v>● 016 電力、備援與微電網
◐ 017 醫療氣體與關鍵公用系統
◐ 018 醫療廢棄物與水資源</v>
      </c>
      <c r="V144" s="0" t="str">
        <f aca="false">IF(AND($B144="D03",$C144="G4"),V143&amp;IF(V143="","",CHAR(10))&amp;$A144,V143)</f>
        <v/>
      </c>
      <c r="W144" s="0" t="str">
        <f aca="false">IF(AND($B144="D03",$C144="G5"),W143&amp;IF(W143="","",CHAR(10))&amp;$A144,W143)</f>
        <v/>
      </c>
      <c r="X144" s="0" t="str">
        <f aca="false">IF(AND($B144="D03",$C144="G6"),X143&amp;IF(X143="","",CHAR(10))&amp;$A144,X143)</f>
        <v/>
      </c>
      <c r="Y144" s="0" t="str">
        <f aca="false">IF(AND($B144="D04",$C144="G0"),Y143&amp;IF(Y143="","",CHAR(10))&amp;$A144,Y143)</f>
        <v/>
      </c>
      <c r="Z144" s="0" t="str">
        <f aca="false">IF(AND($B144="D04",$C144="G1"),Z143&amp;IF(Z143="","",CHAR(10))&amp;$A144,Z143)</f>
        <v/>
      </c>
      <c r="AA144" s="0" t="str">
        <f aca="false">IF(AND($B144="D04",$C144="G2"),AA143&amp;IF(AA143="","",CHAR(10))&amp;$A144,AA143)</f>
        <v/>
      </c>
      <c r="AB144" s="0" t="str">
        <f aca="false">IF(AND($B144="D04",$C144="G3"),AB143&amp;IF(AB143="","",CHAR(10))&amp;$A144,AB143)</f>
        <v>● 020 IDC與邊緣運算底座</v>
      </c>
      <c r="AC144" s="363" t="str">
        <f aca="false">IF(AND($B144="D04",$C144="G4"),AC143&amp;IF(AC143="","",CHAR(10))&amp;$A144,AC143)</f>
        <v>● 021 有線無線網路與分區
◐ 022 資安營運與零信任
● 023 BMS與能源管理
● 024 RTLS與資產／人員定位
● 025 智慧病房、護理呼叫與感測
● 026 災難復原與營運持續</v>
      </c>
      <c r="AD144" s="0" t="str">
        <f aca="false">IF(AND($B144="D04",$C144="G5"),AD143&amp;IF(AD143="","",CHAR(10))&amp;$A144,AD143)</f>
        <v/>
      </c>
      <c r="AE144" s="0" t="str">
        <f aca="false">IF(AND($B144="D04",$C144="G6"),AE143&amp;IF(AE143="","",CHAR(10))&amp;$A144,AE143)</f>
        <v/>
      </c>
      <c r="AF144" s="0" t="str">
        <f aca="false">IF(AND($B144="D05",$C144="G0"),AF143&amp;IF(AF143="","",CHAR(10))&amp;$A144,AF143)</f>
        <v/>
      </c>
      <c r="AG144" s="0" t="str">
        <f aca="false">IF(AND($B144="D05",$C144="G1"),AG143&amp;IF(AG143="","",CHAR(10))&amp;$A144,AG143)</f>
        <v/>
      </c>
      <c r="AH144" s="0" t="str">
        <f aca="false">IF(AND($B144="D05",$C144="G2"),AH143&amp;IF(AH143="","",CHAR(10))&amp;$A144,AH143)</f>
        <v>◐ 027 醫材需求與設備計畫</v>
      </c>
      <c r="AI144" s="0" t="str">
        <f aca="false">IF(AND($B144="D05",$C144="G3"),AI143&amp;IF(AI143="","",CHAR(10))&amp;$A144,AI143)</f>
        <v/>
      </c>
      <c r="AJ144" s="363" t="str">
        <f aca="false">IF(AND($B144="D05",$C144="G4"),AJ143&amp;IF(AJ143="","",CHAR(10))&amp;$A144,AJ143)</f>
        <v>○ 028 影像設備、PACS與報告流程
○ 029 實驗室自動化與LIS
○ 030 手術室與重症整合
◐ 031 醫材介接與裝置身分
◐ 032 醫療工程與設備生命週期</v>
      </c>
      <c r="AK144" s="0" t="str">
        <f aca="false">IF(AND($B144="D05",$C144="G5"),AK143&amp;IF(AK143="","",CHAR(10))&amp;$A144,AK143)</f>
        <v/>
      </c>
      <c r="AL144" s="0" t="str">
        <f aca="false">IF(AND($B144="D05",$C144="G6"),AL143&amp;IF(AL143="","",CHAR(10))&amp;$A144,AL143)</f>
        <v/>
      </c>
      <c r="AM144" s="0" t="str">
        <f aca="false">IF(AND($B144="D06",$C144="G0"),AM143&amp;IF(AM143="","",CHAR(10))&amp;$A144,AM143)</f>
        <v/>
      </c>
      <c r="AN144" s="0" t="str">
        <f aca="false">IF(AND($B144="D06",$C144="G1"),AN143&amp;IF(AN143="","",CHAR(10))&amp;$A144,AN143)</f>
        <v/>
      </c>
      <c r="AO144" s="0" t="str">
        <f aca="false">IF(AND($B144="D06",$C144="G2"),AO143&amp;IF(AO143="","",CHAR(10))&amp;$A144,AO143)</f>
        <v/>
      </c>
      <c r="AP144" s="363" t="str">
        <f aca="false">IF(AND($B144="D06",$C144="G3"),AP143&amp;IF(AP143="","",CHAR(10))&amp;$A144,AP143)</f>
        <v>◐ 033 HIS／EMR核心平台
◐ 036 臨床術語與主資料治理</v>
      </c>
      <c r="AQ144" s="363" t="str">
        <f aca="false">IF(AND($B144="D06",$C144="G4"),AQ143&amp;IF(AQ143="","",CHAR(10))&amp;$A144,AQ143)</f>
        <v>◐ 034 FHIR介接與API管理
○ 035 主病人索引與身分整合
◐ 037 電子醫囑、用藥與決策支援
◐ 038 資料平台、BI與營運指揮</v>
      </c>
      <c r="AR144" s="0" t="str">
        <f aca="false">IF(AND($B144="D06",$C144="G5"),AR143&amp;IF(AR143="","",CHAR(10))&amp;$A144,AR143)</f>
        <v>○ 039 病人入口、行動服務與VNeID準備</v>
      </c>
      <c r="AS144" s="0" t="str">
        <f aca="false">IF(AND($B144="D06",$C144="G6"),AS143&amp;IF(AS143="","",CHAR(10))&amp;$A144,AS143)</f>
        <v/>
      </c>
      <c r="AT144" s="0" t="str">
        <f aca="false">IF(AND($B144="D07",$C144="G0"),AT143&amp;IF(AT143="","",CHAR(10))&amp;$A144,AT143)</f>
        <v/>
      </c>
      <c r="AU144" s="0" t="str">
        <f aca="false">IF(AND($B144="D07",$C144="G1"),AU143&amp;IF(AU143="","",CHAR(10))&amp;$A144,AU143)</f>
        <v/>
      </c>
      <c r="AV144" s="0" t="str">
        <f aca="false">IF(AND($B144="D07",$C144="G2"),AV143&amp;IF(AV143="","",CHAR(10))&amp;$A144,AV143)</f>
        <v>◐ 040 品質管理與JCI路線圖</v>
      </c>
      <c r="AW144" s="363" t="str">
        <f aca="false">IF(AND($B144="D07",$C144="G3"),AW143&amp;IF(AW143="","",CHAR(10))&amp;$A144,AW143)</f>
        <v>◐ 041 感染預防與控制制度
◐ 043 事件通報與根因改善</v>
      </c>
      <c r="AX144" s="0" t="str">
        <f aca="false">IF(AND($B144="D07",$C144="G4"),AX143&amp;IF(AX143="","",CHAR(10))&amp;$A144,AX143)</f>
        <v>◐ 042 用藥安全閉環</v>
      </c>
      <c r="AY144" s="0" t="str">
        <f aca="false">IF(AND($B144="D07",$C144="G5"),AY143&amp;IF(AY143="","",CHAR(10))&amp;$A144,AY143)</f>
        <v>◐ 044 開院臨床安全驗證</v>
      </c>
      <c r="AZ144" s="0" t="str">
        <f aca="false">IF(AND($B144="D07",$C144="G6"),AZ143&amp;IF(AZ143="","",CHAR(10))&amp;$A144,AZ143)</f>
        <v/>
      </c>
      <c r="BA144" s="0" t="str">
        <f aca="false">IF(AND($B144="D08",$C144="G0"),BA143&amp;IF(BA143="","",CHAR(10))&amp;$A144,BA143)</f>
        <v/>
      </c>
      <c r="BB144" s="0" t="str">
        <f aca="false">IF(AND($B144="D08",$C144="G1"),BB143&amp;IF(BB143="","",CHAR(10))&amp;$A144,BB143)</f>
        <v/>
      </c>
      <c r="BC144" s="0" t="str">
        <f aca="false">IF(AND($B144="D08",$C144="G2"),BC143&amp;IF(BC143="","",CHAR(10))&amp;$A144,BC143)</f>
        <v>○ 045 人力與輪班模型</v>
      </c>
      <c r="BD144" s="0" t="str">
        <f aca="false">IF(AND($B144="D08",$C144="G3"),BD143&amp;IF(BD143="","",CHAR(10))&amp;$A144,BD143)</f>
        <v>◐ 046 職能矩陣與授權</v>
      </c>
      <c r="BE144" s="363" t="str">
        <f aca="false">IF(AND($B144="D08",$C144="G4"),BE143&amp;IF(BE143="","",CHAR(10))&amp;$A144,BE143)</f>
        <v>◐ 047 種子教師與技術移轉
◐ 049 變革管理與使用者採納</v>
      </c>
      <c r="BF144" s="0" t="str">
        <f aca="false">IF(AND($B144="D08",$C144="G5"),BF143&amp;IF(BF143="","",CHAR(10))&amp;$A144,BF143)</f>
        <v>◐ 048 模擬中心與開院演練</v>
      </c>
      <c r="BG144" s="0" t="str">
        <f aca="false">IF(AND($B144="D08",$C144="G6"),BG143&amp;IF(BG143="","",CHAR(10))&amp;$A144,BG143)</f>
        <v/>
      </c>
      <c r="BH144" s="0" t="str">
        <f aca="false">IF(AND($B144="D09",$C144="G0"),BH143&amp;IF(BH143="","",CHAR(10))&amp;$A144,BH143)</f>
        <v/>
      </c>
      <c r="BI144" s="0" t="str">
        <f aca="false">IF(AND($B144="D09",$C144="G1"),BI143&amp;IF(BI143="","",CHAR(10))&amp;$A144,BI143)</f>
        <v/>
      </c>
      <c r="BJ144" s="0" t="str">
        <f aca="false">IF(AND($B144="D09",$C144="G2"),BJ143&amp;IF(BJ143="","",CHAR(10))&amp;$A144,BJ143)</f>
        <v>◐ 050 整合採購與供應商治理</v>
      </c>
      <c r="BK144" s="0" t="str">
        <f aca="false">IF(AND($B144="D09",$C144="G3"),BK143&amp;IF(BK143="","",CHAR(10))&amp;$A144,BK143)</f>
        <v/>
      </c>
      <c r="BL144" s="363" t="str">
        <f aca="false">IF(AND($B144="D09",$C144="G4"),BL143&amp;IF(BL143="","",CHAR(10))&amp;$A144,BL143)</f>
        <v>◐ 051 藥品耗材與SPD物流
◐ 052 冷鏈與特殊物料
● 053 CMMS與設施維運</v>
      </c>
      <c r="BM144" s="0" t="str">
        <f aca="false">IF(AND($B144="D09",$C144="G5"),BM143&amp;IF(BM143="","",CHAR(10))&amp;$A144,BM143)</f>
        <v>◐ 054 在地備品、維修與汰換</v>
      </c>
      <c r="BN144" s="0" t="str">
        <f aca="false">IF(AND($B144="D09",$C144="G6"),BN143&amp;IF(BN143="","",CHAR(10))&amp;$A144,BN143)</f>
        <v/>
      </c>
      <c r="BO144" s="0" t="str">
        <f aca="false">IF(AND($B144="D10",$C144="G0"),BO143&amp;IF(BO143="","",CHAR(10))&amp;$A144,BO143)</f>
        <v/>
      </c>
      <c r="BP144" s="0" t="str">
        <f aca="false">IF(AND($B144="D10",$C144="G1"),BP143&amp;IF(BP143="","",CHAR(10))&amp;$A144,BP143)</f>
        <v>◐ 055 全生命週期成本模型</v>
      </c>
      <c r="BQ144" s="0" t="str">
        <f aca="false">IF(AND($B144="D10",$C144="G2"),BQ143&amp;IF(BQ143="","",CHAR(10))&amp;$A144,BQ143)</f>
        <v>◐ 059 PPP／JV財務與風險分配</v>
      </c>
      <c r="BR144" s="0" t="str">
        <f aca="false">IF(AND($B144="D10",$C144="G3"),BR143&amp;IF(BR143="","",CHAR(10))&amp;$A144,BR143)</f>
        <v/>
      </c>
      <c r="BS144" s="363" t="str">
        <f aca="false">IF(AND($B144="D10",$C144="G4"),BS143&amp;IF(BS143="","",CHAR(10))&amp;$A144,BS143)</f>
        <v>○ 056 健保申報與數位理賠
○ 057 現金流、支付與收入週期</v>
      </c>
      <c r="BT144" s="0" t="str">
        <f aca="false">IF(AND($B144="D10",$C144="G5"),BT143&amp;IF(BT143="","",CHAR(10))&amp;$A144,BT143)</f>
        <v>○ 058 國際醫療與高價值服務</v>
      </c>
      <c r="BU144" s="0" t="str">
        <f aca="false">IF(AND($B144="D10",$C144="G6"),BU143&amp;IF(BU143="","",CHAR(10))&amp;$A144,BU143)</f>
        <v>◐ 060 效益實現與複製藍圖</v>
      </c>
      <c r="BX144" s="0" t="str">
        <f aca="false">IF(AND(03_能力總表_Master!$A144&lt;&gt;"",LEFT(03_能力總表_Master!$H144,2)="缺口"),MAX($BX$4:BX143)+1,"")</f>
        <v/>
      </c>
      <c r="BY144" s="0" t="str">
        <f aca="false">IF(AND(03_能力總表_Master!$A144&lt;&gt;"",03_能力總表_Master!$J144=12_夥伴視角_PartnerView!$C$4),MAX($BY$4:BY143)+1,"")</f>
        <v/>
      </c>
      <c r="CC144" s="0" t="str">
        <f aca="false">IF(AND(03_能力總表_Master!$A144&lt;&gt;"",IFERROR(INDEX(16_能力商機矩陣_CapOppMap!$D144:$CO144,MATCH(LEFT(17_商機作戰卡_OppView!$C$4,6),16_能力商機矩陣_CapOppMap!$D$4:$CO$4,0)),"")="✓"),MAX($CC$4:CC143)+1,"")</f>
        <v/>
      </c>
    </row>
    <row r="145" customFormat="false" ht="95.5" hidden="false" customHeight="false" outlineLevel="0" collapsed="false">
      <c r="A145" s="0" t="str">
        <f aca="false">IF(03_能力總表_Master!$A145="","",IF(LEFT(03_能力總表_Master!$H145,2)="群晶","● ",IF(ISNUMBER(SEARCH("已確認",03_能力總表_Master!$H145)),"◆ ",IF(ISNUMBER(SEARCH("缺口",03_能力總表_Master!$H145)),"○ ","◐ ")))&amp;RIGHT(03_能力總表_Master!$A145,3)&amp;" "&amp;03_能力總表_Master!$E145)</f>
        <v/>
      </c>
      <c r="B145" s="0" t="str">
        <f aca="false">IF(03_能力總表_Master!$A145="","",LEFT(03_能力總表_Master!$B145,3))</f>
        <v/>
      </c>
      <c r="C145" s="0" t="str">
        <f aca="false">IF(03_能力總表_Master!$A145="","",03_能力總表_Master!$C145)</f>
        <v/>
      </c>
      <c r="D145" s="363" t="str">
        <f aca="false">IF(AND($B145="D01",$C145="G0"),D144&amp;IF(D144="","",CHAR(10))&amp;$A145,D144)</f>
        <v>◐ 001 政府授權與計畫章程
◐ 002 利害關係人與權力地圖
◐ 005 聯盟治理與利益衝突</v>
      </c>
      <c r="E145" s="363" t="str">
        <f aca="false">IF(AND($B145="D01",$C145="G1"),E144&amp;IF(E144="","",CHAR(10))&amp;$A145,E144)</f>
        <v>◐ 003 交易模式選擇
◐ 004 法規與執照路徑</v>
      </c>
      <c r="F145" s="0" t="str">
        <f aca="false">IF(AND($B145="D01",$C145="G2"),F144&amp;IF(F144="","",CHAR(10))&amp;$A145,F144)</f>
        <v>◐ 006 績效契約與變更控制</v>
      </c>
      <c r="G145" s="0" t="str">
        <f aca="false">IF(AND($B145="D01",$C145="G3"),G144&amp;IF(G144="","",CHAR(10))&amp;$A145,G144)</f>
        <v/>
      </c>
      <c r="H145" s="0" t="str">
        <f aca="false">IF(AND($B145="D01",$C145="G4"),H144&amp;IF(H144="","",CHAR(10))&amp;$A145,H144)</f>
        <v/>
      </c>
      <c r="I145" s="0" t="str">
        <f aca="false">IF(AND($B145="D01",$C145="G5"),I144&amp;IF(I144="","",CHAR(10))&amp;$A145,I144)</f>
        <v/>
      </c>
      <c r="J145" s="0" t="str">
        <f aca="false">IF(AND($B145="D01",$C145="G6"),J144&amp;IF(J144="","",CHAR(10))&amp;$A145,J144)</f>
        <v/>
      </c>
      <c r="K145" s="0" t="str">
        <f aca="false">IF(AND($B145="D02",$C145="G0"),K144&amp;IF(K144="","",CHAR(10))&amp;$A145,K144)</f>
        <v/>
      </c>
      <c r="L145" s="363" t="str">
        <f aca="false">IF(AND($B145="D02",$C145="G1"),L144&amp;IF(L144="","",CHAR(10))&amp;$A145,L144)</f>
        <v>◐ 007 人口需求與病例量預測
◐ 008 醫院定位與服務組合
◐ 009 重點專科優先化
◐ 010 病人流程與容量設計
◐ 011 轉診與區域照護網絡
◐ 012 臨床治理與責任架構</v>
      </c>
      <c r="M145" s="0" t="str">
        <f aca="false">IF(AND($B145="D02",$C145="G2"),M144&amp;IF(M144="","",CHAR(10))&amp;$A145,M144)</f>
        <v/>
      </c>
      <c r="N145" s="0" t="str">
        <f aca="false">IF(AND($B145="D02",$C145="G3"),N144&amp;IF(N144="","",CHAR(10))&amp;$A145,N144)</f>
        <v/>
      </c>
      <c r="O145" s="0" t="str">
        <f aca="false">IF(AND($B145="D02",$C145="G4"),O144&amp;IF(O144="","",CHAR(10))&amp;$A145,O144)</f>
        <v/>
      </c>
      <c r="P145" s="0" t="str">
        <f aca="false">IF(AND($B145="D02",$C145="G5"),P144&amp;IF(P144="","",CHAR(10))&amp;$A145,P144)</f>
        <v/>
      </c>
      <c r="Q145" s="0" t="str">
        <f aca="false">IF(AND($B145="D02",$C145="G6"),Q144&amp;IF(Q144="","",CHAR(10))&amp;$A145,Q144)</f>
        <v/>
      </c>
      <c r="R145" s="0" t="str">
        <f aca="false">IF(AND($B145="D03",$C145="G0"),R144&amp;IF(R144="","",CHAR(10))&amp;$A145,R144)</f>
        <v/>
      </c>
      <c r="S145" s="0" t="str">
        <f aca="false">IF(AND($B145="D03",$C145="G1"),S144&amp;IF(S144="","",CHAR(10))&amp;$A145,S144)</f>
        <v>◐ 013 場址與醫院總體規劃</v>
      </c>
      <c r="T145" s="363" t="str">
        <f aca="false">IF(AND($B145="D03",$C145="G2"),T144&amp;IF(T144="","",CHAR(10))&amp;$A145,T144)</f>
        <v>◐ 014 醫療建築功能計畫
◐ 015 感染控制與潔污動線
◐ 019 綠色與氣候韌性醫院</v>
      </c>
      <c r="U145" s="363" t="str">
        <f aca="false">IF(AND($B145="D03",$C145="G3"),U144&amp;IF(U144="","",CHAR(10))&amp;$A145,U144)</f>
        <v>● 016 電力、備援與微電網
◐ 017 醫療氣體與關鍵公用系統
◐ 018 醫療廢棄物與水資源</v>
      </c>
      <c r="V145" s="0" t="str">
        <f aca="false">IF(AND($B145="D03",$C145="G4"),V144&amp;IF(V144="","",CHAR(10))&amp;$A145,V144)</f>
        <v/>
      </c>
      <c r="W145" s="0" t="str">
        <f aca="false">IF(AND($B145="D03",$C145="G5"),W144&amp;IF(W144="","",CHAR(10))&amp;$A145,W144)</f>
        <v/>
      </c>
      <c r="X145" s="0" t="str">
        <f aca="false">IF(AND($B145="D03",$C145="G6"),X144&amp;IF(X144="","",CHAR(10))&amp;$A145,X144)</f>
        <v/>
      </c>
      <c r="Y145" s="0" t="str">
        <f aca="false">IF(AND($B145="D04",$C145="G0"),Y144&amp;IF(Y144="","",CHAR(10))&amp;$A145,Y144)</f>
        <v/>
      </c>
      <c r="Z145" s="0" t="str">
        <f aca="false">IF(AND($B145="D04",$C145="G1"),Z144&amp;IF(Z144="","",CHAR(10))&amp;$A145,Z144)</f>
        <v/>
      </c>
      <c r="AA145" s="0" t="str">
        <f aca="false">IF(AND($B145="D04",$C145="G2"),AA144&amp;IF(AA144="","",CHAR(10))&amp;$A145,AA144)</f>
        <v/>
      </c>
      <c r="AB145" s="0" t="str">
        <f aca="false">IF(AND($B145="D04",$C145="G3"),AB144&amp;IF(AB144="","",CHAR(10))&amp;$A145,AB144)</f>
        <v>● 020 IDC與邊緣運算底座</v>
      </c>
      <c r="AC145" s="363" t="str">
        <f aca="false">IF(AND($B145="D04",$C145="G4"),AC144&amp;IF(AC144="","",CHAR(10))&amp;$A145,AC144)</f>
        <v>● 021 有線無線網路與分區
◐ 022 資安營運與零信任
● 023 BMS與能源管理
● 024 RTLS與資產／人員定位
● 025 智慧病房、護理呼叫與感測
● 026 災難復原與營運持續</v>
      </c>
      <c r="AD145" s="0" t="str">
        <f aca="false">IF(AND($B145="D04",$C145="G5"),AD144&amp;IF(AD144="","",CHAR(10))&amp;$A145,AD144)</f>
        <v/>
      </c>
      <c r="AE145" s="0" t="str">
        <f aca="false">IF(AND($B145="D04",$C145="G6"),AE144&amp;IF(AE144="","",CHAR(10))&amp;$A145,AE144)</f>
        <v/>
      </c>
      <c r="AF145" s="0" t="str">
        <f aca="false">IF(AND($B145="D05",$C145="G0"),AF144&amp;IF(AF144="","",CHAR(10))&amp;$A145,AF144)</f>
        <v/>
      </c>
      <c r="AG145" s="0" t="str">
        <f aca="false">IF(AND($B145="D05",$C145="G1"),AG144&amp;IF(AG144="","",CHAR(10))&amp;$A145,AG144)</f>
        <v/>
      </c>
      <c r="AH145" s="0" t="str">
        <f aca="false">IF(AND($B145="D05",$C145="G2"),AH144&amp;IF(AH144="","",CHAR(10))&amp;$A145,AH144)</f>
        <v>◐ 027 醫材需求與設備計畫</v>
      </c>
      <c r="AI145" s="0" t="str">
        <f aca="false">IF(AND($B145="D05",$C145="G3"),AI144&amp;IF(AI144="","",CHAR(10))&amp;$A145,AI144)</f>
        <v/>
      </c>
      <c r="AJ145" s="363" t="str">
        <f aca="false">IF(AND($B145="D05",$C145="G4"),AJ144&amp;IF(AJ144="","",CHAR(10))&amp;$A145,AJ144)</f>
        <v>○ 028 影像設備、PACS與報告流程
○ 029 實驗室自動化與LIS
○ 030 手術室與重症整合
◐ 031 醫材介接與裝置身分
◐ 032 醫療工程與設備生命週期</v>
      </c>
      <c r="AK145" s="0" t="str">
        <f aca="false">IF(AND($B145="D05",$C145="G5"),AK144&amp;IF(AK144="","",CHAR(10))&amp;$A145,AK144)</f>
        <v/>
      </c>
      <c r="AL145" s="0" t="str">
        <f aca="false">IF(AND($B145="D05",$C145="G6"),AL144&amp;IF(AL144="","",CHAR(10))&amp;$A145,AL144)</f>
        <v/>
      </c>
      <c r="AM145" s="0" t="str">
        <f aca="false">IF(AND($B145="D06",$C145="G0"),AM144&amp;IF(AM144="","",CHAR(10))&amp;$A145,AM144)</f>
        <v/>
      </c>
      <c r="AN145" s="0" t="str">
        <f aca="false">IF(AND($B145="D06",$C145="G1"),AN144&amp;IF(AN144="","",CHAR(10))&amp;$A145,AN144)</f>
        <v/>
      </c>
      <c r="AO145" s="0" t="str">
        <f aca="false">IF(AND($B145="D06",$C145="G2"),AO144&amp;IF(AO144="","",CHAR(10))&amp;$A145,AO144)</f>
        <v/>
      </c>
      <c r="AP145" s="363" t="str">
        <f aca="false">IF(AND($B145="D06",$C145="G3"),AP144&amp;IF(AP144="","",CHAR(10))&amp;$A145,AP144)</f>
        <v>◐ 033 HIS／EMR核心平台
◐ 036 臨床術語與主資料治理</v>
      </c>
      <c r="AQ145" s="363" t="str">
        <f aca="false">IF(AND($B145="D06",$C145="G4"),AQ144&amp;IF(AQ144="","",CHAR(10))&amp;$A145,AQ144)</f>
        <v>◐ 034 FHIR介接與API管理
○ 035 主病人索引與身分整合
◐ 037 電子醫囑、用藥與決策支援
◐ 038 資料平台、BI與營運指揮</v>
      </c>
      <c r="AR145" s="0" t="str">
        <f aca="false">IF(AND($B145="D06",$C145="G5"),AR144&amp;IF(AR144="","",CHAR(10))&amp;$A145,AR144)</f>
        <v>○ 039 病人入口、行動服務與VNeID準備</v>
      </c>
      <c r="AS145" s="0" t="str">
        <f aca="false">IF(AND($B145="D06",$C145="G6"),AS144&amp;IF(AS144="","",CHAR(10))&amp;$A145,AS144)</f>
        <v/>
      </c>
      <c r="AT145" s="0" t="str">
        <f aca="false">IF(AND($B145="D07",$C145="G0"),AT144&amp;IF(AT144="","",CHAR(10))&amp;$A145,AT144)</f>
        <v/>
      </c>
      <c r="AU145" s="0" t="str">
        <f aca="false">IF(AND($B145="D07",$C145="G1"),AU144&amp;IF(AU144="","",CHAR(10))&amp;$A145,AU144)</f>
        <v/>
      </c>
      <c r="AV145" s="0" t="str">
        <f aca="false">IF(AND($B145="D07",$C145="G2"),AV144&amp;IF(AV144="","",CHAR(10))&amp;$A145,AV144)</f>
        <v>◐ 040 品質管理與JCI路線圖</v>
      </c>
      <c r="AW145" s="363" t="str">
        <f aca="false">IF(AND($B145="D07",$C145="G3"),AW144&amp;IF(AW144="","",CHAR(10))&amp;$A145,AW144)</f>
        <v>◐ 041 感染預防與控制制度
◐ 043 事件通報與根因改善</v>
      </c>
      <c r="AX145" s="0" t="str">
        <f aca="false">IF(AND($B145="D07",$C145="G4"),AX144&amp;IF(AX144="","",CHAR(10))&amp;$A145,AX144)</f>
        <v>◐ 042 用藥安全閉環</v>
      </c>
      <c r="AY145" s="0" t="str">
        <f aca="false">IF(AND($B145="D07",$C145="G5"),AY144&amp;IF(AY144="","",CHAR(10))&amp;$A145,AY144)</f>
        <v>◐ 044 開院臨床安全驗證</v>
      </c>
      <c r="AZ145" s="0" t="str">
        <f aca="false">IF(AND($B145="D07",$C145="G6"),AZ144&amp;IF(AZ144="","",CHAR(10))&amp;$A145,AZ144)</f>
        <v/>
      </c>
      <c r="BA145" s="0" t="str">
        <f aca="false">IF(AND($B145="D08",$C145="G0"),BA144&amp;IF(BA144="","",CHAR(10))&amp;$A145,BA144)</f>
        <v/>
      </c>
      <c r="BB145" s="0" t="str">
        <f aca="false">IF(AND($B145="D08",$C145="G1"),BB144&amp;IF(BB144="","",CHAR(10))&amp;$A145,BB144)</f>
        <v/>
      </c>
      <c r="BC145" s="0" t="str">
        <f aca="false">IF(AND($B145="D08",$C145="G2"),BC144&amp;IF(BC144="","",CHAR(10))&amp;$A145,BC144)</f>
        <v>○ 045 人力與輪班模型</v>
      </c>
      <c r="BD145" s="0" t="str">
        <f aca="false">IF(AND($B145="D08",$C145="G3"),BD144&amp;IF(BD144="","",CHAR(10))&amp;$A145,BD144)</f>
        <v>◐ 046 職能矩陣與授權</v>
      </c>
      <c r="BE145" s="363" t="str">
        <f aca="false">IF(AND($B145="D08",$C145="G4"),BE144&amp;IF(BE144="","",CHAR(10))&amp;$A145,BE144)</f>
        <v>◐ 047 種子教師與技術移轉
◐ 049 變革管理與使用者採納</v>
      </c>
      <c r="BF145" s="0" t="str">
        <f aca="false">IF(AND($B145="D08",$C145="G5"),BF144&amp;IF(BF144="","",CHAR(10))&amp;$A145,BF144)</f>
        <v>◐ 048 模擬中心與開院演練</v>
      </c>
      <c r="BG145" s="0" t="str">
        <f aca="false">IF(AND($B145="D08",$C145="G6"),BG144&amp;IF(BG144="","",CHAR(10))&amp;$A145,BG144)</f>
        <v/>
      </c>
      <c r="BH145" s="0" t="str">
        <f aca="false">IF(AND($B145="D09",$C145="G0"),BH144&amp;IF(BH144="","",CHAR(10))&amp;$A145,BH144)</f>
        <v/>
      </c>
      <c r="BI145" s="0" t="str">
        <f aca="false">IF(AND($B145="D09",$C145="G1"),BI144&amp;IF(BI144="","",CHAR(10))&amp;$A145,BI144)</f>
        <v/>
      </c>
      <c r="BJ145" s="0" t="str">
        <f aca="false">IF(AND($B145="D09",$C145="G2"),BJ144&amp;IF(BJ144="","",CHAR(10))&amp;$A145,BJ144)</f>
        <v>◐ 050 整合採購與供應商治理</v>
      </c>
      <c r="BK145" s="0" t="str">
        <f aca="false">IF(AND($B145="D09",$C145="G3"),BK144&amp;IF(BK144="","",CHAR(10))&amp;$A145,BK144)</f>
        <v/>
      </c>
      <c r="BL145" s="363" t="str">
        <f aca="false">IF(AND($B145="D09",$C145="G4"),BL144&amp;IF(BL144="","",CHAR(10))&amp;$A145,BL144)</f>
        <v>◐ 051 藥品耗材與SPD物流
◐ 052 冷鏈與特殊物料
● 053 CMMS與設施維運</v>
      </c>
      <c r="BM145" s="0" t="str">
        <f aca="false">IF(AND($B145="D09",$C145="G5"),BM144&amp;IF(BM144="","",CHAR(10))&amp;$A145,BM144)</f>
        <v>◐ 054 在地備品、維修與汰換</v>
      </c>
      <c r="BN145" s="0" t="str">
        <f aca="false">IF(AND($B145="D09",$C145="G6"),BN144&amp;IF(BN144="","",CHAR(10))&amp;$A145,BN144)</f>
        <v/>
      </c>
      <c r="BO145" s="0" t="str">
        <f aca="false">IF(AND($B145="D10",$C145="G0"),BO144&amp;IF(BO144="","",CHAR(10))&amp;$A145,BO144)</f>
        <v/>
      </c>
      <c r="BP145" s="0" t="str">
        <f aca="false">IF(AND($B145="D10",$C145="G1"),BP144&amp;IF(BP144="","",CHAR(10))&amp;$A145,BP144)</f>
        <v>◐ 055 全生命週期成本模型</v>
      </c>
      <c r="BQ145" s="0" t="str">
        <f aca="false">IF(AND($B145="D10",$C145="G2"),BQ144&amp;IF(BQ144="","",CHAR(10))&amp;$A145,BQ144)</f>
        <v>◐ 059 PPP／JV財務與風險分配</v>
      </c>
      <c r="BR145" s="0" t="str">
        <f aca="false">IF(AND($B145="D10",$C145="G3"),BR144&amp;IF(BR144="","",CHAR(10))&amp;$A145,BR144)</f>
        <v/>
      </c>
      <c r="BS145" s="363" t="str">
        <f aca="false">IF(AND($B145="D10",$C145="G4"),BS144&amp;IF(BS144="","",CHAR(10))&amp;$A145,BS144)</f>
        <v>○ 056 健保申報與數位理賠
○ 057 現金流、支付與收入週期</v>
      </c>
      <c r="BT145" s="0" t="str">
        <f aca="false">IF(AND($B145="D10",$C145="G5"),BT144&amp;IF(BT144="","",CHAR(10))&amp;$A145,BT144)</f>
        <v>○ 058 國際醫療與高價值服務</v>
      </c>
      <c r="BU145" s="0" t="str">
        <f aca="false">IF(AND($B145="D10",$C145="G6"),BU144&amp;IF(BU144="","",CHAR(10))&amp;$A145,BU144)</f>
        <v>◐ 060 效益實現與複製藍圖</v>
      </c>
      <c r="BX145" s="0" t="str">
        <f aca="false">IF(AND(03_能力總表_Master!$A145&lt;&gt;"",LEFT(03_能力總表_Master!$H145,2)="缺口"),MAX($BX$4:BX144)+1,"")</f>
        <v/>
      </c>
      <c r="BY145" s="0" t="str">
        <f aca="false">IF(AND(03_能力總表_Master!$A145&lt;&gt;"",03_能力總表_Master!$J145=12_夥伴視角_PartnerView!$C$4),MAX($BY$4:BY144)+1,"")</f>
        <v/>
      </c>
      <c r="CC145" s="0" t="str">
        <f aca="false">IF(AND(03_能力總表_Master!$A145&lt;&gt;"",IFERROR(INDEX(16_能力商機矩陣_CapOppMap!$D145:$CO145,MATCH(LEFT(17_商機作戰卡_OppView!$C$4,6),16_能力商機矩陣_CapOppMap!$D$4:$CO$4,0)),"")="✓"),MAX($CC$4:CC144)+1,"")</f>
        <v/>
      </c>
    </row>
    <row r="146" customFormat="false" ht="95.5" hidden="false" customHeight="false" outlineLevel="0" collapsed="false">
      <c r="A146" s="0" t="str">
        <f aca="false">IF(03_能力總表_Master!$A146="","",IF(LEFT(03_能力總表_Master!$H146,2)="群晶","● ",IF(ISNUMBER(SEARCH("已確認",03_能力總表_Master!$H146)),"◆ ",IF(ISNUMBER(SEARCH("缺口",03_能力總表_Master!$H146)),"○ ","◐ ")))&amp;RIGHT(03_能力總表_Master!$A146,3)&amp;" "&amp;03_能力總表_Master!$E146)</f>
        <v/>
      </c>
      <c r="B146" s="0" t="str">
        <f aca="false">IF(03_能力總表_Master!$A146="","",LEFT(03_能力總表_Master!$B146,3))</f>
        <v/>
      </c>
      <c r="C146" s="0" t="str">
        <f aca="false">IF(03_能力總表_Master!$A146="","",03_能力總表_Master!$C146)</f>
        <v/>
      </c>
      <c r="D146" s="363" t="str">
        <f aca="false">IF(AND($B146="D01",$C146="G0"),D145&amp;IF(D145="","",CHAR(10))&amp;$A146,D145)</f>
        <v>◐ 001 政府授權與計畫章程
◐ 002 利害關係人與權力地圖
◐ 005 聯盟治理與利益衝突</v>
      </c>
      <c r="E146" s="363" t="str">
        <f aca="false">IF(AND($B146="D01",$C146="G1"),E145&amp;IF(E145="","",CHAR(10))&amp;$A146,E145)</f>
        <v>◐ 003 交易模式選擇
◐ 004 法規與執照路徑</v>
      </c>
      <c r="F146" s="0" t="str">
        <f aca="false">IF(AND($B146="D01",$C146="G2"),F145&amp;IF(F145="","",CHAR(10))&amp;$A146,F145)</f>
        <v>◐ 006 績效契約與變更控制</v>
      </c>
      <c r="G146" s="0" t="str">
        <f aca="false">IF(AND($B146="D01",$C146="G3"),G145&amp;IF(G145="","",CHAR(10))&amp;$A146,G145)</f>
        <v/>
      </c>
      <c r="H146" s="0" t="str">
        <f aca="false">IF(AND($B146="D01",$C146="G4"),H145&amp;IF(H145="","",CHAR(10))&amp;$A146,H145)</f>
        <v/>
      </c>
      <c r="I146" s="0" t="str">
        <f aca="false">IF(AND($B146="D01",$C146="G5"),I145&amp;IF(I145="","",CHAR(10))&amp;$A146,I145)</f>
        <v/>
      </c>
      <c r="J146" s="0" t="str">
        <f aca="false">IF(AND($B146="D01",$C146="G6"),J145&amp;IF(J145="","",CHAR(10))&amp;$A146,J145)</f>
        <v/>
      </c>
      <c r="K146" s="0" t="str">
        <f aca="false">IF(AND($B146="D02",$C146="G0"),K145&amp;IF(K145="","",CHAR(10))&amp;$A146,K145)</f>
        <v/>
      </c>
      <c r="L146" s="363" t="str">
        <f aca="false">IF(AND($B146="D02",$C146="G1"),L145&amp;IF(L145="","",CHAR(10))&amp;$A146,L145)</f>
        <v>◐ 007 人口需求與病例量預測
◐ 008 醫院定位與服務組合
◐ 009 重點專科優先化
◐ 010 病人流程與容量設計
◐ 011 轉診與區域照護網絡
◐ 012 臨床治理與責任架構</v>
      </c>
      <c r="M146" s="0" t="str">
        <f aca="false">IF(AND($B146="D02",$C146="G2"),M145&amp;IF(M145="","",CHAR(10))&amp;$A146,M145)</f>
        <v/>
      </c>
      <c r="N146" s="0" t="str">
        <f aca="false">IF(AND($B146="D02",$C146="G3"),N145&amp;IF(N145="","",CHAR(10))&amp;$A146,N145)</f>
        <v/>
      </c>
      <c r="O146" s="0" t="str">
        <f aca="false">IF(AND($B146="D02",$C146="G4"),O145&amp;IF(O145="","",CHAR(10))&amp;$A146,O145)</f>
        <v/>
      </c>
      <c r="P146" s="0" t="str">
        <f aca="false">IF(AND($B146="D02",$C146="G5"),P145&amp;IF(P145="","",CHAR(10))&amp;$A146,P145)</f>
        <v/>
      </c>
      <c r="Q146" s="0" t="str">
        <f aca="false">IF(AND($B146="D02",$C146="G6"),Q145&amp;IF(Q145="","",CHAR(10))&amp;$A146,Q145)</f>
        <v/>
      </c>
      <c r="R146" s="0" t="str">
        <f aca="false">IF(AND($B146="D03",$C146="G0"),R145&amp;IF(R145="","",CHAR(10))&amp;$A146,R145)</f>
        <v/>
      </c>
      <c r="S146" s="0" t="str">
        <f aca="false">IF(AND($B146="D03",$C146="G1"),S145&amp;IF(S145="","",CHAR(10))&amp;$A146,S145)</f>
        <v>◐ 013 場址與醫院總體規劃</v>
      </c>
      <c r="T146" s="363" t="str">
        <f aca="false">IF(AND($B146="D03",$C146="G2"),T145&amp;IF(T145="","",CHAR(10))&amp;$A146,T145)</f>
        <v>◐ 014 醫療建築功能計畫
◐ 015 感染控制與潔污動線
◐ 019 綠色與氣候韌性醫院</v>
      </c>
      <c r="U146" s="363" t="str">
        <f aca="false">IF(AND($B146="D03",$C146="G3"),U145&amp;IF(U145="","",CHAR(10))&amp;$A146,U145)</f>
        <v>● 016 電力、備援與微電網
◐ 017 醫療氣體與關鍵公用系統
◐ 018 醫療廢棄物與水資源</v>
      </c>
      <c r="V146" s="0" t="str">
        <f aca="false">IF(AND($B146="D03",$C146="G4"),V145&amp;IF(V145="","",CHAR(10))&amp;$A146,V145)</f>
        <v/>
      </c>
      <c r="W146" s="0" t="str">
        <f aca="false">IF(AND($B146="D03",$C146="G5"),W145&amp;IF(W145="","",CHAR(10))&amp;$A146,W145)</f>
        <v/>
      </c>
      <c r="X146" s="0" t="str">
        <f aca="false">IF(AND($B146="D03",$C146="G6"),X145&amp;IF(X145="","",CHAR(10))&amp;$A146,X145)</f>
        <v/>
      </c>
      <c r="Y146" s="0" t="str">
        <f aca="false">IF(AND($B146="D04",$C146="G0"),Y145&amp;IF(Y145="","",CHAR(10))&amp;$A146,Y145)</f>
        <v/>
      </c>
      <c r="Z146" s="0" t="str">
        <f aca="false">IF(AND($B146="D04",$C146="G1"),Z145&amp;IF(Z145="","",CHAR(10))&amp;$A146,Z145)</f>
        <v/>
      </c>
      <c r="AA146" s="0" t="str">
        <f aca="false">IF(AND($B146="D04",$C146="G2"),AA145&amp;IF(AA145="","",CHAR(10))&amp;$A146,AA145)</f>
        <v/>
      </c>
      <c r="AB146" s="0" t="str">
        <f aca="false">IF(AND($B146="D04",$C146="G3"),AB145&amp;IF(AB145="","",CHAR(10))&amp;$A146,AB145)</f>
        <v>● 020 IDC與邊緣運算底座</v>
      </c>
      <c r="AC146" s="363" t="str">
        <f aca="false">IF(AND($B146="D04",$C146="G4"),AC145&amp;IF(AC145="","",CHAR(10))&amp;$A146,AC145)</f>
        <v>● 021 有線無線網路與分區
◐ 022 資安營運與零信任
● 023 BMS與能源管理
● 024 RTLS與資產／人員定位
● 025 智慧病房、護理呼叫與感測
● 026 災難復原與營運持續</v>
      </c>
      <c r="AD146" s="0" t="str">
        <f aca="false">IF(AND($B146="D04",$C146="G5"),AD145&amp;IF(AD145="","",CHAR(10))&amp;$A146,AD145)</f>
        <v/>
      </c>
      <c r="AE146" s="0" t="str">
        <f aca="false">IF(AND($B146="D04",$C146="G6"),AE145&amp;IF(AE145="","",CHAR(10))&amp;$A146,AE145)</f>
        <v/>
      </c>
      <c r="AF146" s="0" t="str">
        <f aca="false">IF(AND($B146="D05",$C146="G0"),AF145&amp;IF(AF145="","",CHAR(10))&amp;$A146,AF145)</f>
        <v/>
      </c>
      <c r="AG146" s="0" t="str">
        <f aca="false">IF(AND($B146="D05",$C146="G1"),AG145&amp;IF(AG145="","",CHAR(10))&amp;$A146,AG145)</f>
        <v/>
      </c>
      <c r="AH146" s="0" t="str">
        <f aca="false">IF(AND($B146="D05",$C146="G2"),AH145&amp;IF(AH145="","",CHAR(10))&amp;$A146,AH145)</f>
        <v>◐ 027 醫材需求與設備計畫</v>
      </c>
      <c r="AI146" s="0" t="str">
        <f aca="false">IF(AND($B146="D05",$C146="G3"),AI145&amp;IF(AI145="","",CHAR(10))&amp;$A146,AI145)</f>
        <v/>
      </c>
      <c r="AJ146" s="363" t="str">
        <f aca="false">IF(AND($B146="D05",$C146="G4"),AJ145&amp;IF(AJ145="","",CHAR(10))&amp;$A146,AJ145)</f>
        <v>○ 028 影像設備、PACS與報告流程
○ 029 實驗室自動化與LIS
○ 030 手術室與重症整合
◐ 031 醫材介接與裝置身分
◐ 032 醫療工程與設備生命週期</v>
      </c>
      <c r="AK146" s="0" t="str">
        <f aca="false">IF(AND($B146="D05",$C146="G5"),AK145&amp;IF(AK145="","",CHAR(10))&amp;$A146,AK145)</f>
        <v/>
      </c>
      <c r="AL146" s="0" t="str">
        <f aca="false">IF(AND($B146="D05",$C146="G6"),AL145&amp;IF(AL145="","",CHAR(10))&amp;$A146,AL145)</f>
        <v/>
      </c>
      <c r="AM146" s="0" t="str">
        <f aca="false">IF(AND($B146="D06",$C146="G0"),AM145&amp;IF(AM145="","",CHAR(10))&amp;$A146,AM145)</f>
        <v/>
      </c>
      <c r="AN146" s="0" t="str">
        <f aca="false">IF(AND($B146="D06",$C146="G1"),AN145&amp;IF(AN145="","",CHAR(10))&amp;$A146,AN145)</f>
        <v/>
      </c>
      <c r="AO146" s="0" t="str">
        <f aca="false">IF(AND($B146="D06",$C146="G2"),AO145&amp;IF(AO145="","",CHAR(10))&amp;$A146,AO145)</f>
        <v/>
      </c>
      <c r="AP146" s="363" t="str">
        <f aca="false">IF(AND($B146="D06",$C146="G3"),AP145&amp;IF(AP145="","",CHAR(10))&amp;$A146,AP145)</f>
        <v>◐ 033 HIS／EMR核心平台
◐ 036 臨床術語與主資料治理</v>
      </c>
      <c r="AQ146" s="363" t="str">
        <f aca="false">IF(AND($B146="D06",$C146="G4"),AQ145&amp;IF(AQ145="","",CHAR(10))&amp;$A146,AQ145)</f>
        <v>◐ 034 FHIR介接與API管理
○ 035 主病人索引與身分整合
◐ 037 電子醫囑、用藥與決策支援
◐ 038 資料平台、BI與營運指揮</v>
      </c>
      <c r="AR146" s="0" t="str">
        <f aca="false">IF(AND($B146="D06",$C146="G5"),AR145&amp;IF(AR145="","",CHAR(10))&amp;$A146,AR145)</f>
        <v>○ 039 病人入口、行動服務與VNeID準備</v>
      </c>
      <c r="AS146" s="0" t="str">
        <f aca="false">IF(AND($B146="D06",$C146="G6"),AS145&amp;IF(AS145="","",CHAR(10))&amp;$A146,AS145)</f>
        <v/>
      </c>
      <c r="AT146" s="0" t="str">
        <f aca="false">IF(AND($B146="D07",$C146="G0"),AT145&amp;IF(AT145="","",CHAR(10))&amp;$A146,AT145)</f>
        <v/>
      </c>
      <c r="AU146" s="0" t="str">
        <f aca="false">IF(AND($B146="D07",$C146="G1"),AU145&amp;IF(AU145="","",CHAR(10))&amp;$A146,AU145)</f>
        <v/>
      </c>
      <c r="AV146" s="0" t="str">
        <f aca="false">IF(AND($B146="D07",$C146="G2"),AV145&amp;IF(AV145="","",CHAR(10))&amp;$A146,AV145)</f>
        <v>◐ 040 品質管理與JCI路線圖</v>
      </c>
      <c r="AW146" s="363" t="str">
        <f aca="false">IF(AND($B146="D07",$C146="G3"),AW145&amp;IF(AW145="","",CHAR(10))&amp;$A146,AW145)</f>
        <v>◐ 041 感染預防與控制制度
◐ 043 事件通報與根因改善</v>
      </c>
      <c r="AX146" s="0" t="str">
        <f aca="false">IF(AND($B146="D07",$C146="G4"),AX145&amp;IF(AX145="","",CHAR(10))&amp;$A146,AX145)</f>
        <v>◐ 042 用藥安全閉環</v>
      </c>
      <c r="AY146" s="0" t="str">
        <f aca="false">IF(AND($B146="D07",$C146="G5"),AY145&amp;IF(AY145="","",CHAR(10))&amp;$A146,AY145)</f>
        <v>◐ 044 開院臨床安全驗證</v>
      </c>
      <c r="AZ146" s="0" t="str">
        <f aca="false">IF(AND($B146="D07",$C146="G6"),AZ145&amp;IF(AZ145="","",CHAR(10))&amp;$A146,AZ145)</f>
        <v/>
      </c>
      <c r="BA146" s="0" t="str">
        <f aca="false">IF(AND($B146="D08",$C146="G0"),BA145&amp;IF(BA145="","",CHAR(10))&amp;$A146,BA145)</f>
        <v/>
      </c>
      <c r="BB146" s="0" t="str">
        <f aca="false">IF(AND($B146="D08",$C146="G1"),BB145&amp;IF(BB145="","",CHAR(10))&amp;$A146,BB145)</f>
        <v/>
      </c>
      <c r="BC146" s="0" t="str">
        <f aca="false">IF(AND($B146="D08",$C146="G2"),BC145&amp;IF(BC145="","",CHAR(10))&amp;$A146,BC145)</f>
        <v>○ 045 人力與輪班模型</v>
      </c>
      <c r="BD146" s="0" t="str">
        <f aca="false">IF(AND($B146="D08",$C146="G3"),BD145&amp;IF(BD145="","",CHAR(10))&amp;$A146,BD145)</f>
        <v>◐ 046 職能矩陣與授權</v>
      </c>
      <c r="BE146" s="363" t="str">
        <f aca="false">IF(AND($B146="D08",$C146="G4"),BE145&amp;IF(BE145="","",CHAR(10))&amp;$A146,BE145)</f>
        <v>◐ 047 種子教師與技術移轉
◐ 049 變革管理與使用者採納</v>
      </c>
      <c r="BF146" s="0" t="str">
        <f aca="false">IF(AND($B146="D08",$C146="G5"),BF145&amp;IF(BF145="","",CHAR(10))&amp;$A146,BF145)</f>
        <v>◐ 048 模擬中心與開院演練</v>
      </c>
      <c r="BG146" s="0" t="str">
        <f aca="false">IF(AND($B146="D08",$C146="G6"),BG145&amp;IF(BG145="","",CHAR(10))&amp;$A146,BG145)</f>
        <v/>
      </c>
      <c r="BH146" s="0" t="str">
        <f aca="false">IF(AND($B146="D09",$C146="G0"),BH145&amp;IF(BH145="","",CHAR(10))&amp;$A146,BH145)</f>
        <v/>
      </c>
      <c r="BI146" s="0" t="str">
        <f aca="false">IF(AND($B146="D09",$C146="G1"),BI145&amp;IF(BI145="","",CHAR(10))&amp;$A146,BI145)</f>
        <v/>
      </c>
      <c r="BJ146" s="0" t="str">
        <f aca="false">IF(AND($B146="D09",$C146="G2"),BJ145&amp;IF(BJ145="","",CHAR(10))&amp;$A146,BJ145)</f>
        <v>◐ 050 整合採購與供應商治理</v>
      </c>
      <c r="BK146" s="0" t="str">
        <f aca="false">IF(AND($B146="D09",$C146="G3"),BK145&amp;IF(BK145="","",CHAR(10))&amp;$A146,BK145)</f>
        <v/>
      </c>
      <c r="BL146" s="363" t="str">
        <f aca="false">IF(AND($B146="D09",$C146="G4"),BL145&amp;IF(BL145="","",CHAR(10))&amp;$A146,BL145)</f>
        <v>◐ 051 藥品耗材與SPD物流
◐ 052 冷鏈與特殊物料
● 053 CMMS與設施維運</v>
      </c>
      <c r="BM146" s="0" t="str">
        <f aca="false">IF(AND($B146="D09",$C146="G5"),BM145&amp;IF(BM145="","",CHAR(10))&amp;$A146,BM145)</f>
        <v>◐ 054 在地備品、維修與汰換</v>
      </c>
      <c r="BN146" s="0" t="str">
        <f aca="false">IF(AND($B146="D09",$C146="G6"),BN145&amp;IF(BN145="","",CHAR(10))&amp;$A146,BN145)</f>
        <v/>
      </c>
      <c r="BO146" s="0" t="str">
        <f aca="false">IF(AND($B146="D10",$C146="G0"),BO145&amp;IF(BO145="","",CHAR(10))&amp;$A146,BO145)</f>
        <v/>
      </c>
      <c r="BP146" s="0" t="str">
        <f aca="false">IF(AND($B146="D10",$C146="G1"),BP145&amp;IF(BP145="","",CHAR(10))&amp;$A146,BP145)</f>
        <v>◐ 055 全生命週期成本模型</v>
      </c>
      <c r="BQ146" s="0" t="str">
        <f aca="false">IF(AND($B146="D10",$C146="G2"),BQ145&amp;IF(BQ145="","",CHAR(10))&amp;$A146,BQ145)</f>
        <v>◐ 059 PPP／JV財務與風險分配</v>
      </c>
      <c r="BR146" s="0" t="str">
        <f aca="false">IF(AND($B146="D10",$C146="G3"),BR145&amp;IF(BR145="","",CHAR(10))&amp;$A146,BR145)</f>
        <v/>
      </c>
      <c r="BS146" s="363" t="str">
        <f aca="false">IF(AND($B146="D10",$C146="G4"),BS145&amp;IF(BS145="","",CHAR(10))&amp;$A146,BS145)</f>
        <v>○ 056 健保申報與數位理賠
○ 057 現金流、支付與收入週期</v>
      </c>
      <c r="BT146" s="0" t="str">
        <f aca="false">IF(AND($B146="D10",$C146="G5"),BT145&amp;IF(BT145="","",CHAR(10))&amp;$A146,BT145)</f>
        <v>○ 058 國際醫療與高價值服務</v>
      </c>
      <c r="BU146" s="0" t="str">
        <f aca="false">IF(AND($B146="D10",$C146="G6"),BU145&amp;IF(BU145="","",CHAR(10))&amp;$A146,BU145)</f>
        <v>◐ 060 效益實現與複製藍圖</v>
      </c>
      <c r="BX146" s="0" t="str">
        <f aca="false">IF(AND(03_能力總表_Master!$A146&lt;&gt;"",LEFT(03_能力總表_Master!$H146,2)="缺口"),MAX($BX$4:BX145)+1,"")</f>
        <v/>
      </c>
      <c r="BY146" s="0" t="str">
        <f aca="false">IF(AND(03_能力總表_Master!$A146&lt;&gt;"",03_能力總表_Master!$J146=12_夥伴視角_PartnerView!$C$4),MAX($BY$4:BY145)+1,"")</f>
        <v/>
      </c>
      <c r="CC146" s="0" t="str">
        <f aca="false">IF(AND(03_能力總表_Master!$A146&lt;&gt;"",IFERROR(INDEX(16_能力商機矩陣_CapOppMap!$D146:$CO146,MATCH(LEFT(17_商機作戰卡_OppView!$C$4,6),16_能力商機矩陣_CapOppMap!$D$4:$CO$4,0)),"")="✓"),MAX($CC$4:CC145)+1,"")</f>
        <v/>
      </c>
    </row>
    <row r="147" customFormat="false" ht="95.5" hidden="false" customHeight="false" outlineLevel="0" collapsed="false">
      <c r="A147" s="0" t="str">
        <f aca="false">IF(03_能力總表_Master!$A147="","",IF(LEFT(03_能力總表_Master!$H147,2)="群晶","● ",IF(ISNUMBER(SEARCH("已確認",03_能力總表_Master!$H147)),"◆ ",IF(ISNUMBER(SEARCH("缺口",03_能力總表_Master!$H147)),"○ ","◐ ")))&amp;RIGHT(03_能力總表_Master!$A147,3)&amp;" "&amp;03_能力總表_Master!$E147)</f>
        <v/>
      </c>
      <c r="B147" s="0" t="str">
        <f aca="false">IF(03_能力總表_Master!$A147="","",LEFT(03_能力總表_Master!$B147,3))</f>
        <v/>
      </c>
      <c r="C147" s="0" t="str">
        <f aca="false">IF(03_能力總表_Master!$A147="","",03_能力總表_Master!$C147)</f>
        <v/>
      </c>
      <c r="D147" s="363" t="str">
        <f aca="false">IF(AND($B147="D01",$C147="G0"),D146&amp;IF(D146="","",CHAR(10))&amp;$A147,D146)</f>
        <v>◐ 001 政府授權與計畫章程
◐ 002 利害關係人與權力地圖
◐ 005 聯盟治理與利益衝突</v>
      </c>
      <c r="E147" s="363" t="str">
        <f aca="false">IF(AND($B147="D01",$C147="G1"),E146&amp;IF(E146="","",CHAR(10))&amp;$A147,E146)</f>
        <v>◐ 003 交易模式選擇
◐ 004 法規與執照路徑</v>
      </c>
      <c r="F147" s="0" t="str">
        <f aca="false">IF(AND($B147="D01",$C147="G2"),F146&amp;IF(F146="","",CHAR(10))&amp;$A147,F146)</f>
        <v>◐ 006 績效契約與變更控制</v>
      </c>
      <c r="G147" s="0" t="str">
        <f aca="false">IF(AND($B147="D01",$C147="G3"),G146&amp;IF(G146="","",CHAR(10))&amp;$A147,G146)</f>
        <v/>
      </c>
      <c r="H147" s="0" t="str">
        <f aca="false">IF(AND($B147="D01",$C147="G4"),H146&amp;IF(H146="","",CHAR(10))&amp;$A147,H146)</f>
        <v/>
      </c>
      <c r="I147" s="0" t="str">
        <f aca="false">IF(AND($B147="D01",$C147="G5"),I146&amp;IF(I146="","",CHAR(10))&amp;$A147,I146)</f>
        <v/>
      </c>
      <c r="J147" s="0" t="str">
        <f aca="false">IF(AND($B147="D01",$C147="G6"),J146&amp;IF(J146="","",CHAR(10))&amp;$A147,J146)</f>
        <v/>
      </c>
      <c r="K147" s="0" t="str">
        <f aca="false">IF(AND($B147="D02",$C147="G0"),K146&amp;IF(K146="","",CHAR(10))&amp;$A147,K146)</f>
        <v/>
      </c>
      <c r="L147" s="363" t="str">
        <f aca="false">IF(AND($B147="D02",$C147="G1"),L146&amp;IF(L146="","",CHAR(10))&amp;$A147,L146)</f>
        <v>◐ 007 人口需求與病例量預測
◐ 008 醫院定位與服務組合
◐ 009 重點專科優先化
◐ 010 病人流程與容量設計
◐ 011 轉診與區域照護網絡
◐ 012 臨床治理與責任架構</v>
      </c>
      <c r="M147" s="0" t="str">
        <f aca="false">IF(AND($B147="D02",$C147="G2"),M146&amp;IF(M146="","",CHAR(10))&amp;$A147,M146)</f>
        <v/>
      </c>
      <c r="N147" s="0" t="str">
        <f aca="false">IF(AND($B147="D02",$C147="G3"),N146&amp;IF(N146="","",CHAR(10))&amp;$A147,N146)</f>
        <v/>
      </c>
      <c r="O147" s="0" t="str">
        <f aca="false">IF(AND($B147="D02",$C147="G4"),O146&amp;IF(O146="","",CHAR(10))&amp;$A147,O146)</f>
        <v/>
      </c>
      <c r="P147" s="0" t="str">
        <f aca="false">IF(AND($B147="D02",$C147="G5"),P146&amp;IF(P146="","",CHAR(10))&amp;$A147,P146)</f>
        <v/>
      </c>
      <c r="Q147" s="0" t="str">
        <f aca="false">IF(AND($B147="D02",$C147="G6"),Q146&amp;IF(Q146="","",CHAR(10))&amp;$A147,Q146)</f>
        <v/>
      </c>
      <c r="R147" s="0" t="str">
        <f aca="false">IF(AND($B147="D03",$C147="G0"),R146&amp;IF(R146="","",CHAR(10))&amp;$A147,R146)</f>
        <v/>
      </c>
      <c r="S147" s="0" t="str">
        <f aca="false">IF(AND($B147="D03",$C147="G1"),S146&amp;IF(S146="","",CHAR(10))&amp;$A147,S146)</f>
        <v>◐ 013 場址與醫院總體規劃</v>
      </c>
      <c r="T147" s="363" t="str">
        <f aca="false">IF(AND($B147="D03",$C147="G2"),T146&amp;IF(T146="","",CHAR(10))&amp;$A147,T146)</f>
        <v>◐ 014 醫療建築功能計畫
◐ 015 感染控制與潔污動線
◐ 019 綠色與氣候韌性醫院</v>
      </c>
      <c r="U147" s="363" t="str">
        <f aca="false">IF(AND($B147="D03",$C147="G3"),U146&amp;IF(U146="","",CHAR(10))&amp;$A147,U146)</f>
        <v>● 016 電力、備援與微電網
◐ 017 醫療氣體與關鍵公用系統
◐ 018 醫療廢棄物與水資源</v>
      </c>
      <c r="V147" s="0" t="str">
        <f aca="false">IF(AND($B147="D03",$C147="G4"),V146&amp;IF(V146="","",CHAR(10))&amp;$A147,V146)</f>
        <v/>
      </c>
      <c r="W147" s="0" t="str">
        <f aca="false">IF(AND($B147="D03",$C147="G5"),W146&amp;IF(W146="","",CHAR(10))&amp;$A147,W146)</f>
        <v/>
      </c>
      <c r="X147" s="0" t="str">
        <f aca="false">IF(AND($B147="D03",$C147="G6"),X146&amp;IF(X146="","",CHAR(10))&amp;$A147,X146)</f>
        <v/>
      </c>
      <c r="Y147" s="0" t="str">
        <f aca="false">IF(AND($B147="D04",$C147="G0"),Y146&amp;IF(Y146="","",CHAR(10))&amp;$A147,Y146)</f>
        <v/>
      </c>
      <c r="Z147" s="0" t="str">
        <f aca="false">IF(AND($B147="D04",$C147="G1"),Z146&amp;IF(Z146="","",CHAR(10))&amp;$A147,Z146)</f>
        <v/>
      </c>
      <c r="AA147" s="0" t="str">
        <f aca="false">IF(AND($B147="D04",$C147="G2"),AA146&amp;IF(AA146="","",CHAR(10))&amp;$A147,AA146)</f>
        <v/>
      </c>
      <c r="AB147" s="0" t="str">
        <f aca="false">IF(AND($B147="D04",$C147="G3"),AB146&amp;IF(AB146="","",CHAR(10))&amp;$A147,AB146)</f>
        <v>● 020 IDC與邊緣運算底座</v>
      </c>
      <c r="AC147" s="363" t="str">
        <f aca="false">IF(AND($B147="D04",$C147="G4"),AC146&amp;IF(AC146="","",CHAR(10))&amp;$A147,AC146)</f>
        <v>● 021 有線無線網路與分區
◐ 022 資安營運與零信任
● 023 BMS與能源管理
● 024 RTLS與資產／人員定位
● 025 智慧病房、護理呼叫與感測
● 026 災難復原與營運持續</v>
      </c>
      <c r="AD147" s="0" t="str">
        <f aca="false">IF(AND($B147="D04",$C147="G5"),AD146&amp;IF(AD146="","",CHAR(10))&amp;$A147,AD146)</f>
        <v/>
      </c>
      <c r="AE147" s="0" t="str">
        <f aca="false">IF(AND($B147="D04",$C147="G6"),AE146&amp;IF(AE146="","",CHAR(10))&amp;$A147,AE146)</f>
        <v/>
      </c>
      <c r="AF147" s="0" t="str">
        <f aca="false">IF(AND($B147="D05",$C147="G0"),AF146&amp;IF(AF146="","",CHAR(10))&amp;$A147,AF146)</f>
        <v/>
      </c>
      <c r="AG147" s="0" t="str">
        <f aca="false">IF(AND($B147="D05",$C147="G1"),AG146&amp;IF(AG146="","",CHAR(10))&amp;$A147,AG146)</f>
        <v/>
      </c>
      <c r="AH147" s="0" t="str">
        <f aca="false">IF(AND($B147="D05",$C147="G2"),AH146&amp;IF(AH146="","",CHAR(10))&amp;$A147,AH146)</f>
        <v>◐ 027 醫材需求與設備計畫</v>
      </c>
      <c r="AI147" s="0" t="str">
        <f aca="false">IF(AND($B147="D05",$C147="G3"),AI146&amp;IF(AI146="","",CHAR(10))&amp;$A147,AI146)</f>
        <v/>
      </c>
      <c r="AJ147" s="363" t="str">
        <f aca="false">IF(AND($B147="D05",$C147="G4"),AJ146&amp;IF(AJ146="","",CHAR(10))&amp;$A147,AJ146)</f>
        <v>○ 028 影像設備、PACS與報告流程
○ 029 實驗室自動化與LIS
○ 030 手術室與重症整合
◐ 031 醫材介接與裝置身分
◐ 032 醫療工程與設備生命週期</v>
      </c>
      <c r="AK147" s="0" t="str">
        <f aca="false">IF(AND($B147="D05",$C147="G5"),AK146&amp;IF(AK146="","",CHAR(10))&amp;$A147,AK146)</f>
        <v/>
      </c>
      <c r="AL147" s="0" t="str">
        <f aca="false">IF(AND($B147="D05",$C147="G6"),AL146&amp;IF(AL146="","",CHAR(10))&amp;$A147,AL146)</f>
        <v/>
      </c>
      <c r="AM147" s="0" t="str">
        <f aca="false">IF(AND($B147="D06",$C147="G0"),AM146&amp;IF(AM146="","",CHAR(10))&amp;$A147,AM146)</f>
        <v/>
      </c>
      <c r="AN147" s="0" t="str">
        <f aca="false">IF(AND($B147="D06",$C147="G1"),AN146&amp;IF(AN146="","",CHAR(10))&amp;$A147,AN146)</f>
        <v/>
      </c>
      <c r="AO147" s="0" t="str">
        <f aca="false">IF(AND($B147="D06",$C147="G2"),AO146&amp;IF(AO146="","",CHAR(10))&amp;$A147,AO146)</f>
        <v/>
      </c>
      <c r="AP147" s="363" t="str">
        <f aca="false">IF(AND($B147="D06",$C147="G3"),AP146&amp;IF(AP146="","",CHAR(10))&amp;$A147,AP146)</f>
        <v>◐ 033 HIS／EMR核心平台
◐ 036 臨床術語與主資料治理</v>
      </c>
      <c r="AQ147" s="363" t="str">
        <f aca="false">IF(AND($B147="D06",$C147="G4"),AQ146&amp;IF(AQ146="","",CHAR(10))&amp;$A147,AQ146)</f>
        <v>◐ 034 FHIR介接與API管理
○ 035 主病人索引與身分整合
◐ 037 電子醫囑、用藥與決策支援
◐ 038 資料平台、BI與營運指揮</v>
      </c>
      <c r="AR147" s="0" t="str">
        <f aca="false">IF(AND($B147="D06",$C147="G5"),AR146&amp;IF(AR146="","",CHAR(10))&amp;$A147,AR146)</f>
        <v>○ 039 病人入口、行動服務與VNeID準備</v>
      </c>
      <c r="AS147" s="0" t="str">
        <f aca="false">IF(AND($B147="D06",$C147="G6"),AS146&amp;IF(AS146="","",CHAR(10))&amp;$A147,AS146)</f>
        <v/>
      </c>
      <c r="AT147" s="0" t="str">
        <f aca="false">IF(AND($B147="D07",$C147="G0"),AT146&amp;IF(AT146="","",CHAR(10))&amp;$A147,AT146)</f>
        <v/>
      </c>
      <c r="AU147" s="0" t="str">
        <f aca="false">IF(AND($B147="D07",$C147="G1"),AU146&amp;IF(AU146="","",CHAR(10))&amp;$A147,AU146)</f>
        <v/>
      </c>
      <c r="AV147" s="0" t="str">
        <f aca="false">IF(AND($B147="D07",$C147="G2"),AV146&amp;IF(AV146="","",CHAR(10))&amp;$A147,AV146)</f>
        <v>◐ 040 品質管理與JCI路線圖</v>
      </c>
      <c r="AW147" s="363" t="str">
        <f aca="false">IF(AND($B147="D07",$C147="G3"),AW146&amp;IF(AW146="","",CHAR(10))&amp;$A147,AW146)</f>
        <v>◐ 041 感染預防與控制制度
◐ 043 事件通報與根因改善</v>
      </c>
      <c r="AX147" s="0" t="str">
        <f aca="false">IF(AND($B147="D07",$C147="G4"),AX146&amp;IF(AX146="","",CHAR(10))&amp;$A147,AX146)</f>
        <v>◐ 042 用藥安全閉環</v>
      </c>
      <c r="AY147" s="0" t="str">
        <f aca="false">IF(AND($B147="D07",$C147="G5"),AY146&amp;IF(AY146="","",CHAR(10))&amp;$A147,AY146)</f>
        <v>◐ 044 開院臨床安全驗證</v>
      </c>
      <c r="AZ147" s="0" t="str">
        <f aca="false">IF(AND($B147="D07",$C147="G6"),AZ146&amp;IF(AZ146="","",CHAR(10))&amp;$A147,AZ146)</f>
        <v/>
      </c>
      <c r="BA147" s="0" t="str">
        <f aca="false">IF(AND($B147="D08",$C147="G0"),BA146&amp;IF(BA146="","",CHAR(10))&amp;$A147,BA146)</f>
        <v/>
      </c>
      <c r="BB147" s="0" t="str">
        <f aca="false">IF(AND($B147="D08",$C147="G1"),BB146&amp;IF(BB146="","",CHAR(10))&amp;$A147,BB146)</f>
        <v/>
      </c>
      <c r="BC147" s="0" t="str">
        <f aca="false">IF(AND($B147="D08",$C147="G2"),BC146&amp;IF(BC146="","",CHAR(10))&amp;$A147,BC146)</f>
        <v>○ 045 人力與輪班模型</v>
      </c>
      <c r="BD147" s="0" t="str">
        <f aca="false">IF(AND($B147="D08",$C147="G3"),BD146&amp;IF(BD146="","",CHAR(10))&amp;$A147,BD146)</f>
        <v>◐ 046 職能矩陣與授權</v>
      </c>
      <c r="BE147" s="363" t="str">
        <f aca="false">IF(AND($B147="D08",$C147="G4"),BE146&amp;IF(BE146="","",CHAR(10))&amp;$A147,BE146)</f>
        <v>◐ 047 種子教師與技術移轉
◐ 049 變革管理與使用者採納</v>
      </c>
      <c r="BF147" s="0" t="str">
        <f aca="false">IF(AND($B147="D08",$C147="G5"),BF146&amp;IF(BF146="","",CHAR(10))&amp;$A147,BF146)</f>
        <v>◐ 048 模擬中心與開院演練</v>
      </c>
      <c r="BG147" s="0" t="str">
        <f aca="false">IF(AND($B147="D08",$C147="G6"),BG146&amp;IF(BG146="","",CHAR(10))&amp;$A147,BG146)</f>
        <v/>
      </c>
      <c r="BH147" s="0" t="str">
        <f aca="false">IF(AND($B147="D09",$C147="G0"),BH146&amp;IF(BH146="","",CHAR(10))&amp;$A147,BH146)</f>
        <v/>
      </c>
      <c r="BI147" s="0" t="str">
        <f aca="false">IF(AND($B147="D09",$C147="G1"),BI146&amp;IF(BI146="","",CHAR(10))&amp;$A147,BI146)</f>
        <v/>
      </c>
      <c r="BJ147" s="0" t="str">
        <f aca="false">IF(AND($B147="D09",$C147="G2"),BJ146&amp;IF(BJ146="","",CHAR(10))&amp;$A147,BJ146)</f>
        <v>◐ 050 整合採購與供應商治理</v>
      </c>
      <c r="BK147" s="0" t="str">
        <f aca="false">IF(AND($B147="D09",$C147="G3"),BK146&amp;IF(BK146="","",CHAR(10))&amp;$A147,BK146)</f>
        <v/>
      </c>
      <c r="BL147" s="363" t="str">
        <f aca="false">IF(AND($B147="D09",$C147="G4"),BL146&amp;IF(BL146="","",CHAR(10))&amp;$A147,BL146)</f>
        <v>◐ 051 藥品耗材與SPD物流
◐ 052 冷鏈與特殊物料
● 053 CMMS與設施維運</v>
      </c>
      <c r="BM147" s="0" t="str">
        <f aca="false">IF(AND($B147="D09",$C147="G5"),BM146&amp;IF(BM146="","",CHAR(10))&amp;$A147,BM146)</f>
        <v>◐ 054 在地備品、維修與汰換</v>
      </c>
      <c r="BN147" s="0" t="str">
        <f aca="false">IF(AND($B147="D09",$C147="G6"),BN146&amp;IF(BN146="","",CHAR(10))&amp;$A147,BN146)</f>
        <v/>
      </c>
      <c r="BO147" s="0" t="str">
        <f aca="false">IF(AND($B147="D10",$C147="G0"),BO146&amp;IF(BO146="","",CHAR(10))&amp;$A147,BO146)</f>
        <v/>
      </c>
      <c r="BP147" s="0" t="str">
        <f aca="false">IF(AND($B147="D10",$C147="G1"),BP146&amp;IF(BP146="","",CHAR(10))&amp;$A147,BP146)</f>
        <v>◐ 055 全生命週期成本模型</v>
      </c>
      <c r="BQ147" s="0" t="str">
        <f aca="false">IF(AND($B147="D10",$C147="G2"),BQ146&amp;IF(BQ146="","",CHAR(10))&amp;$A147,BQ146)</f>
        <v>◐ 059 PPP／JV財務與風險分配</v>
      </c>
      <c r="BR147" s="0" t="str">
        <f aca="false">IF(AND($B147="D10",$C147="G3"),BR146&amp;IF(BR146="","",CHAR(10))&amp;$A147,BR146)</f>
        <v/>
      </c>
      <c r="BS147" s="363" t="str">
        <f aca="false">IF(AND($B147="D10",$C147="G4"),BS146&amp;IF(BS146="","",CHAR(10))&amp;$A147,BS146)</f>
        <v>○ 056 健保申報與數位理賠
○ 057 現金流、支付與收入週期</v>
      </c>
      <c r="BT147" s="0" t="str">
        <f aca="false">IF(AND($B147="D10",$C147="G5"),BT146&amp;IF(BT146="","",CHAR(10))&amp;$A147,BT146)</f>
        <v>○ 058 國際醫療與高價值服務</v>
      </c>
      <c r="BU147" s="0" t="str">
        <f aca="false">IF(AND($B147="D10",$C147="G6"),BU146&amp;IF(BU146="","",CHAR(10))&amp;$A147,BU146)</f>
        <v>◐ 060 效益實現與複製藍圖</v>
      </c>
      <c r="BX147" s="0" t="str">
        <f aca="false">IF(AND(03_能力總表_Master!$A147&lt;&gt;"",LEFT(03_能力總表_Master!$H147,2)="缺口"),MAX($BX$4:BX146)+1,"")</f>
        <v/>
      </c>
      <c r="BY147" s="0" t="str">
        <f aca="false">IF(AND(03_能力總表_Master!$A147&lt;&gt;"",03_能力總表_Master!$J147=12_夥伴視角_PartnerView!$C$4),MAX($BY$4:BY146)+1,"")</f>
        <v/>
      </c>
      <c r="CC147" s="0" t="str">
        <f aca="false">IF(AND(03_能力總表_Master!$A147&lt;&gt;"",IFERROR(INDEX(16_能力商機矩陣_CapOppMap!$D147:$CO147,MATCH(LEFT(17_商機作戰卡_OppView!$C$4,6),16_能力商機矩陣_CapOppMap!$D$4:$CO$4,0)),"")="✓"),MAX($CC$4:CC146)+1,"")</f>
        <v/>
      </c>
    </row>
    <row r="148" customFormat="false" ht="95.5" hidden="false" customHeight="false" outlineLevel="0" collapsed="false">
      <c r="A148" s="0" t="str">
        <f aca="false">IF(03_能力總表_Master!$A148="","",IF(LEFT(03_能力總表_Master!$H148,2)="群晶","● ",IF(ISNUMBER(SEARCH("已確認",03_能力總表_Master!$H148)),"◆ ",IF(ISNUMBER(SEARCH("缺口",03_能力總表_Master!$H148)),"○ ","◐ ")))&amp;RIGHT(03_能力總表_Master!$A148,3)&amp;" "&amp;03_能力總表_Master!$E148)</f>
        <v/>
      </c>
      <c r="B148" s="0" t="str">
        <f aca="false">IF(03_能力總表_Master!$A148="","",LEFT(03_能力總表_Master!$B148,3))</f>
        <v/>
      </c>
      <c r="C148" s="0" t="str">
        <f aca="false">IF(03_能力總表_Master!$A148="","",03_能力總表_Master!$C148)</f>
        <v/>
      </c>
      <c r="D148" s="363" t="str">
        <f aca="false">IF(AND($B148="D01",$C148="G0"),D147&amp;IF(D147="","",CHAR(10))&amp;$A148,D147)</f>
        <v>◐ 001 政府授權與計畫章程
◐ 002 利害關係人與權力地圖
◐ 005 聯盟治理與利益衝突</v>
      </c>
      <c r="E148" s="363" t="str">
        <f aca="false">IF(AND($B148="D01",$C148="G1"),E147&amp;IF(E147="","",CHAR(10))&amp;$A148,E147)</f>
        <v>◐ 003 交易模式選擇
◐ 004 法規與執照路徑</v>
      </c>
      <c r="F148" s="0" t="str">
        <f aca="false">IF(AND($B148="D01",$C148="G2"),F147&amp;IF(F147="","",CHAR(10))&amp;$A148,F147)</f>
        <v>◐ 006 績效契約與變更控制</v>
      </c>
      <c r="G148" s="0" t="str">
        <f aca="false">IF(AND($B148="D01",$C148="G3"),G147&amp;IF(G147="","",CHAR(10))&amp;$A148,G147)</f>
        <v/>
      </c>
      <c r="H148" s="0" t="str">
        <f aca="false">IF(AND($B148="D01",$C148="G4"),H147&amp;IF(H147="","",CHAR(10))&amp;$A148,H147)</f>
        <v/>
      </c>
      <c r="I148" s="0" t="str">
        <f aca="false">IF(AND($B148="D01",$C148="G5"),I147&amp;IF(I147="","",CHAR(10))&amp;$A148,I147)</f>
        <v/>
      </c>
      <c r="J148" s="0" t="str">
        <f aca="false">IF(AND($B148="D01",$C148="G6"),J147&amp;IF(J147="","",CHAR(10))&amp;$A148,J147)</f>
        <v/>
      </c>
      <c r="K148" s="0" t="str">
        <f aca="false">IF(AND($B148="D02",$C148="G0"),K147&amp;IF(K147="","",CHAR(10))&amp;$A148,K147)</f>
        <v/>
      </c>
      <c r="L148" s="363" t="str">
        <f aca="false">IF(AND($B148="D02",$C148="G1"),L147&amp;IF(L147="","",CHAR(10))&amp;$A148,L147)</f>
        <v>◐ 007 人口需求與病例量預測
◐ 008 醫院定位與服務組合
◐ 009 重點專科優先化
◐ 010 病人流程與容量設計
◐ 011 轉診與區域照護網絡
◐ 012 臨床治理與責任架構</v>
      </c>
      <c r="M148" s="0" t="str">
        <f aca="false">IF(AND($B148="D02",$C148="G2"),M147&amp;IF(M147="","",CHAR(10))&amp;$A148,M147)</f>
        <v/>
      </c>
      <c r="N148" s="0" t="str">
        <f aca="false">IF(AND($B148="D02",$C148="G3"),N147&amp;IF(N147="","",CHAR(10))&amp;$A148,N147)</f>
        <v/>
      </c>
      <c r="O148" s="0" t="str">
        <f aca="false">IF(AND($B148="D02",$C148="G4"),O147&amp;IF(O147="","",CHAR(10))&amp;$A148,O147)</f>
        <v/>
      </c>
      <c r="P148" s="0" t="str">
        <f aca="false">IF(AND($B148="D02",$C148="G5"),P147&amp;IF(P147="","",CHAR(10))&amp;$A148,P147)</f>
        <v/>
      </c>
      <c r="Q148" s="0" t="str">
        <f aca="false">IF(AND($B148="D02",$C148="G6"),Q147&amp;IF(Q147="","",CHAR(10))&amp;$A148,Q147)</f>
        <v/>
      </c>
      <c r="R148" s="0" t="str">
        <f aca="false">IF(AND($B148="D03",$C148="G0"),R147&amp;IF(R147="","",CHAR(10))&amp;$A148,R147)</f>
        <v/>
      </c>
      <c r="S148" s="0" t="str">
        <f aca="false">IF(AND($B148="D03",$C148="G1"),S147&amp;IF(S147="","",CHAR(10))&amp;$A148,S147)</f>
        <v>◐ 013 場址與醫院總體規劃</v>
      </c>
      <c r="T148" s="363" t="str">
        <f aca="false">IF(AND($B148="D03",$C148="G2"),T147&amp;IF(T147="","",CHAR(10))&amp;$A148,T147)</f>
        <v>◐ 014 醫療建築功能計畫
◐ 015 感染控制與潔污動線
◐ 019 綠色與氣候韌性醫院</v>
      </c>
      <c r="U148" s="363" t="str">
        <f aca="false">IF(AND($B148="D03",$C148="G3"),U147&amp;IF(U147="","",CHAR(10))&amp;$A148,U147)</f>
        <v>● 016 電力、備援與微電網
◐ 017 醫療氣體與關鍵公用系統
◐ 018 醫療廢棄物與水資源</v>
      </c>
      <c r="V148" s="0" t="str">
        <f aca="false">IF(AND($B148="D03",$C148="G4"),V147&amp;IF(V147="","",CHAR(10))&amp;$A148,V147)</f>
        <v/>
      </c>
      <c r="W148" s="0" t="str">
        <f aca="false">IF(AND($B148="D03",$C148="G5"),W147&amp;IF(W147="","",CHAR(10))&amp;$A148,W147)</f>
        <v/>
      </c>
      <c r="X148" s="0" t="str">
        <f aca="false">IF(AND($B148="D03",$C148="G6"),X147&amp;IF(X147="","",CHAR(10))&amp;$A148,X147)</f>
        <v/>
      </c>
      <c r="Y148" s="0" t="str">
        <f aca="false">IF(AND($B148="D04",$C148="G0"),Y147&amp;IF(Y147="","",CHAR(10))&amp;$A148,Y147)</f>
        <v/>
      </c>
      <c r="Z148" s="0" t="str">
        <f aca="false">IF(AND($B148="D04",$C148="G1"),Z147&amp;IF(Z147="","",CHAR(10))&amp;$A148,Z147)</f>
        <v/>
      </c>
      <c r="AA148" s="0" t="str">
        <f aca="false">IF(AND($B148="D04",$C148="G2"),AA147&amp;IF(AA147="","",CHAR(10))&amp;$A148,AA147)</f>
        <v/>
      </c>
      <c r="AB148" s="0" t="str">
        <f aca="false">IF(AND($B148="D04",$C148="G3"),AB147&amp;IF(AB147="","",CHAR(10))&amp;$A148,AB147)</f>
        <v>● 020 IDC與邊緣運算底座</v>
      </c>
      <c r="AC148" s="363" t="str">
        <f aca="false">IF(AND($B148="D04",$C148="G4"),AC147&amp;IF(AC147="","",CHAR(10))&amp;$A148,AC147)</f>
        <v>● 021 有線無線網路與分區
◐ 022 資安營運與零信任
● 023 BMS與能源管理
● 024 RTLS與資產／人員定位
● 025 智慧病房、護理呼叫與感測
● 026 災難復原與營運持續</v>
      </c>
      <c r="AD148" s="0" t="str">
        <f aca="false">IF(AND($B148="D04",$C148="G5"),AD147&amp;IF(AD147="","",CHAR(10))&amp;$A148,AD147)</f>
        <v/>
      </c>
      <c r="AE148" s="0" t="str">
        <f aca="false">IF(AND($B148="D04",$C148="G6"),AE147&amp;IF(AE147="","",CHAR(10))&amp;$A148,AE147)</f>
        <v/>
      </c>
      <c r="AF148" s="0" t="str">
        <f aca="false">IF(AND($B148="D05",$C148="G0"),AF147&amp;IF(AF147="","",CHAR(10))&amp;$A148,AF147)</f>
        <v/>
      </c>
      <c r="AG148" s="0" t="str">
        <f aca="false">IF(AND($B148="D05",$C148="G1"),AG147&amp;IF(AG147="","",CHAR(10))&amp;$A148,AG147)</f>
        <v/>
      </c>
      <c r="AH148" s="0" t="str">
        <f aca="false">IF(AND($B148="D05",$C148="G2"),AH147&amp;IF(AH147="","",CHAR(10))&amp;$A148,AH147)</f>
        <v>◐ 027 醫材需求與設備計畫</v>
      </c>
      <c r="AI148" s="0" t="str">
        <f aca="false">IF(AND($B148="D05",$C148="G3"),AI147&amp;IF(AI147="","",CHAR(10))&amp;$A148,AI147)</f>
        <v/>
      </c>
      <c r="AJ148" s="363" t="str">
        <f aca="false">IF(AND($B148="D05",$C148="G4"),AJ147&amp;IF(AJ147="","",CHAR(10))&amp;$A148,AJ147)</f>
        <v>○ 028 影像設備、PACS與報告流程
○ 029 實驗室自動化與LIS
○ 030 手術室與重症整合
◐ 031 醫材介接與裝置身分
◐ 032 醫療工程與設備生命週期</v>
      </c>
      <c r="AK148" s="0" t="str">
        <f aca="false">IF(AND($B148="D05",$C148="G5"),AK147&amp;IF(AK147="","",CHAR(10))&amp;$A148,AK147)</f>
        <v/>
      </c>
      <c r="AL148" s="0" t="str">
        <f aca="false">IF(AND($B148="D05",$C148="G6"),AL147&amp;IF(AL147="","",CHAR(10))&amp;$A148,AL147)</f>
        <v/>
      </c>
      <c r="AM148" s="0" t="str">
        <f aca="false">IF(AND($B148="D06",$C148="G0"),AM147&amp;IF(AM147="","",CHAR(10))&amp;$A148,AM147)</f>
        <v/>
      </c>
      <c r="AN148" s="0" t="str">
        <f aca="false">IF(AND($B148="D06",$C148="G1"),AN147&amp;IF(AN147="","",CHAR(10))&amp;$A148,AN147)</f>
        <v/>
      </c>
      <c r="AO148" s="0" t="str">
        <f aca="false">IF(AND($B148="D06",$C148="G2"),AO147&amp;IF(AO147="","",CHAR(10))&amp;$A148,AO147)</f>
        <v/>
      </c>
      <c r="AP148" s="363" t="str">
        <f aca="false">IF(AND($B148="D06",$C148="G3"),AP147&amp;IF(AP147="","",CHAR(10))&amp;$A148,AP147)</f>
        <v>◐ 033 HIS／EMR核心平台
◐ 036 臨床術語與主資料治理</v>
      </c>
      <c r="AQ148" s="363" t="str">
        <f aca="false">IF(AND($B148="D06",$C148="G4"),AQ147&amp;IF(AQ147="","",CHAR(10))&amp;$A148,AQ147)</f>
        <v>◐ 034 FHIR介接與API管理
○ 035 主病人索引與身分整合
◐ 037 電子醫囑、用藥與決策支援
◐ 038 資料平台、BI與營運指揮</v>
      </c>
      <c r="AR148" s="0" t="str">
        <f aca="false">IF(AND($B148="D06",$C148="G5"),AR147&amp;IF(AR147="","",CHAR(10))&amp;$A148,AR147)</f>
        <v>○ 039 病人入口、行動服務與VNeID準備</v>
      </c>
      <c r="AS148" s="0" t="str">
        <f aca="false">IF(AND($B148="D06",$C148="G6"),AS147&amp;IF(AS147="","",CHAR(10))&amp;$A148,AS147)</f>
        <v/>
      </c>
      <c r="AT148" s="0" t="str">
        <f aca="false">IF(AND($B148="D07",$C148="G0"),AT147&amp;IF(AT147="","",CHAR(10))&amp;$A148,AT147)</f>
        <v/>
      </c>
      <c r="AU148" s="0" t="str">
        <f aca="false">IF(AND($B148="D07",$C148="G1"),AU147&amp;IF(AU147="","",CHAR(10))&amp;$A148,AU147)</f>
        <v/>
      </c>
      <c r="AV148" s="0" t="str">
        <f aca="false">IF(AND($B148="D07",$C148="G2"),AV147&amp;IF(AV147="","",CHAR(10))&amp;$A148,AV147)</f>
        <v>◐ 040 品質管理與JCI路線圖</v>
      </c>
      <c r="AW148" s="363" t="str">
        <f aca="false">IF(AND($B148="D07",$C148="G3"),AW147&amp;IF(AW147="","",CHAR(10))&amp;$A148,AW147)</f>
        <v>◐ 041 感染預防與控制制度
◐ 043 事件通報與根因改善</v>
      </c>
      <c r="AX148" s="0" t="str">
        <f aca="false">IF(AND($B148="D07",$C148="G4"),AX147&amp;IF(AX147="","",CHAR(10))&amp;$A148,AX147)</f>
        <v>◐ 042 用藥安全閉環</v>
      </c>
      <c r="AY148" s="0" t="str">
        <f aca="false">IF(AND($B148="D07",$C148="G5"),AY147&amp;IF(AY147="","",CHAR(10))&amp;$A148,AY147)</f>
        <v>◐ 044 開院臨床安全驗證</v>
      </c>
      <c r="AZ148" s="0" t="str">
        <f aca="false">IF(AND($B148="D07",$C148="G6"),AZ147&amp;IF(AZ147="","",CHAR(10))&amp;$A148,AZ147)</f>
        <v/>
      </c>
      <c r="BA148" s="0" t="str">
        <f aca="false">IF(AND($B148="D08",$C148="G0"),BA147&amp;IF(BA147="","",CHAR(10))&amp;$A148,BA147)</f>
        <v/>
      </c>
      <c r="BB148" s="0" t="str">
        <f aca="false">IF(AND($B148="D08",$C148="G1"),BB147&amp;IF(BB147="","",CHAR(10))&amp;$A148,BB147)</f>
        <v/>
      </c>
      <c r="BC148" s="0" t="str">
        <f aca="false">IF(AND($B148="D08",$C148="G2"),BC147&amp;IF(BC147="","",CHAR(10))&amp;$A148,BC147)</f>
        <v>○ 045 人力與輪班模型</v>
      </c>
      <c r="BD148" s="0" t="str">
        <f aca="false">IF(AND($B148="D08",$C148="G3"),BD147&amp;IF(BD147="","",CHAR(10))&amp;$A148,BD147)</f>
        <v>◐ 046 職能矩陣與授權</v>
      </c>
      <c r="BE148" s="363" t="str">
        <f aca="false">IF(AND($B148="D08",$C148="G4"),BE147&amp;IF(BE147="","",CHAR(10))&amp;$A148,BE147)</f>
        <v>◐ 047 種子教師與技術移轉
◐ 049 變革管理與使用者採納</v>
      </c>
      <c r="BF148" s="0" t="str">
        <f aca="false">IF(AND($B148="D08",$C148="G5"),BF147&amp;IF(BF147="","",CHAR(10))&amp;$A148,BF147)</f>
        <v>◐ 048 模擬中心與開院演練</v>
      </c>
      <c r="BG148" s="0" t="str">
        <f aca="false">IF(AND($B148="D08",$C148="G6"),BG147&amp;IF(BG147="","",CHAR(10))&amp;$A148,BG147)</f>
        <v/>
      </c>
      <c r="BH148" s="0" t="str">
        <f aca="false">IF(AND($B148="D09",$C148="G0"),BH147&amp;IF(BH147="","",CHAR(10))&amp;$A148,BH147)</f>
        <v/>
      </c>
      <c r="BI148" s="0" t="str">
        <f aca="false">IF(AND($B148="D09",$C148="G1"),BI147&amp;IF(BI147="","",CHAR(10))&amp;$A148,BI147)</f>
        <v/>
      </c>
      <c r="BJ148" s="0" t="str">
        <f aca="false">IF(AND($B148="D09",$C148="G2"),BJ147&amp;IF(BJ147="","",CHAR(10))&amp;$A148,BJ147)</f>
        <v>◐ 050 整合採購與供應商治理</v>
      </c>
      <c r="BK148" s="0" t="str">
        <f aca="false">IF(AND($B148="D09",$C148="G3"),BK147&amp;IF(BK147="","",CHAR(10))&amp;$A148,BK147)</f>
        <v/>
      </c>
      <c r="BL148" s="363" t="str">
        <f aca="false">IF(AND($B148="D09",$C148="G4"),BL147&amp;IF(BL147="","",CHAR(10))&amp;$A148,BL147)</f>
        <v>◐ 051 藥品耗材與SPD物流
◐ 052 冷鏈與特殊物料
● 053 CMMS與設施維運</v>
      </c>
      <c r="BM148" s="0" t="str">
        <f aca="false">IF(AND($B148="D09",$C148="G5"),BM147&amp;IF(BM147="","",CHAR(10))&amp;$A148,BM147)</f>
        <v>◐ 054 在地備品、維修與汰換</v>
      </c>
      <c r="BN148" s="0" t="str">
        <f aca="false">IF(AND($B148="D09",$C148="G6"),BN147&amp;IF(BN147="","",CHAR(10))&amp;$A148,BN147)</f>
        <v/>
      </c>
      <c r="BO148" s="0" t="str">
        <f aca="false">IF(AND($B148="D10",$C148="G0"),BO147&amp;IF(BO147="","",CHAR(10))&amp;$A148,BO147)</f>
        <v/>
      </c>
      <c r="BP148" s="0" t="str">
        <f aca="false">IF(AND($B148="D10",$C148="G1"),BP147&amp;IF(BP147="","",CHAR(10))&amp;$A148,BP147)</f>
        <v>◐ 055 全生命週期成本模型</v>
      </c>
      <c r="BQ148" s="0" t="str">
        <f aca="false">IF(AND($B148="D10",$C148="G2"),BQ147&amp;IF(BQ147="","",CHAR(10))&amp;$A148,BQ147)</f>
        <v>◐ 059 PPP／JV財務與風險分配</v>
      </c>
      <c r="BR148" s="0" t="str">
        <f aca="false">IF(AND($B148="D10",$C148="G3"),BR147&amp;IF(BR147="","",CHAR(10))&amp;$A148,BR147)</f>
        <v/>
      </c>
      <c r="BS148" s="363" t="str">
        <f aca="false">IF(AND($B148="D10",$C148="G4"),BS147&amp;IF(BS147="","",CHAR(10))&amp;$A148,BS147)</f>
        <v>○ 056 健保申報與數位理賠
○ 057 現金流、支付與收入週期</v>
      </c>
      <c r="BT148" s="0" t="str">
        <f aca="false">IF(AND($B148="D10",$C148="G5"),BT147&amp;IF(BT147="","",CHAR(10))&amp;$A148,BT147)</f>
        <v>○ 058 國際醫療與高價值服務</v>
      </c>
      <c r="BU148" s="0" t="str">
        <f aca="false">IF(AND($B148="D10",$C148="G6"),BU147&amp;IF(BU147="","",CHAR(10))&amp;$A148,BU147)</f>
        <v>◐ 060 效益實現與複製藍圖</v>
      </c>
      <c r="BX148" s="0" t="str">
        <f aca="false">IF(AND(03_能力總表_Master!$A148&lt;&gt;"",LEFT(03_能力總表_Master!$H148,2)="缺口"),MAX($BX$4:BX147)+1,"")</f>
        <v/>
      </c>
      <c r="BY148" s="0" t="str">
        <f aca="false">IF(AND(03_能力總表_Master!$A148&lt;&gt;"",03_能力總表_Master!$J148=12_夥伴視角_PartnerView!$C$4),MAX($BY$4:BY147)+1,"")</f>
        <v/>
      </c>
      <c r="CC148" s="0" t="str">
        <f aca="false">IF(AND(03_能力總表_Master!$A148&lt;&gt;"",IFERROR(INDEX(16_能力商機矩陣_CapOppMap!$D148:$CO148,MATCH(LEFT(17_商機作戰卡_OppView!$C$4,6),16_能力商機矩陣_CapOppMap!$D$4:$CO$4,0)),"")="✓"),MAX($CC$4:CC147)+1,"")</f>
        <v/>
      </c>
    </row>
    <row r="149" customFormat="false" ht="95.5" hidden="false" customHeight="false" outlineLevel="0" collapsed="false">
      <c r="A149" s="0" t="str">
        <f aca="false">IF(03_能力總表_Master!$A149="","",IF(LEFT(03_能力總表_Master!$H149,2)="群晶","● ",IF(ISNUMBER(SEARCH("已確認",03_能力總表_Master!$H149)),"◆ ",IF(ISNUMBER(SEARCH("缺口",03_能力總表_Master!$H149)),"○ ","◐ ")))&amp;RIGHT(03_能力總表_Master!$A149,3)&amp;" "&amp;03_能力總表_Master!$E149)</f>
        <v/>
      </c>
      <c r="B149" s="0" t="str">
        <f aca="false">IF(03_能力總表_Master!$A149="","",LEFT(03_能力總表_Master!$B149,3))</f>
        <v/>
      </c>
      <c r="C149" s="0" t="str">
        <f aca="false">IF(03_能力總表_Master!$A149="","",03_能力總表_Master!$C149)</f>
        <v/>
      </c>
      <c r="D149" s="363" t="str">
        <f aca="false">IF(AND($B149="D01",$C149="G0"),D148&amp;IF(D148="","",CHAR(10))&amp;$A149,D148)</f>
        <v>◐ 001 政府授權與計畫章程
◐ 002 利害關係人與權力地圖
◐ 005 聯盟治理與利益衝突</v>
      </c>
      <c r="E149" s="363" t="str">
        <f aca="false">IF(AND($B149="D01",$C149="G1"),E148&amp;IF(E148="","",CHAR(10))&amp;$A149,E148)</f>
        <v>◐ 003 交易模式選擇
◐ 004 法規與執照路徑</v>
      </c>
      <c r="F149" s="0" t="str">
        <f aca="false">IF(AND($B149="D01",$C149="G2"),F148&amp;IF(F148="","",CHAR(10))&amp;$A149,F148)</f>
        <v>◐ 006 績效契約與變更控制</v>
      </c>
      <c r="G149" s="0" t="str">
        <f aca="false">IF(AND($B149="D01",$C149="G3"),G148&amp;IF(G148="","",CHAR(10))&amp;$A149,G148)</f>
        <v/>
      </c>
      <c r="H149" s="0" t="str">
        <f aca="false">IF(AND($B149="D01",$C149="G4"),H148&amp;IF(H148="","",CHAR(10))&amp;$A149,H148)</f>
        <v/>
      </c>
      <c r="I149" s="0" t="str">
        <f aca="false">IF(AND($B149="D01",$C149="G5"),I148&amp;IF(I148="","",CHAR(10))&amp;$A149,I148)</f>
        <v/>
      </c>
      <c r="J149" s="0" t="str">
        <f aca="false">IF(AND($B149="D01",$C149="G6"),J148&amp;IF(J148="","",CHAR(10))&amp;$A149,J148)</f>
        <v/>
      </c>
      <c r="K149" s="0" t="str">
        <f aca="false">IF(AND($B149="D02",$C149="G0"),K148&amp;IF(K148="","",CHAR(10))&amp;$A149,K148)</f>
        <v/>
      </c>
      <c r="L149" s="363" t="str">
        <f aca="false">IF(AND($B149="D02",$C149="G1"),L148&amp;IF(L148="","",CHAR(10))&amp;$A149,L148)</f>
        <v>◐ 007 人口需求與病例量預測
◐ 008 醫院定位與服務組合
◐ 009 重點專科優先化
◐ 010 病人流程與容量設計
◐ 011 轉診與區域照護網絡
◐ 012 臨床治理與責任架構</v>
      </c>
      <c r="M149" s="0" t="str">
        <f aca="false">IF(AND($B149="D02",$C149="G2"),M148&amp;IF(M148="","",CHAR(10))&amp;$A149,M148)</f>
        <v/>
      </c>
      <c r="N149" s="0" t="str">
        <f aca="false">IF(AND($B149="D02",$C149="G3"),N148&amp;IF(N148="","",CHAR(10))&amp;$A149,N148)</f>
        <v/>
      </c>
      <c r="O149" s="0" t="str">
        <f aca="false">IF(AND($B149="D02",$C149="G4"),O148&amp;IF(O148="","",CHAR(10))&amp;$A149,O148)</f>
        <v/>
      </c>
      <c r="P149" s="0" t="str">
        <f aca="false">IF(AND($B149="D02",$C149="G5"),P148&amp;IF(P148="","",CHAR(10))&amp;$A149,P148)</f>
        <v/>
      </c>
      <c r="Q149" s="0" t="str">
        <f aca="false">IF(AND($B149="D02",$C149="G6"),Q148&amp;IF(Q148="","",CHAR(10))&amp;$A149,Q148)</f>
        <v/>
      </c>
      <c r="R149" s="0" t="str">
        <f aca="false">IF(AND($B149="D03",$C149="G0"),R148&amp;IF(R148="","",CHAR(10))&amp;$A149,R148)</f>
        <v/>
      </c>
      <c r="S149" s="0" t="str">
        <f aca="false">IF(AND($B149="D03",$C149="G1"),S148&amp;IF(S148="","",CHAR(10))&amp;$A149,S148)</f>
        <v>◐ 013 場址與醫院總體規劃</v>
      </c>
      <c r="T149" s="363" t="str">
        <f aca="false">IF(AND($B149="D03",$C149="G2"),T148&amp;IF(T148="","",CHAR(10))&amp;$A149,T148)</f>
        <v>◐ 014 醫療建築功能計畫
◐ 015 感染控制與潔污動線
◐ 019 綠色與氣候韌性醫院</v>
      </c>
      <c r="U149" s="363" t="str">
        <f aca="false">IF(AND($B149="D03",$C149="G3"),U148&amp;IF(U148="","",CHAR(10))&amp;$A149,U148)</f>
        <v>● 016 電力、備援與微電網
◐ 017 醫療氣體與關鍵公用系統
◐ 018 醫療廢棄物與水資源</v>
      </c>
      <c r="V149" s="0" t="str">
        <f aca="false">IF(AND($B149="D03",$C149="G4"),V148&amp;IF(V148="","",CHAR(10))&amp;$A149,V148)</f>
        <v/>
      </c>
      <c r="W149" s="0" t="str">
        <f aca="false">IF(AND($B149="D03",$C149="G5"),W148&amp;IF(W148="","",CHAR(10))&amp;$A149,W148)</f>
        <v/>
      </c>
      <c r="X149" s="0" t="str">
        <f aca="false">IF(AND($B149="D03",$C149="G6"),X148&amp;IF(X148="","",CHAR(10))&amp;$A149,X148)</f>
        <v/>
      </c>
      <c r="Y149" s="0" t="str">
        <f aca="false">IF(AND($B149="D04",$C149="G0"),Y148&amp;IF(Y148="","",CHAR(10))&amp;$A149,Y148)</f>
        <v/>
      </c>
      <c r="Z149" s="0" t="str">
        <f aca="false">IF(AND($B149="D04",$C149="G1"),Z148&amp;IF(Z148="","",CHAR(10))&amp;$A149,Z148)</f>
        <v/>
      </c>
      <c r="AA149" s="0" t="str">
        <f aca="false">IF(AND($B149="D04",$C149="G2"),AA148&amp;IF(AA148="","",CHAR(10))&amp;$A149,AA148)</f>
        <v/>
      </c>
      <c r="AB149" s="0" t="str">
        <f aca="false">IF(AND($B149="D04",$C149="G3"),AB148&amp;IF(AB148="","",CHAR(10))&amp;$A149,AB148)</f>
        <v>● 020 IDC與邊緣運算底座</v>
      </c>
      <c r="AC149" s="363" t="str">
        <f aca="false">IF(AND($B149="D04",$C149="G4"),AC148&amp;IF(AC148="","",CHAR(10))&amp;$A149,AC148)</f>
        <v>● 021 有線無線網路與分區
◐ 022 資安營運與零信任
● 023 BMS與能源管理
● 024 RTLS與資產／人員定位
● 025 智慧病房、護理呼叫與感測
● 026 災難復原與營運持續</v>
      </c>
      <c r="AD149" s="0" t="str">
        <f aca="false">IF(AND($B149="D04",$C149="G5"),AD148&amp;IF(AD148="","",CHAR(10))&amp;$A149,AD148)</f>
        <v/>
      </c>
      <c r="AE149" s="0" t="str">
        <f aca="false">IF(AND($B149="D04",$C149="G6"),AE148&amp;IF(AE148="","",CHAR(10))&amp;$A149,AE148)</f>
        <v/>
      </c>
      <c r="AF149" s="0" t="str">
        <f aca="false">IF(AND($B149="D05",$C149="G0"),AF148&amp;IF(AF148="","",CHAR(10))&amp;$A149,AF148)</f>
        <v/>
      </c>
      <c r="AG149" s="0" t="str">
        <f aca="false">IF(AND($B149="D05",$C149="G1"),AG148&amp;IF(AG148="","",CHAR(10))&amp;$A149,AG148)</f>
        <v/>
      </c>
      <c r="AH149" s="0" t="str">
        <f aca="false">IF(AND($B149="D05",$C149="G2"),AH148&amp;IF(AH148="","",CHAR(10))&amp;$A149,AH148)</f>
        <v>◐ 027 醫材需求與設備計畫</v>
      </c>
      <c r="AI149" s="0" t="str">
        <f aca="false">IF(AND($B149="D05",$C149="G3"),AI148&amp;IF(AI148="","",CHAR(10))&amp;$A149,AI148)</f>
        <v/>
      </c>
      <c r="AJ149" s="363" t="str">
        <f aca="false">IF(AND($B149="D05",$C149="G4"),AJ148&amp;IF(AJ148="","",CHAR(10))&amp;$A149,AJ148)</f>
        <v>○ 028 影像設備、PACS與報告流程
○ 029 實驗室自動化與LIS
○ 030 手術室與重症整合
◐ 031 醫材介接與裝置身分
◐ 032 醫療工程與設備生命週期</v>
      </c>
      <c r="AK149" s="0" t="str">
        <f aca="false">IF(AND($B149="D05",$C149="G5"),AK148&amp;IF(AK148="","",CHAR(10))&amp;$A149,AK148)</f>
        <v/>
      </c>
      <c r="AL149" s="0" t="str">
        <f aca="false">IF(AND($B149="D05",$C149="G6"),AL148&amp;IF(AL148="","",CHAR(10))&amp;$A149,AL148)</f>
        <v/>
      </c>
      <c r="AM149" s="0" t="str">
        <f aca="false">IF(AND($B149="D06",$C149="G0"),AM148&amp;IF(AM148="","",CHAR(10))&amp;$A149,AM148)</f>
        <v/>
      </c>
      <c r="AN149" s="0" t="str">
        <f aca="false">IF(AND($B149="D06",$C149="G1"),AN148&amp;IF(AN148="","",CHAR(10))&amp;$A149,AN148)</f>
        <v/>
      </c>
      <c r="AO149" s="0" t="str">
        <f aca="false">IF(AND($B149="D06",$C149="G2"),AO148&amp;IF(AO148="","",CHAR(10))&amp;$A149,AO148)</f>
        <v/>
      </c>
      <c r="AP149" s="363" t="str">
        <f aca="false">IF(AND($B149="D06",$C149="G3"),AP148&amp;IF(AP148="","",CHAR(10))&amp;$A149,AP148)</f>
        <v>◐ 033 HIS／EMR核心平台
◐ 036 臨床術語與主資料治理</v>
      </c>
      <c r="AQ149" s="363" t="str">
        <f aca="false">IF(AND($B149="D06",$C149="G4"),AQ148&amp;IF(AQ148="","",CHAR(10))&amp;$A149,AQ148)</f>
        <v>◐ 034 FHIR介接與API管理
○ 035 主病人索引與身分整合
◐ 037 電子醫囑、用藥與決策支援
◐ 038 資料平台、BI與營運指揮</v>
      </c>
      <c r="AR149" s="0" t="str">
        <f aca="false">IF(AND($B149="D06",$C149="G5"),AR148&amp;IF(AR148="","",CHAR(10))&amp;$A149,AR148)</f>
        <v>○ 039 病人入口、行動服務與VNeID準備</v>
      </c>
      <c r="AS149" s="0" t="str">
        <f aca="false">IF(AND($B149="D06",$C149="G6"),AS148&amp;IF(AS148="","",CHAR(10))&amp;$A149,AS148)</f>
        <v/>
      </c>
      <c r="AT149" s="0" t="str">
        <f aca="false">IF(AND($B149="D07",$C149="G0"),AT148&amp;IF(AT148="","",CHAR(10))&amp;$A149,AT148)</f>
        <v/>
      </c>
      <c r="AU149" s="0" t="str">
        <f aca="false">IF(AND($B149="D07",$C149="G1"),AU148&amp;IF(AU148="","",CHAR(10))&amp;$A149,AU148)</f>
        <v/>
      </c>
      <c r="AV149" s="0" t="str">
        <f aca="false">IF(AND($B149="D07",$C149="G2"),AV148&amp;IF(AV148="","",CHAR(10))&amp;$A149,AV148)</f>
        <v>◐ 040 品質管理與JCI路線圖</v>
      </c>
      <c r="AW149" s="363" t="str">
        <f aca="false">IF(AND($B149="D07",$C149="G3"),AW148&amp;IF(AW148="","",CHAR(10))&amp;$A149,AW148)</f>
        <v>◐ 041 感染預防與控制制度
◐ 043 事件通報與根因改善</v>
      </c>
      <c r="AX149" s="0" t="str">
        <f aca="false">IF(AND($B149="D07",$C149="G4"),AX148&amp;IF(AX148="","",CHAR(10))&amp;$A149,AX148)</f>
        <v>◐ 042 用藥安全閉環</v>
      </c>
      <c r="AY149" s="0" t="str">
        <f aca="false">IF(AND($B149="D07",$C149="G5"),AY148&amp;IF(AY148="","",CHAR(10))&amp;$A149,AY148)</f>
        <v>◐ 044 開院臨床安全驗證</v>
      </c>
      <c r="AZ149" s="0" t="str">
        <f aca="false">IF(AND($B149="D07",$C149="G6"),AZ148&amp;IF(AZ148="","",CHAR(10))&amp;$A149,AZ148)</f>
        <v/>
      </c>
      <c r="BA149" s="0" t="str">
        <f aca="false">IF(AND($B149="D08",$C149="G0"),BA148&amp;IF(BA148="","",CHAR(10))&amp;$A149,BA148)</f>
        <v/>
      </c>
      <c r="BB149" s="0" t="str">
        <f aca="false">IF(AND($B149="D08",$C149="G1"),BB148&amp;IF(BB148="","",CHAR(10))&amp;$A149,BB148)</f>
        <v/>
      </c>
      <c r="BC149" s="0" t="str">
        <f aca="false">IF(AND($B149="D08",$C149="G2"),BC148&amp;IF(BC148="","",CHAR(10))&amp;$A149,BC148)</f>
        <v>○ 045 人力與輪班模型</v>
      </c>
      <c r="BD149" s="0" t="str">
        <f aca="false">IF(AND($B149="D08",$C149="G3"),BD148&amp;IF(BD148="","",CHAR(10))&amp;$A149,BD148)</f>
        <v>◐ 046 職能矩陣與授權</v>
      </c>
      <c r="BE149" s="363" t="str">
        <f aca="false">IF(AND($B149="D08",$C149="G4"),BE148&amp;IF(BE148="","",CHAR(10))&amp;$A149,BE148)</f>
        <v>◐ 047 種子教師與技術移轉
◐ 049 變革管理與使用者採納</v>
      </c>
      <c r="BF149" s="0" t="str">
        <f aca="false">IF(AND($B149="D08",$C149="G5"),BF148&amp;IF(BF148="","",CHAR(10))&amp;$A149,BF148)</f>
        <v>◐ 048 模擬中心與開院演練</v>
      </c>
      <c r="BG149" s="0" t="str">
        <f aca="false">IF(AND($B149="D08",$C149="G6"),BG148&amp;IF(BG148="","",CHAR(10))&amp;$A149,BG148)</f>
        <v/>
      </c>
      <c r="BH149" s="0" t="str">
        <f aca="false">IF(AND($B149="D09",$C149="G0"),BH148&amp;IF(BH148="","",CHAR(10))&amp;$A149,BH148)</f>
        <v/>
      </c>
      <c r="BI149" s="0" t="str">
        <f aca="false">IF(AND($B149="D09",$C149="G1"),BI148&amp;IF(BI148="","",CHAR(10))&amp;$A149,BI148)</f>
        <v/>
      </c>
      <c r="BJ149" s="0" t="str">
        <f aca="false">IF(AND($B149="D09",$C149="G2"),BJ148&amp;IF(BJ148="","",CHAR(10))&amp;$A149,BJ148)</f>
        <v>◐ 050 整合採購與供應商治理</v>
      </c>
      <c r="BK149" s="0" t="str">
        <f aca="false">IF(AND($B149="D09",$C149="G3"),BK148&amp;IF(BK148="","",CHAR(10))&amp;$A149,BK148)</f>
        <v/>
      </c>
      <c r="BL149" s="363" t="str">
        <f aca="false">IF(AND($B149="D09",$C149="G4"),BL148&amp;IF(BL148="","",CHAR(10))&amp;$A149,BL148)</f>
        <v>◐ 051 藥品耗材與SPD物流
◐ 052 冷鏈與特殊物料
● 053 CMMS與設施維運</v>
      </c>
      <c r="BM149" s="0" t="str">
        <f aca="false">IF(AND($B149="D09",$C149="G5"),BM148&amp;IF(BM148="","",CHAR(10))&amp;$A149,BM148)</f>
        <v>◐ 054 在地備品、維修與汰換</v>
      </c>
      <c r="BN149" s="0" t="str">
        <f aca="false">IF(AND($B149="D09",$C149="G6"),BN148&amp;IF(BN148="","",CHAR(10))&amp;$A149,BN148)</f>
        <v/>
      </c>
      <c r="BO149" s="0" t="str">
        <f aca="false">IF(AND($B149="D10",$C149="G0"),BO148&amp;IF(BO148="","",CHAR(10))&amp;$A149,BO148)</f>
        <v/>
      </c>
      <c r="BP149" s="0" t="str">
        <f aca="false">IF(AND($B149="D10",$C149="G1"),BP148&amp;IF(BP148="","",CHAR(10))&amp;$A149,BP148)</f>
        <v>◐ 055 全生命週期成本模型</v>
      </c>
      <c r="BQ149" s="0" t="str">
        <f aca="false">IF(AND($B149="D10",$C149="G2"),BQ148&amp;IF(BQ148="","",CHAR(10))&amp;$A149,BQ148)</f>
        <v>◐ 059 PPP／JV財務與風險分配</v>
      </c>
      <c r="BR149" s="0" t="str">
        <f aca="false">IF(AND($B149="D10",$C149="G3"),BR148&amp;IF(BR148="","",CHAR(10))&amp;$A149,BR148)</f>
        <v/>
      </c>
      <c r="BS149" s="363" t="str">
        <f aca="false">IF(AND($B149="D10",$C149="G4"),BS148&amp;IF(BS148="","",CHAR(10))&amp;$A149,BS148)</f>
        <v>○ 056 健保申報與數位理賠
○ 057 現金流、支付與收入週期</v>
      </c>
      <c r="BT149" s="0" t="str">
        <f aca="false">IF(AND($B149="D10",$C149="G5"),BT148&amp;IF(BT148="","",CHAR(10))&amp;$A149,BT148)</f>
        <v>○ 058 國際醫療與高價值服務</v>
      </c>
      <c r="BU149" s="0" t="str">
        <f aca="false">IF(AND($B149="D10",$C149="G6"),BU148&amp;IF(BU148="","",CHAR(10))&amp;$A149,BU148)</f>
        <v>◐ 060 效益實現與複製藍圖</v>
      </c>
      <c r="BX149" s="0" t="str">
        <f aca="false">IF(AND(03_能力總表_Master!$A149&lt;&gt;"",LEFT(03_能力總表_Master!$H149,2)="缺口"),MAX($BX$4:BX148)+1,"")</f>
        <v/>
      </c>
      <c r="BY149" s="0" t="str">
        <f aca="false">IF(AND(03_能力總表_Master!$A149&lt;&gt;"",03_能力總表_Master!$J149=12_夥伴視角_PartnerView!$C$4),MAX($BY$4:BY148)+1,"")</f>
        <v/>
      </c>
      <c r="CC149" s="0" t="str">
        <f aca="false">IF(AND(03_能力總表_Master!$A149&lt;&gt;"",IFERROR(INDEX(16_能力商機矩陣_CapOppMap!$D149:$CO149,MATCH(LEFT(17_商機作戰卡_OppView!$C$4,6),16_能力商機矩陣_CapOppMap!$D$4:$CO$4,0)),"")="✓"),MAX($CC$4:CC148)+1,"")</f>
        <v/>
      </c>
    </row>
    <row r="150" customFormat="false" ht="95.5" hidden="false" customHeight="false" outlineLevel="0" collapsed="false">
      <c r="A150" s="0" t="str">
        <f aca="false">IF(03_能力總表_Master!$A150="","",IF(LEFT(03_能力總表_Master!$H150,2)="群晶","● ",IF(ISNUMBER(SEARCH("已確認",03_能力總表_Master!$H150)),"◆ ",IF(ISNUMBER(SEARCH("缺口",03_能力總表_Master!$H150)),"○ ","◐ ")))&amp;RIGHT(03_能力總表_Master!$A150,3)&amp;" "&amp;03_能力總表_Master!$E150)</f>
        <v/>
      </c>
      <c r="B150" s="0" t="str">
        <f aca="false">IF(03_能力總表_Master!$A150="","",LEFT(03_能力總表_Master!$B150,3))</f>
        <v/>
      </c>
      <c r="C150" s="0" t="str">
        <f aca="false">IF(03_能力總表_Master!$A150="","",03_能力總表_Master!$C150)</f>
        <v/>
      </c>
      <c r="D150" s="363" t="str">
        <f aca="false">IF(AND($B150="D01",$C150="G0"),D149&amp;IF(D149="","",CHAR(10))&amp;$A150,D149)</f>
        <v>◐ 001 政府授權與計畫章程
◐ 002 利害關係人與權力地圖
◐ 005 聯盟治理與利益衝突</v>
      </c>
      <c r="E150" s="363" t="str">
        <f aca="false">IF(AND($B150="D01",$C150="G1"),E149&amp;IF(E149="","",CHAR(10))&amp;$A150,E149)</f>
        <v>◐ 003 交易模式選擇
◐ 004 法規與執照路徑</v>
      </c>
      <c r="F150" s="0" t="str">
        <f aca="false">IF(AND($B150="D01",$C150="G2"),F149&amp;IF(F149="","",CHAR(10))&amp;$A150,F149)</f>
        <v>◐ 006 績效契約與變更控制</v>
      </c>
      <c r="G150" s="0" t="str">
        <f aca="false">IF(AND($B150="D01",$C150="G3"),G149&amp;IF(G149="","",CHAR(10))&amp;$A150,G149)</f>
        <v/>
      </c>
      <c r="H150" s="0" t="str">
        <f aca="false">IF(AND($B150="D01",$C150="G4"),H149&amp;IF(H149="","",CHAR(10))&amp;$A150,H149)</f>
        <v/>
      </c>
      <c r="I150" s="0" t="str">
        <f aca="false">IF(AND($B150="D01",$C150="G5"),I149&amp;IF(I149="","",CHAR(10))&amp;$A150,I149)</f>
        <v/>
      </c>
      <c r="J150" s="0" t="str">
        <f aca="false">IF(AND($B150="D01",$C150="G6"),J149&amp;IF(J149="","",CHAR(10))&amp;$A150,J149)</f>
        <v/>
      </c>
      <c r="K150" s="0" t="str">
        <f aca="false">IF(AND($B150="D02",$C150="G0"),K149&amp;IF(K149="","",CHAR(10))&amp;$A150,K149)</f>
        <v/>
      </c>
      <c r="L150" s="363" t="str">
        <f aca="false">IF(AND($B150="D02",$C150="G1"),L149&amp;IF(L149="","",CHAR(10))&amp;$A150,L149)</f>
        <v>◐ 007 人口需求與病例量預測
◐ 008 醫院定位與服務組合
◐ 009 重點專科優先化
◐ 010 病人流程與容量設計
◐ 011 轉診與區域照護網絡
◐ 012 臨床治理與責任架構</v>
      </c>
      <c r="M150" s="0" t="str">
        <f aca="false">IF(AND($B150="D02",$C150="G2"),M149&amp;IF(M149="","",CHAR(10))&amp;$A150,M149)</f>
        <v/>
      </c>
      <c r="N150" s="0" t="str">
        <f aca="false">IF(AND($B150="D02",$C150="G3"),N149&amp;IF(N149="","",CHAR(10))&amp;$A150,N149)</f>
        <v/>
      </c>
      <c r="O150" s="0" t="str">
        <f aca="false">IF(AND($B150="D02",$C150="G4"),O149&amp;IF(O149="","",CHAR(10))&amp;$A150,O149)</f>
        <v/>
      </c>
      <c r="P150" s="0" t="str">
        <f aca="false">IF(AND($B150="D02",$C150="G5"),P149&amp;IF(P149="","",CHAR(10))&amp;$A150,P149)</f>
        <v/>
      </c>
      <c r="Q150" s="0" t="str">
        <f aca="false">IF(AND($B150="D02",$C150="G6"),Q149&amp;IF(Q149="","",CHAR(10))&amp;$A150,Q149)</f>
        <v/>
      </c>
      <c r="R150" s="0" t="str">
        <f aca="false">IF(AND($B150="D03",$C150="G0"),R149&amp;IF(R149="","",CHAR(10))&amp;$A150,R149)</f>
        <v/>
      </c>
      <c r="S150" s="0" t="str">
        <f aca="false">IF(AND($B150="D03",$C150="G1"),S149&amp;IF(S149="","",CHAR(10))&amp;$A150,S149)</f>
        <v>◐ 013 場址與醫院總體規劃</v>
      </c>
      <c r="T150" s="363" t="str">
        <f aca="false">IF(AND($B150="D03",$C150="G2"),T149&amp;IF(T149="","",CHAR(10))&amp;$A150,T149)</f>
        <v>◐ 014 醫療建築功能計畫
◐ 015 感染控制與潔污動線
◐ 019 綠色與氣候韌性醫院</v>
      </c>
      <c r="U150" s="363" t="str">
        <f aca="false">IF(AND($B150="D03",$C150="G3"),U149&amp;IF(U149="","",CHAR(10))&amp;$A150,U149)</f>
        <v>● 016 電力、備援與微電網
◐ 017 醫療氣體與關鍵公用系統
◐ 018 醫療廢棄物與水資源</v>
      </c>
      <c r="V150" s="0" t="str">
        <f aca="false">IF(AND($B150="D03",$C150="G4"),V149&amp;IF(V149="","",CHAR(10))&amp;$A150,V149)</f>
        <v/>
      </c>
      <c r="W150" s="0" t="str">
        <f aca="false">IF(AND($B150="D03",$C150="G5"),W149&amp;IF(W149="","",CHAR(10))&amp;$A150,W149)</f>
        <v/>
      </c>
      <c r="X150" s="0" t="str">
        <f aca="false">IF(AND($B150="D03",$C150="G6"),X149&amp;IF(X149="","",CHAR(10))&amp;$A150,X149)</f>
        <v/>
      </c>
      <c r="Y150" s="0" t="str">
        <f aca="false">IF(AND($B150="D04",$C150="G0"),Y149&amp;IF(Y149="","",CHAR(10))&amp;$A150,Y149)</f>
        <v/>
      </c>
      <c r="Z150" s="0" t="str">
        <f aca="false">IF(AND($B150="D04",$C150="G1"),Z149&amp;IF(Z149="","",CHAR(10))&amp;$A150,Z149)</f>
        <v/>
      </c>
      <c r="AA150" s="0" t="str">
        <f aca="false">IF(AND($B150="D04",$C150="G2"),AA149&amp;IF(AA149="","",CHAR(10))&amp;$A150,AA149)</f>
        <v/>
      </c>
      <c r="AB150" s="0" t="str">
        <f aca="false">IF(AND($B150="D04",$C150="G3"),AB149&amp;IF(AB149="","",CHAR(10))&amp;$A150,AB149)</f>
        <v>● 020 IDC與邊緣運算底座</v>
      </c>
      <c r="AC150" s="363" t="str">
        <f aca="false">IF(AND($B150="D04",$C150="G4"),AC149&amp;IF(AC149="","",CHAR(10))&amp;$A150,AC149)</f>
        <v>● 021 有線無線網路與分區
◐ 022 資安營運與零信任
● 023 BMS與能源管理
● 024 RTLS與資產／人員定位
● 025 智慧病房、護理呼叫與感測
● 026 災難復原與營運持續</v>
      </c>
      <c r="AD150" s="0" t="str">
        <f aca="false">IF(AND($B150="D04",$C150="G5"),AD149&amp;IF(AD149="","",CHAR(10))&amp;$A150,AD149)</f>
        <v/>
      </c>
      <c r="AE150" s="0" t="str">
        <f aca="false">IF(AND($B150="D04",$C150="G6"),AE149&amp;IF(AE149="","",CHAR(10))&amp;$A150,AE149)</f>
        <v/>
      </c>
      <c r="AF150" s="0" t="str">
        <f aca="false">IF(AND($B150="D05",$C150="G0"),AF149&amp;IF(AF149="","",CHAR(10))&amp;$A150,AF149)</f>
        <v/>
      </c>
      <c r="AG150" s="0" t="str">
        <f aca="false">IF(AND($B150="D05",$C150="G1"),AG149&amp;IF(AG149="","",CHAR(10))&amp;$A150,AG149)</f>
        <v/>
      </c>
      <c r="AH150" s="0" t="str">
        <f aca="false">IF(AND($B150="D05",$C150="G2"),AH149&amp;IF(AH149="","",CHAR(10))&amp;$A150,AH149)</f>
        <v>◐ 027 醫材需求與設備計畫</v>
      </c>
      <c r="AI150" s="0" t="str">
        <f aca="false">IF(AND($B150="D05",$C150="G3"),AI149&amp;IF(AI149="","",CHAR(10))&amp;$A150,AI149)</f>
        <v/>
      </c>
      <c r="AJ150" s="363" t="str">
        <f aca="false">IF(AND($B150="D05",$C150="G4"),AJ149&amp;IF(AJ149="","",CHAR(10))&amp;$A150,AJ149)</f>
        <v>○ 028 影像設備、PACS與報告流程
○ 029 實驗室自動化與LIS
○ 030 手術室與重症整合
◐ 031 醫材介接與裝置身分
◐ 032 醫療工程與設備生命週期</v>
      </c>
      <c r="AK150" s="0" t="str">
        <f aca="false">IF(AND($B150="D05",$C150="G5"),AK149&amp;IF(AK149="","",CHAR(10))&amp;$A150,AK149)</f>
        <v/>
      </c>
      <c r="AL150" s="0" t="str">
        <f aca="false">IF(AND($B150="D05",$C150="G6"),AL149&amp;IF(AL149="","",CHAR(10))&amp;$A150,AL149)</f>
        <v/>
      </c>
      <c r="AM150" s="0" t="str">
        <f aca="false">IF(AND($B150="D06",$C150="G0"),AM149&amp;IF(AM149="","",CHAR(10))&amp;$A150,AM149)</f>
        <v/>
      </c>
      <c r="AN150" s="0" t="str">
        <f aca="false">IF(AND($B150="D06",$C150="G1"),AN149&amp;IF(AN149="","",CHAR(10))&amp;$A150,AN149)</f>
        <v/>
      </c>
      <c r="AO150" s="0" t="str">
        <f aca="false">IF(AND($B150="D06",$C150="G2"),AO149&amp;IF(AO149="","",CHAR(10))&amp;$A150,AO149)</f>
        <v/>
      </c>
      <c r="AP150" s="363" t="str">
        <f aca="false">IF(AND($B150="D06",$C150="G3"),AP149&amp;IF(AP149="","",CHAR(10))&amp;$A150,AP149)</f>
        <v>◐ 033 HIS／EMR核心平台
◐ 036 臨床術語與主資料治理</v>
      </c>
      <c r="AQ150" s="363" t="str">
        <f aca="false">IF(AND($B150="D06",$C150="G4"),AQ149&amp;IF(AQ149="","",CHAR(10))&amp;$A150,AQ149)</f>
        <v>◐ 034 FHIR介接與API管理
○ 035 主病人索引與身分整合
◐ 037 電子醫囑、用藥與決策支援
◐ 038 資料平台、BI與營運指揮</v>
      </c>
      <c r="AR150" s="0" t="str">
        <f aca="false">IF(AND($B150="D06",$C150="G5"),AR149&amp;IF(AR149="","",CHAR(10))&amp;$A150,AR149)</f>
        <v>○ 039 病人入口、行動服務與VNeID準備</v>
      </c>
      <c r="AS150" s="0" t="str">
        <f aca="false">IF(AND($B150="D06",$C150="G6"),AS149&amp;IF(AS149="","",CHAR(10))&amp;$A150,AS149)</f>
        <v/>
      </c>
      <c r="AT150" s="0" t="str">
        <f aca="false">IF(AND($B150="D07",$C150="G0"),AT149&amp;IF(AT149="","",CHAR(10))&amp;$A150,AT149)</f>
        <v/>
      </c>
      <c r="AU150" s="0" t="str">
        <f aca="false">IF(AND($B150="D07",$C150="G1"),AU149&amp;IF(AU149="","",CHAR(10))&amp;$A150,AU149)</f>
        <v/>
      </c>
      <c r="AV150" s="0" t="str">
        <f aca="false">IF(AND($B150="D07",$C150="G2"),AV149&amp;IF(AV149="","",CHAR(10))&amp;$A150,AV149)</f>
        <v>◐ 040 品質管理與JCI路線圖</v>
      </c>
      <c r="AW150" s="363" t="str">
        <f aca="false">IF(AND($B150="D07",$C150="G3"),AW149&amp;IF(AW149="","",CHAR(10))&amp;$A150,AW149)</f>
        <v>◐ 041 感染預防與控制制度
◐ 043 事件通報與根因改善</v>
      </c>
      <c r="AX150" s="0" t="str">
        <f aca="false">IF(AND($B150="D07",$C150="G4"),AX149&amp;IF(AX149="","",CHAR(10))&amp;$A150,AX149)</f>
        <v>◐ 042 用藥安全閉環</v>
      </c>
      <c r="AY150" s="0" t="str">
        <f aca="false">IF(AND($B150="D07",$C150="G5"),AY149&amp;IF(AY149="","",CHAR(10))&amp;$A150,AY149)</f>
        <v>◐ 044 開院臨床安全驗證</v>
      </c>
      <c r="AZ150" s="0" t="str">
        <f aca="false">IF(AND($B150="D07",$C150="G6"),AZ149&amp;IF(AZ149="","",CHAR(10))&amp;$A150,AZ149)</f>
        <v/>
      </c>
      <c r="BA150" s="0" t="str">
        <f aca="false">IF(AND($B150="D08",$C150="G0"),BA149&amp;IF(BA149="","",CHAR(10))&amp;$A150,BA149)</f>
        <v/>
      </c>
      <c r="BB150" s="0" t="str">
        <f aca="false">IF(AND($B150="D08",$C150="G1"),BB149&amp;IF(BB149="","",CHAR(10))&amp;$A150,BB149)</f>
        <v/>
      </c>
      <c r="BC150" s="0" t="str">
        <f aca="false">IF(AND($B150="D08",$C150="G2"),BC149&amp;IF(BC149="","",CHAR(10))&amp;$A150,BC149)</f>
        <v>○ 045 人力與輪班模型</v>
      </c>
      <c r="BD150" s="0" t="str">
        <f aca="false">IF(AND($B150="D08",$C150="G3"),BD149&amp;IF(BD149="","",CHAR(10))&amp;$A150,BD149)</f>
        <v>◐ 046 職能矩陣與授權</v>
      </c>
      <c r="BE150" s="363" t="str">
        <f aca="false">IF(AND($B150="D08",$C150="G4"),BE149&amp;IF(BE149="","",CHAR(10))&amp;$A150,BE149)</f>
        <v>◐ 047 種子教師與技術移轉
◐ 049 變革管理與使用者採納</v>
      </c>
      <c r="BF150" s="0" t="str">
        <f aca="false">IF(AND($B150="D08",$C150="G5"),BF149&amp;IF(BF149="","",CHAR(10))&amp;$A150,BF149)</f>
        <v>◐ 048 模擬中心與開院演練</v>
      </c>
      <c r="BG150" s="0" t="str">
        <f aca="false">IF(AND($B150="D08",$C150="G6"),BG149&amp;IF(BG149="","",CHAR(10))&amp;$A150,BG149)</f>
        <v/>
      </c>
      <c r="BH150" s="0" t="str">
        <f aca="false">IF(AND($B150="D09",$C150="G0"),BH149&amp;IF(BH149="","",CHAR(10))&amp;$A150,BH149)</f>
        <v/>
      </c>
      <c r="BI150" s="0" t="str">
        <f aca="false">IF(AND($B150="D09",$C150="G1"),BI149&amp;IF(BI149="","",CHAR(10))&amp;$A150,BI149)</f>
        <v/>
      </c>
      <c r="BJ150" s="0" t="str">
        <f aca="false">IF(AND($B150="D09",$C150="G2"),BJ149&amp;IF(BJ149="","",CHAR(10))&amp;$A150,BJ149)</f>
        <v>◐ 050 整合採購與供應商治理</v>
      </c>
      <c r="BK150" s="0" t="str">
        <f aca="false">IF(AND($B150="D09",$C150="G3"),BK149&amp;IF(BK149="","",CHAR(10))&amp;$A150,BK149)</f>
        <v/>
      </c>
      <c r="BL150" s="363" t="str">
        <f aca="false">IF(AND($B150="D09",$C150="G4"),BL149&amp;IF(BL149="","",CHAR(10))&amp;$A150,BL149)</f>
        <v>◐ 051 藥品耗材與SPD物流
◐ 052 冷鏈與特殊物料
● 053 CMMS與設施維運</v>
      </c>
      <c r="BM150" s="0" t="str">
        <f aca="false">IF(AND($B150="D09",$C150="G5"),BM149&amp;IF(BM149="","",CHAR(10))&amp;$A150,BM149)</f>
        <v>◐ 054 在地備品、維修與汰換</v>
      </c>
      <c r="BN150" s="0" t="str">
        <f aca="false">IF(AND($B150="D09",$C150="G6"),BN149&amp;IF(BN149="","",CHAR(10))&amp;$A150,BN149)</f>
        <v/>
      </c>
      <c r="BO150" s="0" t="str">
        <f aca="false">IF(AND($B150="D10",$C150="G0"),BO149&amp;IF(BO149="","",CHAR(10))&amp;$A150,BO149)</f>
        <v/>
      </c>
      <c r="BP150" s="0" t="str">
        <f aca="false">IF(AND($B150="D10",$C150="G1"),BP149&amp;IF(BP149="","",CHAR(10))&amp;$A150,BP149)</f>
        <v>◐ 055 全生命週期成本模型</v>
      </c>
      <c r="BQ150" s="0" t="str">
        <f aca="false">IF(AND($B150="D10",$C150="G2"),BQ149&amp;IF(BQ149="","",CHAR(10))&amp;$A150,BQ149)</f>
        <v>◐ 059 PPP／JV財務與風險分配</v>
      </c>
      <c r="BR150" s="0" t="str">
        <f aca="false">IF(AND($B150="D10",$C150="G3"),BR149&amp;IF(BR149="","",CHAR(10))&amp;$A150,BR149)</f>
        <v/>
      </c>
      <c r="BS150" s="363" t="str">
        <f aca="false">IF(AND($B150="D10",$C150="G4"),BS149&amp;IF(BS149="","",CHAR(10))&amp;$A150,BS149)</f>
        <v>○ 056 健保申報與數位理賠
○ 057 現金流、支付與收入週期</v>
      </c>
      <c r="BT150" s="0" t="str">
        <f aca="false">IF(AND($B150="D10",$C150="G5"),BT149&amp;IF(BT149="","",CHAR(10))&amp;$A150,BT149)</f>
        <v>○ 058 國際醫療與高價值服務</v>
      </c>
      <c r="BU150" s="0" t="str">
        <f aca="false">IF(AND($B150="D10",$C150="G6"),BU149&amp;IF(BU149="","",CHAR(10))&amp;$A150,BU149)</f>
        <v>◐ 060 效益實現與複製藍圖</v>
      </c>
      <c r="BX150" s="0" t="str">
        <f aca="false">IF(AND(03_能力總表_Master!$A150&lt;&gt;"",LEFT(03_能力總表_Master!$H150,2)="缺口"),MAX($BX$4:BX149)+1,"")</f>
        <v/>
      </c>
      <c r="BY150" s="0" t="str">
        <f aca="false">IF(AND(03_能力總表_Master!$A150&lt;&gt;"",03_能力總表_Master!$J150=12_夥伴視角_PartnerView!$C$4),MAX($BY$4:BY149)+1,"")</f>
        <v/>
      </c>
      <c r="CC150" s="0" t="str">
        <f aca="false">IF(AND(03_能力總表_Master!$A150&lt;&gt;"",IFERROR(INDEX(16_能力商機矩陣_CapOppMap!$D150:$CO150,MATCH(LEFT(17_商機作戰卡_OppView!$C$4,6),16_能力商機矩陣_CapOppMap!$D$4:$CO$4,0)),"")="✓"),MAX($CC$4:CC149)+1,"")</f>
        <v/>
      </c>
    </row>
    <row r="151" customFormat="false" ht="95.5" hidden="false" customHeight="false" outlineLevel="0" collapsed="false">
      <c r="A151" s="0" t="str">
        <f aca="false">IF(03_能力總表_Master!$A151="","",IF(LEFT(03_能力總表_Master!$H151,2)="群晶","● ",IF(ISNUMBER(SEARCH("已確認",03_能力總表_Master!$H151)),"◆ ",IF(ISNUMBER(SEARCH("缺口",03_能力總表_Master!$H151)),"○ ","◐ ")))&amp;RIGHT(03_能力總表_Master!$A151,3)&amp;" "&amp;03_能力總表_Master!$E151)</f>
        <v/>
      </c>
      <c r="B151" s="0" t="str">
        <f aca="false">IF(03_能力總表_Master!$A151="","",LEFT(03_能力總表_Master!$B151,3))</f>
        <v/>
      </c>
      <c r="C151" s="0" t="str">
        <f aca="false">IF(03_能力總表_Master!$A151="","",03_能力總表_Master!$C151)</f>
        <v/>
      </c>
      <c r="D151" s="363" t="str">
        <f aca="false">IF(AND($B151="D01",$C151="G0"),D150&amp;IF(D150="","",CHAR(10))&amp;$A151,D150)</f>
        <v>◐ 001 政府授權與計畫章程
◐ 002 利害關係人與權力地圖
◐ 005 聯盟治理與利益衝突</v>
      </c>
      <c r="E151" s="363" t="str">
        <f aca="false">IF(AND($B151="D01",$C151="G1"),E150&amp;IF(E150="","",CHAR(10))&amp;$A151,E150)</f>
        <v>◐ 003 交易模式選擇
◐ 004 法規與執照路徑</v>
      </c>
      <c r="F151" s="0" t="str">
        <f aca="false">IF(AND($B151="D01",$C151="G2"),F150&amp;IF(F150="","",CHAR(10))&amp;$A151,F150)</f>
        <v>◐ 006 績效契約與變更控制</v>
      </c>
      <c r="G151" s="0" t="str">
        <f aca="false">IF(AND($B151="D01",$C151="G3"),G150&amp;IF(G150="","",CHAR(10))&amp;$A151,G150)</f>
        <v/>
      </c>
      <c r="H151" s="0" t="str">
        <f aca="false">IF(AND($B151="D01",$C151="G4"),H150&amp;IF(H150="","",CHAR(10))&amp;$A151,H150)</f>
        <v/>
      </c>
      <c r="I151" s="0" t="str">
        <f aca="false">IF(AND($B151="D01",$C151="G5"),I150&amp;IF(I150="","",CHAR(10))&amp;$A151,I150)</f>
        <v/>
      </c>
      <c r="J151" s="0" t="str">
        <f aca="false">IF(AND($B151="D01",$C151="G6"),J150&amp;IF(J150="","",CHAR(10))&amp;$A151,J150)</f>
        <v/>
      </c>
      <c r="K151" s="0" t="str">
        <f aca="false">IF(AND($B151="D02",$C151="G0"),K150&amp;IF(K150="","",CHAR(10))&amp;$A151,K150)</f>
        <v/>
      </c>
      <c r="L151" s="363" t="str">
        <f aca="false">IF(AND($B151="D02",$C151="G1"),L150&amp;IF(L150="","",CHAR(10))&amp;$A151,L150)</f>
        <v>◐ 007 人口需求與病例量預測
◐ 008 醫院定位與服務組合
◐ 009 重點專科優先化
◐ 010 病人流程與容量設計
◐ 011 轉診與區域照護網絡
◐ 012 臨床治理與責任架構</v>
      </c>
      <c r="M151" s="0" t="str">
        <f aca="false">IF(AND($B151="D02",$C151="G2"),M150&amp;IF(M150="","",CHAR(10))&amp;$A151,M150)</f>
        <v/>
      </c>
      <c r="N151" s="0" t="str">
        <f aca="false">IF(AND($B151="D02",$C151="G3"),N150&amp;IF(N150="","",CHAR(10))&amp;$A151,N150)</f>
        <v/>
      </c>
      <c r="O151" s="0" t="str">
        <f aca="false">IF(AND($B151="D02",$C151="G4"),O150&amp;IF(O150="","",CHAR(10))&amp;$A151,O150)</f>
        <v/>
      </c>
      <c r="P151" s="0" t="str">
        <f aca="false">IF(AND($B151="D02",$C151="G5"),P150&amp;IF(P150="","",CHAR(10))&amp;$A151,P150)</f>
        <v/>
      </c>
      <c r="Q151" s="0" t="str">
        <f aca="false">IF(AND($B151="D02",$C151="G6"),Q150&amp;IF(Q150="","",CHAR(10))&amp;$A151,Q150)</f>
        <v/>
      </c>
      <c r="R151" s="0" t="str">
        <f aca="false">IF(AND($B151="D03",$C151="G0"),R150&amp;IF(R150="","",CHAR(10))&amp;$A151,R150)</f>
        <v/>
      </c>
      <c r="S151" s="0" t="str">
        <f aca="false">IF(AND($B151="D03",$C151="G1"),S150&amp;IF(S150="","",CHAR(10))&amp;$A151,S150)</f>
        <v>◐ 013 場址與醫院總體規劃</v>
      </c>
      <c r="T151" s="363" t="str">
        <f aca="false">IF(AND($B151="D03",$C151="G2"),T150&amp;IF(T150="","",CHAR(10))&amp;$A151,T150)</f>
        <v>◐ 014 醫療建築功能計畫
◐ 015 感染控制與潔污動線
◐ 019 綠色與氣候韌性醫院</v>
      </c>
      <c r="U151" s="363" t="str">
        <f aca="false">IF(AND($B151="D03",$C151="G3"),U150&amp;IF(U150="","",CHAR(10))&amp;$A151,U150)</f>
        <v>● 016 電力、備援與微電網
◐ 017 醫療氣體與關鍵公用系統
◐ 018 醫療廢棄物與水資源</v>
      </c>
      <c r="V151" s="0" t="str">
        <f aca="false">IF(AND($B151="D03",$C151="G4"),V150&amp;IF(V150="","",CHAR(10))&amp;$A151,V150)</f>
        <v/>
      </c>
      <c r="W151" s="0" t="str">
        <f aca="false">IF(AND($B151="D03",$C151="G5"),W150&amp;IF(W150="","",CHAR(10))&amp;$A151,W150)</f>
        <v/>
      </c>
      <c r="X151" s="0" t="str">
        <f aca="false">IF(AND($B151="D03",$C151="G6"),X150&amp;IF(X150="","",CHAR(10))&amp;$A151,X150)</f>
        <v/>
      </c>
      <c r="Y151" s="0" t="str">
        <f aca="false">IF(AND($B151="D04",$C151="G0"),Y150&amp;IF(Y150="","",CHAR(10))&amp;$A151,Y150)</f>
        <v/>
      </c>
      <c r="Z151" s="0" t="str">
        <f aca="false">IF(AND($B151="D04",$C151="G1"),Z150&amp;IF(Z150="","",CHAR(10))&amp;$A151,Z150)</f>
        <v/>
      </c>
      <c r="AA151" s="0" t="str">
        <f aca="false">IF(AND($B151="D04",$C151="G2"),AA150&amp;IF(AA150="","",CHAR(10))&amp;$A151,AA150)</f>
        <v/>
      </c>
      <c r="AB151" s="0" t="str">
        <f aca="false">IF(AND($B151="D04",$C151="G3"),AB150&amp;IF(AB150="","",CHAR(10))&amp;$A151,AB150)</f>
        <v>● 020 IDC與邊緣運算底座</v>
      </c>
      <c r="AC151" s="363" t="str">
        <f aca="false">IF(AND($B151="D04",$C151="G4"),AC150&amp;IF(AC150="","",CHAR(10))&amp;$A151,AC150)</f>
        <v>● 021 有線無線網路與分區
◐ 022 資安營運與零信任
● 023 BMS與能源管理
● 024 RTLS與資產／人員定位
● 025 智慧病房、護理呼叫與感測
● 026 災難復原與營運持續</v>
      </c>
      <c r="AD151" s="0" t="str">
        <f aca="false">IF(AND($B151="D04",$C151="G5"),AD150&amp;IF(AD150="","",CHAR(10))&amp;$A151,AD150)</f>
        <v/>
      </c>
      <c r="AE151" s="0" t="str">
        <f aca="false">IF(AND($B151="D04",$C151="G6"),AE150&amp;IF(AE150="","",CHAR(10))&amp;$A151,AE150)</f>
        <v/>
      </c>
      <c r="AF151" s="0" t="str">
        <f aca="false">IF(AND($B151="D05",$C151="G0"),AF150&amp;IF(AF150="","",CHAR(10))&amp;$A151,AF150)</f>
        <v/>
      </c>
      <c r="AG151" s="0" t="str">
        <f aca="false">IF(AND($B151="D05",$C151="G1"),AG150&amp;IF(AG150="","",CHAR(10))&amp;$A151,AG150)</f>
        <v/>
      </c>
      <c r="AH151" s="0" t="str">
        <f aca="false">IF(AND($B151="D05",$C151="G2"),AH150&amp;IF(AH150="","",CHAR(10))&amp;$A151,AH150)</f>
        <v>◐ 027 醫材需求與設備計畫</v>
      </c>
      <c r="AI151" s="0" t="str">
        <f aca="false">IF(AND($B151="D05",$C151="G3"),AI150&amp;IF(AI150="","",CHAR(10))&amp;$A151,AI150)</f>
        <v/>
      </c>
      <c r="AJ151" s="363" t="str">
        <f aca="false">IF(AND($B151="D05",$C151="G4"),AJ150&amp;IF(AJ150="","",CHAR(10))&amp;$A151,AJ150)</f>
        <v>○ 028 影像設備、PACS與報告流程
○ 029 實驗室自動化與LIS
○ 030 手術室與重症整合
◐ 031 醫材介接與裝置身分
◐ 032 醫療工程與設備生命週期</v>
      </c>
      <c r="AK151" s="0" t="str">
        <f aca="false">IF(AND($B151="D05",$C151="G5"),AK150&amp;IF(AK150="","",CHAR(10))&amp;$A151,AK150)</f>
        <v/>
      </c>
      <c r="AL151" s="0" t="str">
        <f aca="false">IF(AND($B151="D05",$C151="G6"),AL150&amp;IF(AL150="","",CHAR(10))&amp;$A151,AL150)</f>
        <v/>
      </c>
      <c r="AM151" s="0" t="str">
        <f aca="false">IF(AND($B151="D06",$C151="G0"),AM150&amp;IF(AM150="","",CHAR(10))&amp;$A151,AM150)</f>
        <v/>
      </c>
      <c r="AN151" s="0" t="str">
        <f aca="false">IF(AND($B151="D06",$C151="G1"),AN150&amp;IF(AN150="","",CHAR(10))&amp;$A151,AN150)</f>
        <v/>
      </c>
      <c r="AO151" s="0" t="str">
        <f aca="false">IF(AND($B151="D06",$C151="G2"),AO150&amp;IF(AO150="","",CHAR(10))&amp;$A151,AO150)</f>
        <v/>
      </c>
      <c r="AP151" s="363" t="str">
        <f aca="false">IF(AND($B151="D06",$C151="G3"),AP150&amp;IF(AP150="","",CHAR(10))&amp;$A151,AP150)</f>
        <v>◐ 033 HIS／EMR核心平台
◐ 036 臨床術語與主資料治理</v>
      </c>
      <c r="AQ151" s="363" t="str">
        <f aca="false">IF(AND($B151="D06",$C151="G4"),AQ150&amp;IF(AQ150="","",CHAR(10))&amp;$A151,AQ150)</f>
        <v>◐ 034 FHIR介接與API管理
○ 035 主病人索引與身分整合
◐ 037 電子醫囑、用藥與決策支援
◐ 038 資料平台、BI與營運指揮</v>
      </c>
      <c r="AR151" s="0" t="str">
        <f aca="false">IF(AND($B151="D06",$C151="G5"),AR150&amp;IF(AR150="","",CHAR(10))&amp;$A151,AR150)</f>
        <v>○ 039 病人入口、行動服務與VNeID準備</v>
      </c>
      <c r="AS151" s="0" t="str">
        <f aca="false">IF(AND($B151="D06",$C151="G6"),AS150&amp;IF(AS150="","",CHAR(10))&amp;$A151,AS150)</f>
        <v/>
      </c>
      <c r="AT151" s="0" t="str">
        <f aca="false">IF(AND($B151="D07",$C151="G0"),AT150&amp;IF(AT150="","",CHAR(10))&amp;$A151,AT150)</f>
        <v/>
      </c>
      <c r="AU151" s="0" t="str">
        <f aca="false">IF(AND($B151="D07",$C151="G1"),AU150&amp;IF(AU150="","",CHAR(10))&amp;$A151,AU150)</f>
        <v/>
      </c>
      <c r="AV151" s="0" t="str">
        <f aca="false">IF(AND($B151="D07",$C151="G2"),AV150&amp;IF(AV150="","",CHAR(10))&amp;$A151,AV150)</f>
        <v>◐ 040 品質管理與JCI路線圖</v>
      </c>
      <c r="AW151" s="363" t="str">
        <f aca="false">IF(AND($B151="D07",$C151="G3"),AW150&amp;IF(AW150="","",CHAR(10))&amp;$A151,AW150)</f>
        <v>◐ 041 感染預防與控制制度
◐ 043 事件通報與根因改善</v>
      </c>
      <c r="AX151" s="0" t="str">
        <f aca="false">IF(AND($B151="D07",$C151="G4"),AX150&amp;IF(AX150="","",CHAR(10))&amp;$A151,AX150)</f>
        <v>◐ 042 用藥安全閉環</v>
      </c>
      <c r="AY151" s="0" t="str">
        <f aca="false">IF(AND($B151="D07",$C151="G5"),AY150&amp;IF(AY150="","",CHAR(10))&amp;$A151,AY150)</f>
        <v>◐ 044 開院臨床安全驗證</v>
      </c>
      <c r="AZ151" s="0" t="str">
        <f aca="false">IF(AND($B151="D07",$C151="G6"),AZ150&amp;IF(AZ150="","",CHAR(10))&amp;$A151,AZ150)</f>
        <v/>
      </c>
      <c r="BA151" s="0" t="str">
        <f aca="false">IF(AND($B151="D08",$C151="G0"),BA150&amp;IF(BA150="","",CHAR(10))&amp;$A151,BA150)</f>
        <v/>
      </c>
      <c r="BB151" s="0" t="str">
        <f aca="false">IF(AND($B151="D08",$C151="G1"),BB150&amp;IF(BB150="","",CHAR(10))&amp;$A151,BB150)</f>
        <v/>
      </c>
      <c r="BC151" s="0" t="str">
        <f aca="false">IF(AND($B151="D08",$C151="G2"),BC150&amp;IF(BC150="","",CHAR(10))&amp;$A151,BC150)</f>
        <v>○ 045 人力與輪班模型</v>
      </c>
      <c r="BD151" s="0" t="str">
        <f aca="false">IF(AND($B151="D08",$C151="G3"),BD150&amp;IF(BD150="","",CHAR(10))&amp;$A151,BD150)</f>
        <v>◐ 046 職能矩陣與授權</v>
      </c>
      <c r="BE151" s="363" t="str">
        <f aca="false">IF(AND($B151="D08",$C151="G4"),BE150&amp;IF(BE150="","",CHAR(10))&amp;$A151,BE150)</f>
        <v>◐ 047 種子教師與技術移轉
◐ 049 變革管理與使用者採納</v>
      </c>
      <c r="BF151" s="0" t="str">
        <f aca="false">IF(AND($B151="D08",$C151="G5"),BF150&amp;IF(BF150="","",CHAR(10))&amp;$A151,BF150)</f>
        <v>◐ 048 模擬中心與開院演練</v>
      </c>
      <c r="BG151" s="0" t="str">
        <f aca="false">IF(AND($B151="D08",$C151="G6"),BG150&amp;IF(BG150="","",CHAR(10))&amp;$A151,BG150)</f>
        <v/>
      </c>
      <c r="BH151" s="0" t="str">
        <f aca="false">IF(AND($B151="D09",$C151="G0"),BH150&amp;IF(BH150="","",CHAR(10))&amp;$A151,BH150)</f>
        <v/>
      </c>
      <c r="BI151" s="0" t="str">
        <f aca="false">IF(AND($B151="D09",$C151="G1"),BI150&amp;IF(BI150="","",CHAR(10))&amp;$A151,BI150)</f>
        <v/>
      </c>
      <c r="BJ151" s="0" t="str">
        <f aca="false">IF(AND($B151="D09",$C151="G2"),BJ150&amp;IF(BJ150="","",CHAR(10))&amp;$A151,BJ150)</f>
        <v>◐ 050 整合採購與供應商治理</v>
      </c>
      <c r="BK151" s="0" t="str">
        <f aca="false">IF(AND($B151="D09",$C151="G3"),BK150&amp;IF(BK150="","",CHAR(10))&amp;$A151,BK150)</f>
        <v/>
      </c>
      <c r="BL151" s="363" t="str">
        <f aca="false">IF(AND($B151="D09",$C151="G4"),BL150&amp;IF(BL150="","",CHAR(10))&amp;$A151,BL150)</f>
        <v>◐ 051 藥品耗材與SPD物流
◐ 052 冷鏈與特殊物料
● 053 CMMS與設施維運</v>
      </c>
      <c r="BM151" s="0" t="str">
        <f aca="false">IF(AND($B151="D09",$C151="G5"),BM150&amp;IF(BM150="","",CHAR(10))&amp;$A151,BM150)</f>
        <v>◐ 054 在地備品、維修與汰換</v>
      </c>
      <c r="BN151" s="0" t="str">
        <f aca="false">IF(AND($B151="D09",$C151="G6"),BN150&amp;IF(BN150="","",CHAR(10))&amp;$A151,BN150)</f>
        <v/>
      </c>
      <c r="BO151" s="0" t="str">
        <f aca="false">IF(AND($B151="D10",$C151="G0"),BO150&amp;IF(BO150="","",CHAR(10))&amp;$A151,BO150)</f>
        <v/>
      </c>
      <c r="BP151" s="0" t="str">
        <f aca="false">IF(AND($B151="D10",$C151="G1"),BP150&amp;IF(BP150="","",CHAR(10))&amp;$A151,BP150)</f>
        <v>◐ 055 全生命週期成本模型</v>
      </c>
      <c r="BQ151" s="0" t="str">
        <f aca="false">IF(AND($B151="D10",$C151="G2"),BQ150&amp;IF(BQ150="","",CHAR(10))&amp;$A151,BQ150)</f>
        <v>◐ 059 PPP／JV財務與風險分配</v>
      </c>
      <c r="BR151" s="0" t="str">
        <f aca="false">IF(AND($B151="D10",$C151="G3"),BR150&amp;IF(BR150="","",CHAR(10))&amp;$A151,BR150)</f>
        <v/>
      </c>
      <c r="BS151" s="363" t="str">
        <f aca="false">IF(AND($B151="D10",$C151="G4"),BS150&amp;IF(BS150="","",CHAR(10))&amp;$A151,BS150)</f>
        <v>○ 056 健保申報與數位理賠
○ 057 現金流、支付與收入週期</v>
      </c>
      <c r="BT151" s="0" t="str">
        <f aca="false">IF(AND($B151="D10",$C151="G5"),BT150&amp;IF(BT150="","",CHAR(10))&amp;$A151,BT150)</f>
        <v>○ 058 國際醫療與高價值服務</v>
      </c>
      <c r="BU151" s="0" t="str">
        <f aca="false">IF(AND($B151="D10",$C151="G6"),BU150&amp;IF(BU150="","",CHAR(10))&amp;$A151,BU150)</f>
        <v>◐ 060 效益實現與複製藍圖</v>
      </c>
      <c r="BX151" s="0" t="str">
        <f aca="false">IF(AND(03_能力總表_Master!$A151&lt;&gt;"",LEFT(03_能力總表_Master!$H151,2)="缺口"),MAX($BX$4:BX150)+1,"")</f>
        <v/>
      </c>
      <c r="BY151" s="0" t="str">
        <f aca="false">IF(AND(03_能力總表_Master!$A151&lt;&gt;"",03_能力總表_Master!$J151=12_夥伴視角_PartnerView!$C$4),MAX($BY$4:BY150)+1,"")</f>
        <v/>
      </c>
      <c r="CC151" s="0" t="str">
        <f aca="false">IF(AND(03_能力總表_Master!$A151&lt;&gt;"",IFERROR(INDEX(16_能力商機矩陣_CapOppMap!$D151:$CO151,MATCH(LEFT(17_商機作戰卡_OppView!$C$4,6),16_能力商機矩陣_CapOppMap!$D$4:$CO$4,0)),"")="✓"),MAX($CC$4:CC150)+1,"")</f>
        <v/>
      </c>
    </row>
    <row r="152" customFormat="false" ht="95.5" hidden="false" customHeight="false" outlineLevel="0" collapsed="false">
      <c r="A152" s="0" t="str">
        <f aca="false">IF(03_能力總表_Master!$A152="","",IF(LEFT(03_能力總表_Master!$H152,2)="群晶","● ",IF(ISNUMBER(SEARCH("已確認",03_能力總表_Master!$H152)),"◆ ",IF(ISNUMBER(SEARCH("缺口",03_能力總表_Master!$H152)),"○ ","◐ ")))&amp;RIGHT(03_能力總表_Master!$A152,3)&amp;" "&amp;03_能力總表_Master!$E152)</f>
        <v/>
      </c>
      <c r="B152" s="0" t="str">
        <f aca="false">IF(03_能力總表_Master!$A152="","",LEFT(03_能力總表_Master!$B152,3))</f>
        <v/>
      </c>
      <c r="C152" s="0" t="str">
        <f aca="false">IF(03_能力總表_Master!$A152="","",03_能力總表_Master!$C152)</f>
        <v/>
      </c>
      <c r="D152" s="363" t="str">
        <f aca="false">IF(AND($B152="D01",$C152="G0"),D151&amp;IF(D151="","",CHAR(10))&amp;$A152,D151)</f>
        <v>◐ 001 政府授權與計畫章程
◐ 002 利害關係人與權力地圖
◐ 005 聯盟治理與利益衝突</v>
      </c>
      <c r="E152" s="363" t="str">
        <f aca="false">IF(AND($B152="D01",$C152="G1"),E151&amp;IF(E151="","",CHAR(10))&amp;$A152,E151)</f>
        <v>◐ 003 交易模式選擇
◐ 004 法規與執照路徑</v>
      </c>
      <c r="F152" s="0" t="str">
        <f aca="false">IF(AND($B152="D01",$C152="G2"),F151&amp;IF(F151="","",CHAR(10))&amp;$A152,F151)</f>
        <v>◐ 006 績效契約與變更控制</v>
      </c>
      <c r="G152" s="0" t="str">
        <f aca="false">IF(AND($B152="D01",$C152="G3"),G151&amp;IF(G151="","",CHAR(10))&amp;$A152,G151)</f>
        <v/>
      </c>
      <c r="H152" s="0" t="str">
        <f aca="false">IF(AND($B152="D01",$C152="G4"),H151&amp;IF(H151="","",CHAR(10))&amp;$A152,H151)</f>
        <v/>
      </c>
      <c r="I152" s="0" t="str">
        <f aca="false">IF(AND($B152="D01",$C152="G5"),I151&amp;IF(I151="","",CHAR(10))&amp;$A152,I151)</f>
        <v/>
      </c>
      <c r="J152" s="0" t="str">
        <f aca="false">IF(AND($B152="D01",$C152="G6"),J151&amp;IF(J151="","",CHAR(10))&amp;$A152,J151)</f>
        <v/>
      </c>
      <c r="K152" s="0" t="str">
        <f aca="false">IF(AND($B152="D02",$C152="G0"),K151&amp;IF(K151="","",CHAR(10))&amp;$A152,K151)</f>
        <v/>
      </c>
      <c r="L152" s="363" t="str">
        <f aca="false">IF(AND($B152="D02",$C152="G1"),L151&amp;IF(L151="","",CHAR(10))&amp;$A152,L151)</f>
        <v>◐ 007 人口需求與病例量預測
◐ 008 醫院定位與服務組合
◐ 009 重點專科優先化
◐ 010 病人流程與容量設計
◐ 011 轉診與區域照護網絡
◐ 012 臨床治理與責任架構</v>
      </c>
      <c r="M152" s="0" t="str">
        <f aca="false">IF(AND($B152="D02",$C152="G2"),M151&amp;IF(M151="","",CHAR(10))&amp;$A152,M151)</f>
        <v/>
      </c>
      <c r="N152" s="0" t="str">
        <f aca="false">IF(AND($B152="D02",$C152="G3"),N151&amp;IF(N151="","",CHAR(10))&amp;$A152,N151)</f>
        <v/>
      </c>
      <c r="O152" s="0" t="str">
        <f aca="false">IF(AND($B152="D02",$C152="G4"),O151&amp;IF(O151="","",CHAR(10))&amp;$A152,O151)</f>
        <v/>
      </c>
      <c r="P152" s="0" t="str">
        <f aca="false">IF(AND($B152="D02",$C152="G5"),P151&amp;IF(P151="","",CHAR(10))&amp;$A152,P151)</f>
        <v/>
      </c>
      <c r="Q152" s="0" t="str">
        <f aca="false">IF(AND($B152="D02",$C152="G6"),Q151&amp;IF(Q151="","",CHAR(10))&amp;$A152,Q151)</f>
        <v/>
      </c>
      <c r="R152" s="0" t="str">
        <f aca="false">IF(AND($B152="D03",$C152="G0"),R151&amp;IF(R151="","",CHAR(10))&amp;$A152,R151)</f>
        <v/>
      </c>
      <c r="S152" s="0" t="str">
        <f aca="false">IF(AND($B152="D03",$C152="G1"),S151&amp;IF(S151="","",CHAR(10))&amp;$A152,S151)</f>
        <v>◐ 013 場址與醫院總體規劃</v>
      </c>
      <c r="T152" s="363" t="str">
        <f aca="false">IF(AND($B152="D03",$C152="G2"),T151&amp;IF(T151="","",CHAR(10))&amp;$A152,T151)</f>
        <v>◐ 014 醫療建築功能計畫
◐ 015 感染控制與潔污動線
◐ 019 綠色與氣候韌性醫院</v>
      </c>
      <c r="U152" s="363" t="str">
        <f aca="false">IF(AND($B152="D03",$C152="G3"),U151&amp;IF(U151="","",CHAR(10))&amp;$A152,U151)</f>
        <v>● 016 電力、備援與微電網
◐ 017 醫療氣體與關鍵公用系統
◐ 018 醫療廢棄物與水資源</v>
      </c>
      <c r="V152" s="0" t="str">
        <f aca="false">IF(AND($B152="D03",$C152="G4"),V151&amp;IF(V151="","",CHAR(10))&amp;$A152,V151)</f>
        <v/>
      </c>
      <c r="W152" s="0" t="str">
        <f aca="false">IF(AND($B152="D03",$C152="G5"),W151&amp;IF(W151="","",CHAR(10))&amp;$A152,W151)</f>
        <v/>
      </c>
      <c r="X152" s="0" t="str">
        <f aca="false">IF(AND($B152="D03",$C152="G6"),X151&amp;IF(X151="","",CHAR(10))&amp;$A152,X151)</f>
        <v/>
      </c>
      <c r="Y152" s="0" t="str">
        <f aca="false">IF(AND($B152="D04",$C152="G0"),Y151&amp;IF(Y151="","",CHAR(10))&amp;$A152,Y151)</f>
        <v/>
      </c>
      <c r="Z152" s="0" t="str">
        <f aca="false">IF(AND($B152="D04",$C152="G1"),Z151&amp;IF(Z151="","",CHAR(10))&amp;$A152,Z151)</f>
        <v/>
      </c>
      <c r="AA152" s="0" t="str">
        <f aca="false">IF(AND($B152="D04",$C152="G2"),AA151&amp;IF(AA151="","",CHAR(10))&amp;$A152,AA151)</f>
        <v/>
      </c>
      <c r="AB152" s="0" t="str">
        <f aca="false">IF(AND($B152="D04",$C152="G3"),AB151&amp;IF(AB151="","",CHAR(10))&amp;$A152,AB151)</f>
        <v>● 020 IDC與邊緣運算底座</v>
      </c>
      <c r="AC152" s="363" t="str">
        <f aca="false">IF(AND($B152="D04",$C152="G4"),AC151&amp;IF(AC151="","",CHAR(10))&amp;$A152,AC151)</f>
        <v>● 021 有線無線網路與分區
◐ 022 資安營運與零信任
● 023 BMS與能源管理
● 024 RTLS與資產／人員定位
● 025 智慧病房、護理呼叫與感測
● 026 災難復原與營運持續</v>
      </c>
      <c r="AD152" s="0" t="str">
        <f aca="false">IF(AND($B152="D04",$C152="G5"),AD151&amp;IF(AD151="","",CHAR(10))&amp;$A152,AD151)</f>
        <v/>
      </c>
      <c r="AE152" s="0" t="str">
        <f aca="false">IF(AND($B152="D04",$C152="G6"),AE151&amp;IF(AE151="","",CHAR(10))&amp;$A152,AE151)</f>
        <v/>
      </c>
      <c r="AF152" s="0" t="str">
        <f aca="false">IF(AND($B152="D05",$C152="G0"),AF151&amp;IF(AF151="","",CHAR(10))&amp;$A152,AF151)</f>
        <v/>
      </c>
      <c r="AG152" s="0" t="str">
        <f aca="false">IF(AND($B152="D05",$C152="G1"),AG151&amp;IF(AG151="","",CHAR(10))&amp;$A152,AG151)</f>
        <v/>
      </c>
      <c r="AH152" s="0" t="str">
        <f aca="false">IF(AND($B152="D05",$C152="G2"),AH151&amp;IF(AH151="","",CHAR(10))&amp;$A152,AH151)</f>
        <v>◐ 027 醫材需求與設備計畫</v>
      </c>
      <c r="AI152" s="0" t="str">
        <f aca="false">IF(AND($B152="D05",$C152="G3"),AI151&amp;IF(AI151="","",CHAR(10))&amp;$A152,AI151)</f>
        <v/>
      </c>
      <c r="AJ152" s="363" t="str">
        <f aca="false">IF(AND($B152="D05",$C152="G4"),AJ151&amp;IF(AJ151="","",CHAR(10))&amp;$A152,AJ151)</f>
        <v>○ 028 影像設備、PACS與報告流程
○ 029 實驗室自動化與LIS
○ 030 手術室與重症整合
◐ 031 醫材介接與裝置身分
◐ 032 醫療工程與設備生命週期</v>
      </c>
      <c r="AK152" s="0" t="str">
        <f aca="false">IF(AND($B152="D05",$C152="G5"),AK151&amp;IF(AK151="","",CHAR(10))&amp;$A152,AK151)</f>
        <v/>
      </c>
      <c r="AL152" s="0" t="str">
        <f aca="false">IF(AND($B152="D05",$C152="G6"),AL151&amp;IF(AL151="","",CHAR(10))&amp;$A152,AL151)</f>
        <v/>
      </c>
      <c r="AM152" s="0" t="str">
        <f aca="false">IF(AND($B152="D06",$C152="G0"),AM151&amp;IF(AM151="","",CHAR(10))&amp;$A152,AM151)</f>
        <v/>
      </c>
      <c r="AN152" s="0" t="str">
        <f aca="false">IF(AND($B152="D06",$C152="G1"),AN151&amp;IF(AN151="","",CHAR(10))&amp;$A152,AN151)</f>
        <v/>
      </c>
      <c r="AO152" s="0" t="str">
        <f aca="false">IF(AND($B152="D06",$C152="G2"),AO151&amp;IF(AO151="","",CHAR(10))&amp;$A152,AO151)</f>
        <v/>
      </c>
      <c r="AP152" s="363" t="str">
        <f aca="false">IF(AND($B152="D06",$C152="G3"),AP151&amp;IF(AP151="","",CHAR(10))&amp;$A152,AP151)</f>
        <v>◐ 033 HIS／EMR核心平台
◐ 036 臨床術語與主資料治理</v>
      </c>
      <c r="AQ152" s="363" t="str">
        <f aca="false">IF(AND($B152="D06",$C152="G4"),AQ151&amp;IF(AQ151="","",CHAR(10))&amp;$A152,AQ151)</f>
        <v>◐ 034 FHIR介接與API管理
○ 035 主病人索引與身分整合
◐ 037 電子醫囑、用藥與決策支援
◐ 038 資料平台、BI與營運指揮</v>
      </c>
      <c r="AR152" s="0" t="str">
        <f aca="false">IF(AND($B152="D06",$C152="G5"),AR151&amp;IF(AR151="","",CHAR(10))&amp;$A152,AR151)</f>
        <v>○ 039 病人入口、行動服務與VNeID準備</v>
      </c>
      <c r="AS152" s="0" t="str">
        <f aca="false">IF(AND($B152="D06",$C152="G6"),AS151&amp;IF(AS151="","",CHAR(10))&amp;$A152,AS151)</f>
        <v/>
      </c>
      <c r="AT152" s="0" t="str">
        <f aca="false">IF(AND($B152="D07",$C152="G0"),AT151&amp;IF(AT151="","",CHAR(10))&amp;$A152,AT151)</f>
        <v/>
      </c>
      <c r="AU152" s="0" t="str">
        <f aca="false">IF(AND($B152="D07",$C152="G1"),AU151&amp;IF(AU151="","",CHAR(10))&amp;$A152,AU151)</f>
        <v/>
      </c>
      <c r="AV152" s="0" t="str">
        <f aca="false">IF(AND($B152="D07",$C152="G2"),AV151&amp;IF(AV151="","",CHAR(10))&amp;$A152,AV151)</f>
        <v>◐ 040 品質管理與JCI路線圖</v>
      </c>
      <c r="AW152" s="363" t="str">
        <f aca="false">IF(AND($B152="D07",$C152="G3"),AW151&amp;IF(AW151="","",CHAR(10))&amp;$A152,AW151)</f>
        <v>◐ 041 感染預防與控制制度
◐ 043 事件通報與根因改善</v>
      </c>
      <c r="AX152" s="0" t="str">
        <f aca="false">IF(AND($B152="D07",$C152="G4"),AX151&amp;IF(AX151="","",CHAR(10))&amp;$A152,AX151)</f>
        <v>◐ 042 用藥安全閉環</v>
      </c>
      <c r="AY152" s="0" t="str">
        <f aca="false">IF(AND($B152="D07",$C152="G5"),AY151&amp;IF(AY151="","",CHAR(10))&amp;$A152,AY151)</f>
        <v>◐ 044 開院臨床安全驗證</v>
      </c>
      <c r="AZ152" s="0" t="str">
        <f aca="false">IF(AND($B152="D07",$C152="G6"),AZ151&amp;IF(AZ151="","",CHAR(10))&amp;$A152,AZ151)</f>
        <v/>
      </c>
      <c r="BA152" s="0" t="str">
        <f aca="false">IF(AND($B152="D08",$C152="G0"),BA151&amp;IF(BA151="","",CHAR(10))&amp;$A152,BA151)</f>
        <v/>
      </c>
      <c r="BB152" s="0" t="str">
        <f aca="false">IF(AND($B152="D08",$C152="G1"),BB151&amp;IF(BB151="","",CHAR(10))&amp;$A152,BB151)</f>
        <v/>
      </c>
      <c r="BC152" s="0" t="str">
        <f aca="false">IF(AND($B152="D08",$C152="G2"),BC151&amp;IF(BC151="","",CHAR(10))&amp;$A152,BC151)</f>
        <v>○ 045 人力與輪班模型</v>
      </c>
      <c r="BD152" s="0" t="str">
        <f aca="false">IF(AND($B152="D08",$C152="G3"),BD151&amp;IF(BD151="","",CHAR(10))&amp;$A152,BD151)</f>
        <v>◐ 046 職能矩陣與授權</v>
      </c>
      <c r="BE152" s="363" t="str">
        <f aca="false">IF(AND($B152="D08",$C152="G4"),BE151&amp;IF(BE151="","",CHAR(10))&amp;$A152,BE151)</f>
        <v>◐ 047 種子教師與技術移轉
◐ 049 變革管理與使用者採納</v>
      </c>
      <c r="BF152" s="0" t="str">
        <f aca="false">IF(AND($B152="D08",$C152="G5"),BF151&amp;IF(BF151="","",CHAR(10))&amp;$A152,BF151)</f>
        <v>◐ 048 模擬中心與開院演練</v>
      </c>
      <c r="BG152" s="0" t="str">
        <f aca="false">IF(AND($B152="D08",$C152="G6"),BG151&amp;IF(BG151="","",CHAR(10))&amp;$A152,BG151)</f>
        <v/>
      </c>
      <c r="BH152" s="0" t="str">
        <f aca="false">IF(AND($B152="D09",$C152="G0"),BH151&amp;IF(BH151="","",CHAR(10))&amp;$A152,BH151)</f>
        <v/>
      </c>
      <c r="BI152" s="0" t="str">
        <f aca="false">IF(AND($B152="D09",$C152="G1"),BI151&amp;IF(BI151="","",CHAR(10))&amp;$A152,BI151)</f>
        <v/>
      </c>
      <c r="BJ152" s="0" t="str">
        <f aca="false">IF(AND($B152="D09",$C152="G2"),BJ151&amp;IF(BJ151="","",CHAR(10))&amp;$A152,BJ151)</f>
        <v>◐ 050 整合採購與供應商治理</v>
      </c>
      <c r="BK152" s="0" t="str">
        <f aca="false">IF(AND($B152="D09",$C152="G3"),BK151&amp;IF(BK151="","",CHAR(10))&amp;$A152,BK151)</f>
        <v/>
      </c>
      <c r="BL152" s="363" t="str">
        <f aca="false">IF(AND($B152="D09",$C152="G4"),BL151&amp;IF(BL151="","",CHAR(10))&amp;$A152,BL151)</f>
        <v>◐ 051 藥品耗材與SPD物流
◐ 052 冷鏈與特殊物料
● 053 CMMS與設施維運</v>
      </c>
      <c r="BM152" s="0" t="str">
        <f aca="false">IF(AND($B152="D09",$C152="G5"),BM151&amp;IF(BM151="","",CHAR(10))&amp;$A152,BM151)</f>
        <v>◐ 054 在地備品、維修與汰換</v>
      </c>
      <c r="BN152" s="0" t="str">
        <f aca="false">IF(AND($B152="D09",$C152="G6"),BN151&amp;IF(BN151="","",CHAR(10))&amp;$A152,BN151)</f>
        <v/>
      </c>
      <c r="BO152" s="0" t="str">
        <f aca="false">IF(AND($B152="D10",$C152="G0"),BO151&amp;IF(BO151="","",CHAR(10))&amp;$A152,BO151)</f>
        <v/>
      </c>
      <c r="BP152" s="0" t="str">
        <f aca="false">IF(AND($B152="D10",$C152="G1"),BP151&amp;IF(BP151="","",CHAR(10))&amp;$A152,BP151)</f>
        <v>◐ 055 全生命週期成本模型</v>
      </c>
      <c r="BQ152" s="0" t="str">
        <f aca="false">IF(AND($B152="D10",$C152="G2"),BQ151&amp;IF(BQ151="","",CHAR(10))&amp;$A152,BQ151)</f>
        <v>◐ 059 PPP／JV財務與風險分配</v>
      </c>
      <c r="BR152" s="0" t="str">
        <f aca="false">IF(AND($B152="D10",$C152="G3"),BR151&amp;IF(BR151="","",CHAR(10))&amp;$A152,BR151)</f>
        <v/>
      </c>
      <c r="BS152" s="363" t="str">
        <f aca="false">IF(AND($B152="D10",$C152="G4"),BS151&amp;IF(BS151="","",CHAR(10))&amp;$A152,BS151)</f>
        <v>○ 056 健保申報與數位理賠
○ 057 現金流、支付與收入週期</v>
      </c>
      <c r="BT152" s="0" t="str">
        <f aca="false">IF(AND($B152="D10",$C152="G5"),BT151&amp;IF(BT151="","",CHAR(10))&amp;$A152,BT151)</f>
        <v>○ 058 國際醫療與高價值服務</v>
      </c>
      <c r="BU152" s="0" t="str">
        <f aca="false">IF(AND($B152="D10",$C152="G6"),BU151&amp;IF(BU151="","",CHAR(10))&amp;$A152,BU151)</f>
        <v>◐ 060 效益實現與複製藍圖</v>
      </c>
      <c r="BX152" s="0" t="str">
        <f aca="false">IF(AND(03_能力總表_Master!$A152&lt;&gt;"",LEFT(03_能力總表_Master!$H152,2)="缺口"),MAX($BX$4:BX151)+1,"")</f>
        <v/>
      </c>
      <c r="BY152" s="0" t="str">
        <f aca="false">IF(AND(03_能力總表_Master!$A152&lt;&gt;"",03_能力總表_Master!$J152=12_夥伴視角_PartnerView!$C$4),MAX($BY$4:BY151)+1,"")</f>
        <v/>
      </c>
      <c r="CC152" s="0" t="str">
        <f aca="false">IF(AND(03_能力總表_Master!$A152&lt;&gt;"",IFERROR(INDEX(16_能力商機矩陣_CapOppMap!$D152:$CO152,MATCH(LEFT(17_商機作戰卡_OppView!$C$4,6),16_能力商機矩陣_CapOppMap!$D$4:$CO$4,0)),"")="✓"),MAX($CC$4:CC151)+1,"")</f>
        <v/>
      </c>
    </row>
    <row r="153" customFormat="false" ht="95.5" hidden="false" customHeight="false" outlineLevel="0" collapsed="false">
      <c r="A153" s="0" t="str">
        <f aca="false">IF(03_能力總表_Master!$A153="","",IF(LEFT(03_能力總表_Master!$H153,2)="群晶","● ",IF(ISNUMBER(SEARCH("已確認",03_能力總表_Master!$H153)),"◆ ",IF(ISNUMBER(SEARCH("缺口",03_能力總表_Master!$H153)),"○ ","◐ ")))&amp;RIGHT(03_能力總表_Master!$A153,3)&amp;" "&amp;03_能力總表_Master!$E153)</f>
        <v/>
      </c>
      <c r="B153" s="0" t="str">
        <f aca="false">IF(03_能力總表_Master!$A153="","",LEFT(03_能力總表_Master!$B153,3))</f>
        <v/>
      </c>
      <c r="C153" s="0" t="str">
        <f aca="false">IF(03_能力總表_Master!$A153="","",03_能力總表_Master!$C153)</f>
        <v/>
      </c>
      <c r="D153" s="363" t="str">
        <f aca="false">IF(AND($B153="D01",$C153="G0"),D152&amp;IF(D152="","",CHAR(10))&amp;$A153,D152)</f>
        <v>◐ 001 政府授權與計畫章程
◐ 002 利害關係人與權力地圖
◐ 005 聯盟治理與利益衝突</v>
      </c>
      <c r="E153" s="363" t="str">
        <f aca="false">IF(AND($B153="D01",$C153="G1"),E152&amp;IF(E152="","",CHAR(10))&amp;$A153,E152)</f>
        <v>◐ 003 交易模式選擇
◐ 004 法規與執照路徑</v>
      </c>
      <c r="F153" s="0" t="str">
        <f aca="false">IF(AND($B153="D01",$C153="G2"),F152&amp;IF(F152="","",CHAR(10))&amp;$A153,F152)</f>
        <v>◐ 006 績效契約與變更控制</v>
      </c>
      <c r="G153" s="0" t="str">
        <f aca="false">IF(AND($B153="D01",$C153="G3"),G152&amp;IF(G152="","",CHAR(10))&amp;$A153,G152)</f>
        <v/>
      </c>
      <c r="H153" s="0" t="str">
        <f aca="false">IF(AND($B153="D01",$C153="G4"),H152&amp;IF(H152="","",CHAR(10))&amp;$A153,H152)</f>
        <v/>
      </c>
      <c r="I153" s="0" t="str">
        <f aca="false">IF(AND($B153="D01",$C153="G5"),I152&amp;IF(I152="","",CHAR(10))&amp;$A153,I152)</f>
        <v/>
      </c>
      <c r="J153" s="0" t="str">
        <f aca="false">IF(AND($B153="D01",$C153="G6"),J152&amp;IF(J152="","",CHAR(10))&amp;$A153,J152)</f>
        <v/>
      </c>
      <c r="K153" s="0" t="str">
        <f aca="false">IF(AND($B153="D02",$C153="G0"),K152&amp;IF(K152="","",CHAR(10))&amp;$A153,K152)</f>
        <v/>
      </c>
      <c r="L153" s="363" t="str">
        <f aca="false">IF(AND($B153="D02",$C153="G1"),L152&amp;IF(L152="","",CHAR(10))&amp;$A153,L152)</f>
        <v>◐ 007 人口需求與病例量預測
◐ 008 醫院定位與服務組合
◐ 009 重點專科優先化
◐ 010 病人流程與容量設計
◐ 011 轉診與區域照護網絡
◐ 012 臨床治理與責任架構</v>
      </c>
      <c r="M153" s="0" t="str">
        <f aca="false">IF(AND($B153="D02",$C153="G2"),M152&amp;IF(M152="","",CHAR(10))&amp;$A153,M152)</f>
        <v/>
      </c>
      <c r="N153" s="0" t="str">
        <f aca="false">IF(AND($B153="D02",$C153="G3"),N152&amp;IF(N152="","",CHAR(10))&amp;$A153,N152)</f>
        <v/>
      </c>
      <c r="O153" s="0" t="str">
        <f aca="false">IF(AND($B153="D02",$C153="G4"),O152&amp;IF(O152="","",CHAR(10))&amp;$A153,O152)</f>
        <v/>
      </c>
      <c r="P153" s="0" t="str">
        <f aca="false">IF(AND($B153="D02",$C153="G5"),P152&amp;IF(P152="","",CHAR(10))&amp;$A153,P152)</f>
        <v/>
      </c>
      <c r="Q153" s="0" t="str">
        <f aca="false">IF(AND($B153="D02",$C153="G6"),Q152&amp;IF(Q152="","",CHAR(10))&amp;$A153,Q152)</f>
        <v/>
      </c>
      <c r="R153" s="0" t="str">
        <f aca="false">IF(AND($B153="D03",$C153="G0"),R152&amp;IF(R152="","",CHAR(10))&amp;$A153,R152)</f>
        <v/>
      </c>
      <c r="S153" s="0" t="str">
        <f aca="false">IF(AND($B153="D03",$C153="G1"),S152&amp;IF(S152="","",CHAR(10))&amp;$A153,S152)</f>
        <v>◐ 013 場址與醫院總體規劃</v>
      </c>
      <c r="T153" s="363" t="str">
        <f aca="false">IF(AND($B153="D03",$C153="G2"),T152&amp;IF(T152="","",CHAR(10))&amp;$A153,T152)</f>
        <v>◐ 014 醫療建築功能計畫
◐ 015 感染控制與潔污動線
◐ 019 綠色與氣候韌性醫院</v>
      </c>
      <c r="U153" s="363" t="str">
        <f aca="false">IF(AND($B153="D03",$C153="G3"),U152&amp;IF(U152="","",CHAR(10))&amp;$A153,U152)</f>
        <v>● 016 電力、備援與微電網
◐ 017 醫療氣體與關鍵公用系統
◐ 018 醫療廢棄物與水資源</v>
      </c>
      <c r="V153" s="0" t="str">
        <f aca="false">IF(AND($B153="D03",$C153="G4"),V152&amp;IF(V152="","",CHAR(10))&amp;$A153,V152)</f>
        <v/>
      </c>
      <c r="W153" s="0" t="str">
        <f aca="false">IF(AND($B153="D03",$C153="G5"),W152&amp;IF(W152="","",CHAR(10))&amp;$A153,W152)</f>
        <v/>
      </c>
      <c r="X153" s="0" t="str">
        <f aca="false">IF(AND($B153="D03",$C153="G6"),X152&amp;IF(X152="","",CHAR(10))&amp;$A153,X152)</f>
        <v/>
      </c>
      <c r="Y153" s="0" t="str">
        <f aca="false">IF(AND($B153="D04",$C153="G0"),Y152&amp;IF(Y152="","",CHAR(10))&amp;$A153,Y152)</f>
        <v/>
      </c>
      <c r="Z153" s="0" t="str">
        <f aca="false">IF(AND($B153="D04",$C153="G1"),Z152&amp;IF(Z152="","",CHAR(10))&amp;$A153,Z152)</f>
        <v/>
      </c>
      <c r="AA153" s="0" t="str">
        <f aca="false">IF(AND($B153="D04",$C153="G2"),AA152&amp;IF(AA152="","",CHAR(10))&amp;$A153,AA152)</f>
        <v/>
      </c>
      <c r="AB153" s="0" t="str">
        <f aca="false">IF(AND($B153="D04",$C153="G3"),AB152&amp;IF(AB152="","",CHAR(10))&amp;$A153,AB152)</f>
        <v>● 020 IDC與邊緣運算底座</v>
      </c>
      <c r="AC153" s="363" t="str">
        <f aca="false">IF(AND($B153="D04",$C153="G4"),AC152&amp;IF(AC152="","",CHAR(10))&amp;$A153,AC152)</f>
        <v>● 021 有線無線網路與分區
◐ 022 資安營運與零信任
● 023 BMS與能源管理
● 024 RTLS與資產／人員定位
● 025 智慧病房、護理呼叫與感測
● 026 災難復原與營運持續</v>
      </c>
      <c r="AD153" s="0" t="str">
        <f aca="false">IF(AND($B153="D04",$C153="G5"),AD152&amp;IF(AD152="","",CHAR(10))&amp;$A153,AD152)</f>
        <v/>
      </c>
      <c r="AE153" s="0" t="str">
        <f aca="false">IF(AND($B153="D04",$C153="G6"),AE152&amp;IF(AE152="","",CHAR(10))&amp;$A153,AE152)</f>
        <v/>
      </c>
      <c r="AF153" s="0" t="str">
        <f aca="false">IF(AND($B153="D05",$C153="G0"),AF152&amp;IF(AF152="","",CHAR(10))&amp;$A153,AF152)</f>
        <v/>
      </c>
      <c r="AG153" s="0" t="str">
        <f aca="false">IF(AND($B153="D05",$C153="G1"),AG152&amp;IF(AG152="","",CHAR(10))&amp;$A153,AG152)</f>
        <v/>
      </c>
      <c r="AH153" s="0" t="str">
        <f aca="false">IF(AND($B153="D05",$C153="G2"),AH152&amp;IF(AH152="","",CHAR(10))&amp;$A153,AH152)</f>
        <v>◐ 027 醫材需求與設備計畫</v>
      </c>
      <c r="AI153" s="0" t="str">
        <f aca="false">IF(AND($B153="D05",$C153="G3"),AI152&amp;IF(AI152="","",CHAR(10))&amp;$A153,AI152)</f>
        <v/>
      </c>
      <c r="AJ153" s="363" t="str">
        <f aca="false">IF(AND($B153="D05",$C153="G4"),AJ152&amp;IF(AJ152="","",CHAR(10))&amp;$A153,AJ152)</f>
        <v>○ 028 影像設備、PACS與報告流程
○ 029 實驗室自動化與LIS
○ 030 手術室與重症整合
◐ 031 醫材介接與裝置身分
◐ 032 醫療工程與設備生命週期</v>
      </c>
      <c r="AK153" s="0" t="str">
        <f aca="false">IF(AND($B153="D05",$C153="G5"),AK152&amp;IF(AK152="","",CHAR(10))&amp;$A153,AK152)</f>
        <v/>
      </c>
      <c r="AL153" s="0" t="str">
        <f aca="false">IF(AND($B153="D05",$C153="G6"),AL152&amp;IF(AL152="","",CHAR(10))&amp;$A153,AL152)</f>
        <v/>
      </c>
      <c r="AM153" s="0" t="str">
        <f aca="false">IF(AND($B153="D06",$C153="G0"),AM152&amp;IF(AM152="","",CHAR(10))&amp;$A153,AM152)</f>
        <v/>
      </c>
      <c r="AN153" s="0" t="str">
        <f aca="false">IF(AND($B153="D06",$C153="G1"),AN152&amp;IF(AN152="","",CHAR(10))&amp;$A153,AN152)</f>
        <v/>
      </c>
      <c r="AO153" s="0" t="str">
        <f aca="false">IF(AND($B153="D06",$C153="G2"),AO152&amp;IF(AO152="","",CHAR(10))&amp;$A153,AO152)</f>
        <v/>
      </c>
      <c r="AP153" s="363" t="str">
        <f aca="false">IF(AND($B153="D06",$C153="G3"),AP152&amp;IF(AP152="","",CHAR(10))&amp;$A153,AP152)</f>
        <v>◐ 033 HIS／EMR核心平台
◐ 036 臨床術語與主資料治理</v>
      </c>
      <c r="AQ153" s="363" t="str">
        <f aca="false">IF(AND($B153="D06",$C153="G4"),AQ152&amp;IF(AQ152="","",CHAR(10))&amp;$A153,AQ152)</f>
        <v>◐ 034 FHIR介接與API管理
○ 035 主病人索引與身分整合
◐ 037 電子醫囑、用藥與決策支援
◐ 038 資料平台、BI與營運指揮</v>
      </c>
      <c r="AR153" s="0" t="str">
        <f aca="false">IF(AND($B153="D06",$C153="G5"),AR152&amp;IF(AR152="","",CHAR(10))&amp;$A153,AR152)</f>
        <v>○ 039 病人入口、行動服務與VNeID準備</v>
      </c>
      <c r="AS153" s="0" t="str">
        <f aca="false">IF(AND($B153="D06",$C153="G6"),AS152&amp;IF(AS152="","",CHAR(10))&amp;$A153,AS152)</f>
        <v/>
      </c>
      <c r="AT153" s="0" t="str">
        <f aca="false">IF(AND($B153="D07",$C153="G0"),AT152&amp;IF(AT152="","",CHAR(10))&amp;$A153,AT152)</f>
        <v/>
      </c>
      <c r="AU153" s="0" t="str">
        <f aca="false">IF(AND($B153="D07",$C153="G1"),AU152&amp;IF(AU152="","",CHAR(10))&amp;$A153,AU152)</f>
        <v/>
      </c>
      <c r="AV153" s="0" t="str">
        <f aca="false">IF(AND($B153="D07",$C153="G2"),AV152&amp;IF(AV152="","",CHAR(10))&amp;$A153,AV152)</f>
        <v>◐ 040 品質管理與JCI路線圖</v>
      </c>
      <c r="AW153" s="363" t="str">
        <f aca="false">IF(AND($B153="D07",$C153="G3"),AW152&amp;IF(AW152="","",CHAR(10))&amp;$A153,AW152)</f>
        <v>◐ 041 感染預防與控制制度
◐ 043 事件通報與根因改善</v>
      </c>
      <c r="AX153" s="0" t="str">
        <f aca="false">IF(AND($B153="D07",$C153="G4"),AX152&amp;IF(AX152="","",CHAR(10))&amp;$A153,AX152)</f>
        <v>◐ 042 用藥安全閉環</v>
      </c>
      <c r="AY153" s="0" t="str">
        <f aca="false">IF(AND($B153="D07",$C153="G5"),AY152&amp;IF(AY152="","",CHAR(10))&amp;$A153,AY152)</f>
        <v>◐ 044 開院臨床安全驗證</v>
      </c>
      <c r="AZ153" s="0" t="str">
        <f aca="false">IF(AND($B153="D07",$C153="G6"),AZ152&amp;IF(AZ152="","",CHAR(10))&amp;$A153,AZ152)</f>
        <v/>
      </c>
      <c r="BA153" s="0" t="str">
        <f aca="false">IF(AND($B153="D08",$C153="G0"),BA152&amp;IF(BA152="","",CHAR(10))&amp;$A153,BA152)</f>
        <v/>
      </c>
      <c r="BB153" s="0" t="str">
        <f aca="false">IF(AND($B153="D08",$C153="G1"),BB152&amp;IF(BB152="","",CHAR(10))&amp;$A153,BB152)</f>
        <v/>
      </c>
      <c r="BC153" s="0" t="str">
        <f aca="false">IF(AND($B153="D08",$C153="G2"),BC152&amp;IF(BC152="","",CHAR(10))&amp;$A153,BC152)</f>
        <v>○ 045 人力與輪班模型</v>
      </c>
      <c r="BD153" s="0" t="str">
        <f aca="false">IF(AND($B153="D08",$C153="G3"),BD152&amp;IF(BD152="","",CHAR(10))&amp;$A153,BD152)</f>
        <v>◐ 046 職能矩陣與授權</v>
      </c>
      <c r="BE153" s="363" t="str">
        <f aca="false">IF(AND($B153="D08",$C153="G4"),BE152&amp;IF(BE152="","",CHAR(10))&amp;$A153,BE152)</f>
        <v>◐ 047 種子教師與技術移轉
◐ 049 變革管理與使用者採納</v>
      </c>
      <c r="BF153" s="0" t="str">
        <f aca="false">IF(AND($B153="D08",$C153="G5"),BF152&amp;IF(BF152="","",CHAR(10))&amp;$A153,BF152)</f>
        <v>◐ 048 模擬中心與開院演練</v>
      </c>
      <c r="BG153" s="0" t="str">
        <f aca="false">IF(AND($B153="D08",$C153="G6"),BG152&amp;IF(BG152="","",CHAR(10))&amp;$A153,BG152)</f>
        <v/>
      </c>
      <c r="BH153" s="0" t="str">
        <f aca="false">IF(AND($B153="D09",$C153="G0"),BH152&amp;IF(BH152="","",CHAR(10))&amp;$A153,BH152)</f>
        <v/>
      </c>
      <c r="BI153" s="0" t="str">
        <f aca="false">IF(AND($B153="D09",$C153="G1"),BI152&amp;IF(BI152="","",CHAR(10))&amp;$A153,BI152)</f>
        <v/>
      </c>
      <c r="BJ153" s="0" t="str">
        <f aca="false">IF(AND($B153="D09",$C153="G2"),BJ152&amp;IF(BJ152="","",CHAR(10))&amp;$A153,BJ152)</f>
        <v>◐ 050 整合採購與供應商治理</v>
      </c>
      <c r="BK153" s="0" t="str">
        <f aca="false">IF(AND($B153="D09",$C153="G3"),BK152&amp;IF(BK152="","",CHAR(10))&amp;$A153,BK152)</f>
        <v/>
      </c>
      <c r="BL153" s="363" t="str">
        <f aca="false">IF(AND($B153="D09",$C153="G4"),BL152&amp;IF(BL152="","",CHAR(10))&amp;$A153,BL152)</f>
        <v>◐ 051 藥品耗材與SPD物流
◐ 052 冷鏈與特殊物料
● 053 CMMS與設施維運</v>
      </c>
      <c r="BM153" s="0" t="str">
        <f aca="false">IF(AND($B153="D09",$C153="G5"),BM152&amp;IF(BM152="","",CHAR(10))&amp;$A153,BM152)</f>
        <v>◐ 054 在地備品、維修與汰換</v>
      </c>
      <c r="BN153" s="0" t="str">
        <f aca="false">IF(AND($B153="D09",$C153="G6"),BN152&amp;IF(BN152="","",CHAR(10))&amp;$A153,BN152)</f>
        <v/>
      </c>
      <c r="BO153" s="0" t="str">
        <f aca="false">IF(AND($B153="D10",$C153="G0"),BO152&amp;IF(BO152="","",CHAR(10))&amp;$A153,BO152)</f>
        <v/>
      </c>
      <c r="BP153" s="0" t="str">
        <f aca="false">IF(AND($B153="D10",$C153="G1"),BP152&amp;IF(BP152="","",CHAR(10))&amp;$A153,BP152)</f>
        <v>◐ 055 全生命週期成本模型</v>
      </c>
      <c r="BQ153" s="0" t="str">
        <f aca="false">IF(AND($B153="D10",$C153="G2"),BQ152&amp;IF(BQ152="","",CHAR(10))&amp;$A153,BQ152)</f>
        <v>◐ 059 PPP／JV財務與風險分配</v>
      </c>
      <c r="BR153" s="0" t="str">
        <f aca="false">IF(AND($B153="D10",$C153="G3"),BR152&amp;IF(BR152="","",CHAR(10))&amp;$A153,BR152)</f>
        <v/>
      </c>
      <c r="BS153" s="363" t="str">
        <f aca="false">IF(AND($B153="D10",$C153="G4"),BS152&amp;IF(BS152="","",CHAR(10))&amp;$A153,BS152)</f>
        <v>○ 056 健保申報與數位理賠
○ 057 現金流、支付與收入週期</v>
      </c>
      <c r="BT153" s="0" t="str">
        <f aca="false">IF(AND($B153="D10",$C153="G5"),BT152&amp;IF(BT152="","",CHAR(10))&amp;$A153,BT152)</f>
        <v>○ 058 國際醫療與高價值服務</v>
      </c>
      <c r="BU153" s="0" t="str">
        <f aca="false">IF(AND($B153="D10",$C153="G6"),BU152&amp;IF(BU152="","",CHAR(10))&amp;$A153,BU152)</f>
        <v>◐ 060 效益實現與複製藍圖</v>
      </c>
      <c r="BX153" s="0" t="str">
        <f aca="false">IF(AND(03_能力總表_Master!$A153&lt;&gt;"",LEFT(03_能力總表_Master!$H153,2)="缺口"),MAX($BX$4:BX152)+1,"")</f>
        <v/>
      </c>
      <c r="BY153" s="0" t="str">
        <f aca="false">IF(AND(03_能力總表_Master!$A153&lt;&gt;"",03_能力總表_Master!$J153=12_夥伴視角_PartnerView!$C$4),MAX($BY$4:BY152)+1,"")</f>
        <v/>
      </c>
      <c r="CC153" s="0" t="str">
        <f aca="false">IF(AND(03_能力總表_Master!$A153&lt;&gt;"",IFERROR(INDEX(16_能力商機矩陣_CapOppMap!$D153:$CO153,MATCH(LEFT(17_商機作戰卡_OppView!$C$4,6),16_能力商機矩陣_CapOppMap!$D$4:$CO$4,0)),"")="✓"),MAX($CC$4:CC152)+1,"")</f>
        <v/>
      </c>
    </row>
    <row r="154" customFormat="false" ht="95.5" hidden="false" customHeight="false" outlineLevel="0" collapsed="false">
      <c r="A154" s="0" t="str">
        <f aca="false">IF(03_能力總表_Master!$A154="","",IF(LEFT(03_能力總表_Master!$H154,2)="群晶","● ",IF(ISNUMBER(SEARCH("已確認",03_能力總表_Master!$H154)),"◆ ",IF(ISNUMBER(SEARCH("缺口",03_能力總表_Master!$H154)),"○ ","◐ ")))&amp;RIGHT(03_能力總表_Master!$A154,3)&amp;" "&amp;03_能力總表_Master!$E154)</f>
        <v/>
      </c>
      <c r="B154" s="0" t="str">
        <f aca="false">IF(03_能力總表_Master!$A154="","",LEFT(03_能力總表_Master!$B154,3))</f>
        <v/>
      </c>
      <c r="C154" s="0" t="str">
        <f aca="false">IF(03_能力總表_Master!$A154="","",03_能力總表_Master!$C154)</f>
        <v/>
      </c>
      <c r="D154" s="363" t="str">
        <f aca="false">IF(AND($B154="D01",$C154="G0"),D153&amp;IF(D153="","",CHAR(10))&amp;$A154,D153)</f>
        <v>◐ 001 政府授權與計畫章程
◐ 002 利害關係人與權力地圖
◐ 005 聯盟治理與利益衝突</v>
      </c>
      <c r="E154" s="363" t="str">
        <f aca="false">IF(AND($B154="D01",$C154="G1"),E153&amp;IF(E153="","",CHAR(10))&amp;$A154,E153)</f>
        <v>◐ 003 交易模式選擇
◐ 004 法規與執照路徑</v>
      </c>
      <c r="F154" s="0" t="str">
        <f aca="false">IF(AND($B154="D01",$C154="G2"),F153&amp;IF(F153="","",CHAR(10))&amp;$A154,F153)</f>
        <v>◐ 006 績效契約與變更控制</v>
      </c>
      <c r="G154" s="0" t="str">
        <f aca="false">IF(AND($B154="D01",$C154="G3"),G153&amp;IF(G153="","",CHAR(10))&amp;$A154,G153)</f>
        <v/>
      </c>
      <c r="H154" s="0" t="str">
        <f aca="false">IF(AND($B154="D01",$C154="G4"),H153&amp;IF(H153="","",CHAR(10))&amp;$A154,H153)</f>
        <v/>
      </c>
      <c r="I154" s="0" t="str">
        <f aca="false">IF(AND($B154="D01",$C154="G5"),I153&amp;IF(I153="","",CHAR(10))&amp;$A154,I153)</f>
        <v/>
      </c>
      <c r="J154" s="0" t="str">
        <f aca="false">IF(AND($B154="D01",$C154="G6"),J153&amp;IF(J153="","",CHAR(10))&amp;$A154,J153)</f>
        <v/>
      </c>
      <c r="K154" s="0" t="str">
        <f aca="false">IF(AND($B154="D02",$C154="G0"),K153&amp;IF(K153="","",CHAR(10))&amp;$A154,K153)</f>
        <v/>
      </c>
      <c r="L154" s="363" t="str">
        <f aca="false">IF(AND($B154="D02",$C154="G1"),L153&amp;IF(L153="","",CHAR(10))&amp;$A154,L153)</f>
        <v>◐ 007 人口需求與病例量預測
◐ 008 醫院定位與服務組合
◐ 009 重點專科優先化
◐ 010 病人流程與容量設計
◐ 011 轉診與區域照護網絡
◐ 012 臨床治理與責任架構</v>
      </c>
      <c r="M154" s="0" t="str">
        <f aca="false">IF(AND($B154="D02",$C154="G2"),M153&amp;IF(M153="","",CHAR(10))&amp;$A154,M153)</f>
        <v/>
      </c>
      <c r="N154" s="0" t="str">
        <f aca="false">IF(AND($B154="D02",$C154="G3"),N153&amp;IF(N153="","",CHAR(10))&amp;$A154,N153)</f>
        <v/>
      </c>
      <c r="O154" s="0" t="str">
        <f aca="false">IF(AND($B154="D02",$C154="G4"),O153&amp;IF(O153="","",CHAR(10))&amp;$A154,O153)</f>
        <v/>
      </c>
      <c r="P154" s="0" t="str">
        <f aca="false">IF(AND($B154="D02",$C154="G5"),P153&amp;IF(P153="","",CHAR(10))&amp;$A154,P153)</f>
        <v/>
      </c>
      <c r="Q154" s="0" t="str">
        <f aca="false">IF(AND($B154="D02",$C154="G6"),Q153&amp;IF(Q153="","",CHAR(10))&amp;$A154,Q153)</f>
        <v/>
      </c>
      <c r="R154" s="0" t="str">
        <f aca="false">IF(AND($B154="D03",$C154="G0"),R153&amp;IF(R153="","",CHAR(10))&amp;$A154,R153)</f>
        <v/>
      </c>
      <c r="S154" s="0" t="str">
        <f aca="false">IF(AND($B154="D03",$C154="G1"),S153&amp;IF(S153="","",CHAR(10))&amp;$A154,S153)</f>
        <v>◐ 013 場址與醫院總體規劃</v>
      </c>
      <c r="T154" s="363" t="str">
        <f aca="false">IF(AND($B154="D03",$C154="G2"),T153&amp;IF(T153="","",CHAR(10))&amp;$A154,T153)</f>
        <v>◐ 014 醫療建築功能計畫
◐ 015 感染控制與潔污動線
◐ 019 綠色與氣候韌性醫院</v>
      </c>
      <c r="U154" s="363" t="str">
        <f aca="false">IF(AND($B154="D03",$C154="G3"),U153&amp;IF(U153="","",CHAR(10))&amp;$A154,U153)</f>
        <v>● 016 電力、備援與微電網
◐ 017 醫療氣體與關鍵公用系統
◐ 018 醫療廢棄物與水資源</v>
      </c>
      <c r="V154" s="0" t="str">
        <f aca="false">IF(AND($B154="D03",$C154="G4"),V153&amp;IF(V153="","",CHAR(10))&amp;$A154,V153)</f>
        <v/>
      </c>
      <c r="W154" s="0" t="str">
        <f aca="false">IF(AND($B154="D03",$C154="G5"),W153&amp;IF(W153="","",CHAR(10))&amp;$A154,W153)</f>
        <v/>
      </c>
      <c r="X154" s="0" t="str">
        <f aca="false">IF(AND($B154="D03",$C154="G6"),X153&amp;IF(X153="","",CHAR(10))&amp;$A154,X153)</f>
        <v/>
      </c>
      <c r="Y154" s="0" t="str">
        <f aca="false">IF(AND($B154="D04",$C154="G0"),Y153&amp;IF(Y153="","",CHAR(10))&amp;$A154,Y153)</f>
        <v/>
      </c>
      <c r="Z154" s="0" t="str">
        <f aca="false">IF(AND($B154="D04",$C154="G1"),Z153&amp;IF(Z153="","",CHAR(10))&amp;$A154,Z153)</f>
        <v/>
      </c>
      <c r="AA154" s="0" t="str">
        <f aca="false">IF(AND($B154="D04",$C154="G2"),AA153&amp;IF(AA153="","",CHAR(10))&amp;$A154,AA153)</f>
        <v/>
      </c>
      <c r="AB154" s="0" t="str">
        <f aca="false">IF(AND($B154="D04",$C154="G3"),AB153&amp;IF(AB153="","",CHAR(10))&amp;$A154,AB153)</f>
        <v>● 020 IDC與邊緣運算底座</v>
      </c>
      <c r="AC154" s="363" t="str">
        <f aca="false">IF(AND($B154="D04",$C154="G4"),AC153&amp;IF(AC153="","",CHAR(10))&amp;$A154,AC153)</f>
        <v>● 021 有線無線網路與分區
◐ 022 資安營運與零信任
● 023 BMS與能源管理
● 024 RTLS與資產／人員定位
● 025 智慧病房、護理呼叫與感測
● 026 災難復原與營運持續</v>
      </c>
      <c r="AD154" s="0" t="str">
        <f aca="false">IF(AND($B154="D04",$C154="G5"),AD153&amp;IF(AD153="","",CHAR(10))&amp;$A154,AD153)</f>
        <v/>
      </c>
      <c r="AE154" s="0" t="str">
        <f aca="false">IF(AND($B154="D04",$C154="G6"),AE153&amp;IF(AE153="","",CHAR(10))&amp;$A154,AE153)</f>
        <v/>
      </c>
      <c r="AF154" s="0" t="str">
        <f aca="false">IF(AND($B154="D05",$C154="G0"),AF153&amp;IF(AF153="","",CHAR(10))&amp;$A154,AF153)</f>
        <v/>
      </c>
      <c r="AG154" s="0" t="str">
        <f aca="false">IF(AND($B154="D05",$C154="G1"),AG153&amp;IF(AG153="","",CHAR(10))&amp;$A154,AG153)</f>
        <v/>
      </c>
      <c r="AH154" s="0" t="str">
        <f aca="false">IF(AND($B154="D05",$C154="G2"),AH153&amp;IF(AH153="","",CHAR(10))&amp;$A154,AH153)</f>
        <v>◐ 027 醫材需求與設備計畫</v>
      </c>
      <c r="AI154" s="0" t="str">
        <f aca="false">IF(AND($B154="D05",$C154="G3"),AI153&amp;IF(AI153="","",CHAR(10))&amp;$A154,AI153)</f>
        <v/>
      </c>
      <c r="AJ154" s="363" t="str">
        <f aca="false">IF(AND($B154="D05",$C154="G4"),AJ153&amp;IF(AJ153="","",CHAR(10))&amp;$A154,AJ153)</f>
        <v>○ 028 影像設備、PACS與報告流程
○ 029 實驗室自動化與LIS
○ 030 手術室與重症整合
◐ 031 醫材介接與裝置身分
◐ 032 醫療工程與設備生命週期</v>
      </c>
      <c r="AK154" s="0" t="str">
        <f aca="false">IF(AND($B154="D05",$C154="G5"),AK153&amp;IF(AK153="","",CHAR(10))&amp;$A154,AK153)</f>
        <v/>
      </c>
      <c r="AL154" s="0" t="str">
        <f aca="false">IF(AND($B154="D05",$C154="G6"),AL153&amp;IF(AL153="","",CHAR(10))&amp;$A154,AL153)</f>
        <v/>
      </c>
      <c r="AM154" s="0" t="str">
        <f aca="false">IF(AND($B154="D06",$C154="G0"),AM153&amp;IF(AM153="","",CHAR(10))&amp;$A154,AM153)</f>
        <v/>
      </c>
      <c r="AN154" s="0" t="str">
        <f aca="false">IF(AND($B154="D06",$C154="G1"),AN153&amp;IF(AN153="","",CHAR(10))&amp;$A154,AN153)</f>
        <v/>
      </c>
      <c r="AO154" s="0" t="str">
        <f aca="false">IF(AND($B154="D06",$C154="G2"),AO153&amp;IF(AO153="","",CHAR(10))&amp;$A154,AO153)</f>
        <v/>
      </c>
      <c r="AP154" s="363" t="str">
        <f aca="false">IF(AND($B154="D06",$C154="G3"),AP153&amp;IF(AP153="","",CHAR(10))&amp;$A154,AP153)</f>
        <v>◐ 033 HIS／EMR核心平台
◐ 036 臨床術語與主資料治理</v>
      </c>
      <c r="AQ154" s="363" t="str">
        <f aca="false">IF(AND($B154="D06",$C154="G4"),AQ153&amp;IF(AQ153="","",CHAR(10))&amp;$A154,AQ153)</f>
        <v>◐ 034 FHIR介接與API管理
○ 035 主病人索引與身分整合
◐ 037 電子醫囑、用藥與決策支援
◐ 038 資料平台、BI與營運指揮</v>
      </c>
      <c r="AR154" s="0" t="str">
        <f aca="false">IF(AND($B154="D06",$C154="G5"),AR153&amp;IF(AR153="","",CHAR(10))&amp;$A154,AR153)</f>
        <v>○ 039 病人入口、行動服務與VNeID準備</v>
      </c>
      <c r="AS154" s="0" t="str">
        <f aca="false">IF(AND($B154="D06",$C154="G6"),AS153&amp;IF(AS153="","",CHAR(10))&amp;$A154,AS153)</f>
        <v/>
      </c>
      <c r="AT154" s="0" t="str">
        <f aca="false">IF(AND($B154="D07",$C154="G0"),AT153&amp;IF(AT153="","",CHAR(10))&amp;$A154,AT153)</f>
        <v/>
      </c>
      <c r="AU154" s="0" t="str">
        <f aca="false">IF(AND($B154="D07",$C154="G1"),AU153&amp;IF(AU153="","",CHAR(10))&amp;$A154,AU153)</f>
        <v/>
      </c>
      <c r="AV154" s="0" t="str">
        <f aca="false">IF(AND($B154="D07",$C154="G2"),AV153&amp;IF(AV153="","",CHAR(10))&amp;$A154,AV153)</f>
        <v>◐ 040 品質管理與JCI路線圖</v>
      </c>
      <c r="AW154" s="363" t="str">
        <f aca="false">IF(AND($B154="D07",$C154="G3"),AW153&amp;IF(AW153="","",CHAR(10))&amp;$A154,AW153)</f>
        <v>◐ 041 感染預防與控制制度
◐ 043 事件通報與根因改善</v>
      </c>
      <c r="AX154" s="0" t="str">
        <f aca="false">IF(AND($B154="D07",$C154="G4"),AX153&amp;IF(AX153="","",CHAR(10))&amp;$A154,AX153)</f>
        <v>◐ 042 用藥安全閉環</v>
      </c>
      <c r="AY154" s="0" t="str">
        <f aca="false">IF(AND($B154="D07",$C154="G5"),AY153&amp;IF(AY153="","",CHAR(10))&amp;$A154,AY153)</f>
        <v>◐ 044 開院臨床安全驗證</v>
      </c>
      <c r="AZ154" s="0" t="str">
        <f aca="false">IF(AND($B154="D07",$C154="G6"),AZ153&amp;IF(AZ153="","",CHAR(10))&amp;$A154,AZ153)</f>
        <v/>
      </c>
      <c r="BA154" s="0" t="str">
        <f aca="false">IF(AND($B154="D08",$C154="G0"),BA153&amp;IF(BA153="","",CHAR(10))&amp;$A154,BA153)</f>
        <v/>
      </c>
      <c r="BB154" s="0" t="str">
        <f aca="false">IF(AND($B154="D08",$C154="G1"),BB153&amp;IF(BB153="","",CHAR(10))&amp;$A154,BB153)</f>
        <v/>
      </c>
      <c r="BC154" s="0" t="str">
        <f aca="false">IF(AND($B154="D08",$C154="G2"),BC153&amp;IF(BC153="","",CHAR(10))&amp;$A154,BC153)</f>
        <v>○ 045 人力與輪班模型</v>
      </c>
      <c r="BD154" s="0" t="str">
        <f aca="false">IF(AND($B154="D08",$C154="G3"),BD153&amp;IF(BD153="","",CHAR(10))&amp;$A154,BD153)</f>
        <v>◐ 046 職能矩陣與授權</v>
      </c>
      <c r="BE154" s="363" t="str">
        <f aca="false">IF(AND($B154="D08",$C154="G4"),BE153&amp;IF(BE153="","",CHAR(10))&amp;$A154,BE153)</f>
        <v>◐ 047 種子教師與技術移轉
◐ 049 變革管理與使用者採納</v>
      </c>
      <c r="BF154" s="0" t="str">
        <f aca="false">IF(AND($B154="D08",$C154="G5"),BF153&amp;IF(BF153="","",CHAR(10))&amp;$A154,BF153)</f>
        <v>◐ 048 模擬中心與開院演練</v>
      </c>
      <c r="BG154" s="0" t="str">
        <f aca="false">IF(AND($B154="D08",$C154="G6"),BG153&amp;IF(BG153="","",CHAR(10))&amp;$A154,BG153)</f>
        <v/>
      </c>
      <c r="BH154" s="0" t="str">
        <f aca="false">IF(AND($B154="D09",$C154="G0"),BH153&amp;IF(BH153="","",CHAR(10))&amp;$A154,BH153)</f>
        <v/>
      </c>
      <c r="BI154" s="0" t="str">
        <f aca="false">IF(AND($B154="D09",$C154="G1"),BI153&amp;IF(BI153="","",CHAR(10))&amp;$A154,BI153)</f>
        <v/>
      </c>
      <c r="BJ154" s="0" t="str">
        <f aca="false">IF(AND($B154="D09",$C154="G2"),BJ153&amp;IF(BJ153="","",CHAR(10))&amp;$A154,BJ153)</f>
        <v>◐ 050 整合採購與供應商治理</v>
      </c>
      <c r="BK154" s="0" t="str">
        <f aca="false">IF(AND($B154="D09",$C154="G3"),BK153&amp;IF(BK153="","",CHAR(10))&amp;$A154,BK153)</f>
        <v/>
      </c>
      <c r="BL154" s="363" t="str">
        <f aca="false">IF(AND($B154="D09",$C154="G4"),BL153&amp;IF(BL153="","",CHAR(10))&amp;$A154,BL153)</f>
        <v>◐ 051 藥品耗材與SPD物流
◐ 052 冷鏈與特殊物料
● 053 CMMS與設施維運</v>
      </c>
      <c r="BM154" s="0" t="str">
        <f aca="false">IF(AND($B154="D09",$C154="G5"),BM153&amp;IF(BM153="","",CHAR(10))&amp;$A154,BM153)</f>
        <v>◐ 054 在地備品、維修與汰換</v>
      </c>
      <c r="BN154" s="0" t="str">
        <f aca="false">IF(AND($B154="D09",$C154="G6"),BN153&amp;IF(BN153="","",CHAR(10))&amp;$A154,BN153)</f>
        <v/>
      </c>
      <c r="BO154" s="0" t="str">
        <f aca="false">IF(AND($B154="D10",$C154="G0"),BO153&amp;IF(BO153="","",CHAR(10))&amp;$A154,BO153)</f>
        <v/>
      </c>
      <c r="BP154" s="0" t="str">
        <f aca="false">IF(AND($B154="D10",$C154="G1"),BP153&amp;IF(BP153="","",CHAR(10))&amp;$A154,BP153)</f>
        <v>◐ 055 全生命週期成本模型</v>
      </c>
      <c r="BQ154" s="0" t="str">
        <f aca="false">IF(AND($B154="D10",$C154="G2"),BQ153&amp;IF(BQ153="","",CHAR(10))&amp;$A154,BQ153)</f>
        <v>◐ 059 PPP／JV財務與風險分配</v>
      </c>
      <c r="BR154" s="0" t="str">
        <f aca="false">IF(AND($B154="D10",$C154="G3"),BR153&amp;IF(BR153="","",CHAR(10))&amp;$A154,BR153)</f>
        <v/>
      </c>
      <c r="BS154" s="363" t="str">
        <f aca="false">IF(AND($B154="D10",$C154="G4"),BS153&amp;IF(BS153="","",CHAR(10))&amp;$A154,BS153)</f>
        <v>○ 056 健保申報與數位理賠
○ 057 現金流、支付與收入週期</v>
      </c>
      <c r="BT154" s="0" t="str">
        <f aca="false">IF(AND($B154="D10",$C154="G5"),BT153&amp;IF(BT153="","",CHAR(10))&amp;$A154,BT153)</f>
        <v>○ 058 國際醫療與高價值服務</v>
      </c>
      <c r="BU154" s="0" t="str">
        <f aca="false">IF(AND($B154="D10",$C154="G6"),BU153&amp;IF(BU153="","",CHAR(10))&amp;$A154,BU153)</f>
        <v>◐ 060 效益實現與複製藍圖</v>
      </c>
      <c r="BX154" s="0" t="str">
        <f aca="false">IF(AND(03_能力總表_Master!$A154&lt;&gt;"",LEFT(03_能力總表_Master!$H154,2)="缺口"),MAX($BX$4:BX153)+1,"")</f>
        <v/>
      </c>
      <c r="BY154" s="0" t="str">
        <f aca="false">IF(AND(03_能力總表_Master!$A154&lt;&gt;"",03_能力總表_Master!$J154=12_夥伴視角_PartnerView!$C$4),MAX($BY$4:BY153)+1,"")</f>
        <v/>
      </c>
      <c r="CC154" s="0" t="str">
        <f aca="false">IF(AND(03_能力總表_Master!$A154&lt;&gt;"",IFERROR(INDEX(16_能力商機矩陣_CapOppMap!$D154:$CO154,MATCH(LEFT(17_商機作戰卡_OppView!$C$4,6),16_能力商機矩陣_CapOppMap!$D$4:$CO$4,0)),"")="✓"),MAX($CC$4:CC153)+1,"")</f>
        <v/>
      </c>
    </row>
  </sheetData>
  <sheetProtection sheet="true" formatColumns="false" formatRows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2026-08-14T14:16:13Z</dcterms:created>
  <dc:creator>群晶科技（聯盟召集人）· PI Office</dc:creator>
  <dc:description>主工具的夥伴精簡版：85 個商機字典、商機作戰卡、夥伴視角、缺口招募。顧問工作區分頁已隱藏（可於任一分頁標籤按右鍵→取消隱藏還原）。</dc:description>
  <dc:language>en-US</dc:language>
  <cp:lastModifiedBy/>
  <dcterms:modified xsi:type="dcterms:W3CDTF">2026-08-18T09:13:03Z</dcterms:modified>
  <cp:revision>1</cp:revision>
  <dc:subject/>
  <dc:title>VMH-EcoMap v1.0 夥伴版｜我在這張藍圖的哪裡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