
<file path=[Content_Types].xml><?xml version="1.0" encoding="utf-8"?>
<Types xmlns="http://schemas.openxmlformats.org/package/2006/content-types"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docProps/app.xml" ContentType="application/vnd.openxmlformats-officedocument.extended-properties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worksheets/sheet16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Default Extension="rels" ContentType="application/vnd.openxmlformats-package.relationships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12720" yWindow="6100" windowWidth="28980" windowHeight="18860" tabRatio="921" activeTab="15"/>
  </bookViews>
  <sheets>
    <sheet name="Warren" sheetId="1" r:id="rId1"/>
    <sheet name="Sean" sheetId="4" r:id="rId2"/>
    <sheet name="Rhett" sheetId="5" r:id="rId3"/>
    <sheet name="Lee" sheetId="10" r:id="rId4"/>
    <sheet name="Jalpa" sheetId="6" r:id="rId5"/>
    <sheet name="David" sheetId="25" r:id="rId6"/>
    <sheet name="Jignesh" sheetId="24" r:id="rId7"/>
    <sheet name="Nataliya" sheetId="7" r:id="rId8"/>
    <sheet name="John" sheetId="9" r:id="rId9"/>
    <sheet name="Renee" sheetId="16" r:id="rId10"/>
    <sheet name="Dong" sheetId="15" r:id="rId11"/>
    <sheet name="SB-Dev" sheetId="23" r:id="rId12"/>
    <sheet name="Project Summary" sheetId="2" state="hidden" r:id="rId13"/>
    <sheet name="Milestones" sheetId="3" state="hidden" r:id="rId14"/>
    <sheet name="Support" sheetId="8" state="hidden" r:id="rId15"/>
    <sheet name="SB-Manager" sheetId="26" r:id="rId16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8" i="25"/>
  <c r="R19"/>
  <c r="P18"/>
  <c r="P19"/>
  <c r="N18"/>
  <c r="N19"/>
  <c r="L18"/>
  <c r="L19"/>
  <c r="J18"/>
  <c r="J19"/>
  <c r="H18"/>
  <c r="H19"/>
  <c r="Q18"/>
  <c r="Q19"/>
  <c r="O18"/>
  <c r="O19"/>
  <c r="M18"/>
  <c r="M19"/>
  <c r="K18"/>
  <c r="K19"/>
  <c r="I18"/>
  <c r="I19"/>
  <c r="G18"/>
  <c r="T18"/>
  <c r="T17"/>
  <c r="U17"/>
  <c r="B17"/>
  <c r="T16"/>
  <c r="U16"/>
  <c r="B16"/>
  <c r="T15"/>
  <c r="U15"/>
  <c r="B15"/>
  <c r="T14"/>
  <c r="U14"/>
  <c r="B14"/>
  <c r="T13"/>
  <c r="U13"/>
  <c r="B13"/>
  <c r="T12"/>
  <c r="U12"/>
  <c r="B12"/>
  <c r="T11"/>
  <c r="U11"/>
  <c r="B11"/>
  <c r="T10"/>
  <c r="B10"/>
  <c r="T9"/>
  <c r="U9"/>
  <c r="B9"/>
  <c r="T8"/>
  <c r="B8"/>
  <c r="T7"/>
  <c r="U7"/>
  <c r="B7"/>
  <c r="T6"/>
  <c r="U6"/>
  <c r="B6"/>
  <c r="U5"/>
  <c r="T5"/>
  <c r="R5"/>
  <c r="Q5"/>
  <c r="P5"/>
  <c r="O5"/>
  <c r="N5"/>
  <c r="M5"/>
  <c r="L5"/>
  <c r="K5"/>
  <c r="J5"/>
  <c r="I5"/>
  <c r="H5"/>
  <c r="G5"/>
  <c r="N1"/>
  <c r="L1"/>
  <c r="C1"/>
  <c r="C8"/>
  <c r="C18"/>
  <c r="U10"/>
  <c r="U18"/>
  <c r="F18"/>
  <c r="C19"/>
  <c r="U8"/>
  <c r="L23"/>
  <c r="L22"/>
  <c r="L21"/>
  <c r="M23"/>
  <c r="M22"/>
  <c r="M21"/>
  <c r="H23"/>
  <c r="H22"/>
  <c r="H21"/>
  <c r="N23"/>
  <c r="N22"/>
  <c r="N21"/>
  <c r="Q23"/>
  <c r="Q22"/>
  <c r="Q21"/>
  <c r="P23"/>
  <c r="P22"/>
  <c r="P21"/>
  <c r="R23"/>
  <c r="R22"/>
  <c r="R21"/>
  <c r="K23"/>
  <c r="K22"/>
  <c r="K21"/>
  <c r="G23"/>
  <c r="G21"/>
  <c r="G22"/>
  <c r="G19"/>
  <c r="O23"/>
  <c r="O22"/>
  <c r="O21"/>
  <c r="J21"/>
  <c r="J23"/>
  <c r="J22"/>
  <c r="I22"/>
  <c r="I23"/>
  <c r="I21"/>
  <c r="U5" i="15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1"/>
  <c r="U11"/>
  <c r="T12"/>
  <c r="T16"/>
  <c r="U16"/>
  <c r="T15"/>
  <c r="U15"/>
  <c r="G18"/>
  <c r="T18"/>
  <c r="T17"/>
  <c r="U17"/>
  <c r="T14"/>
  <c r="U14"/>
  <c r="T13"/>
  <c r="U13"/>
  <c r="T10"/>
  <c r="U10"/>
  <c r="T9"/>
  <c r="U9"/>
  <c r="T8"/>
  <c r="T7"/>
  <c r="T6"/>
  <c r="U6"/>
  <c r="C18"/>
  <c r="F18"/>
  <c r="U12"/>
  <c r="U8"/>
  <c r="U7"/>
  <c r="U18"/>
  <c r="C19"/>
  <c r="P23"/>
  <c r="P22"/>
  <c r="P21"/>
  <c r="K23"/>
  <c r="K21"/>
  <c r="K22"/>
  <c r="R23"/>
  <c r="R21"/>
  <c r="R22"/>
  <c r="Q23"/>
  <c r="Q22"/>
  <c r="Q21"/>
  <c r="L23"/>
  <c r="L22"/>
  <c r="L21"/>
  <c r="N23"/>
  <c r="N21"/>
  <c r="N22"/>
  <c r="M23"/>
  <c r="M21"/>
  <c r="M22"/>
  <c r="H23"/>
  <c r="H22"/>
  <c r="H21"/>
  <c r="G23"/>
  <c r="G22"/>
  <c r="G19"/>
  <c r="G21"/>
  <c r="O23"/>
  <c r="O21"/>
  <c r="O22"/>
  <c r="I22"/>
  <c r="I23"/>
  <c r="I21"/>
  <c r="J21"/>
  <c r="J23"/>
  <c r="J22"/>
  <c r="U5" i="6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2"/>
  <c r="U11"/>
  <c r="G18"/>
  <c r="T18"/>
  <c r="T17"/>
  <c r="U17"/>
  <c r="T10"/>
  <c r="T9"/>
  <c r="U9"/>
  <c r="T8"/>
  <c r="T7"/>
  <c r="T6"/>
  <c r="U6"/>
  <c r="C18"/>
  <c r="I2"/>
  <c r="U7"/>
  <c r="C19"/>
  <c r="U18"/>
  <c r="U10"/>
  <c r="U8"/>
  <c r="F18"/>
  <c r="P23"/>
  <c r="P22"/>
  <c r="P21"/>
  <c r="K23"/>
  <c r="K21"/>
  <c r="K22"/>
  <c r="R23"/>
  <c r="R21"/>
  <c r="R22"/>
  <c r="Q23"/>
  <c r="Q22"/>
  <c r="Q21"/>
  <c r="L23"/>
  <c r="L21"/>
  <c r="L22"/>
  <c r="N23"/>
  <c r="N21"/>
  <c r="N22"/>
  <c r="M23"/>
  <c r="M21"/>
  <c r="M22"/>
  <c r="H23"/>
  <c r="H21"/>
  <c r="H22"/>
  <c r="G23"/>
  <c r="G22"/>
  <c r="G19"/>
  <c r="G21"/>
  <c r="O23"/>
  <c r="O21"/>
  <c r="O22"/>
  <c r="J22"/>
  <c r="J23"/>
  <c r="J21"/>
  <c r="I22"/>
  <c r="I23"/>
  <c r="I21"/>
  <c r="Q18" i="24"/>
  <c r="Q19"/>
  <c r="O18"/>
  <c r="O19"/>
  <c r="M18"/>
  <c r="M19"/>
  <c r="K18"/>
  <c r="K19"/>
  <c r="I18"/>
  <c r="I19"/>
  <c r="R18"/>
  <c r="R19"/>
  <c r="P18"/>
  <c r="P19"/>
  <c r="N18"/>
  <c r="N19"/>
  <c r="L18"/>
  <c r="L19"/>
  <c r="J18"/>
  <c r="J19"/>
  <c r="H18"/>
  <c r="H19"/>
  <c r="G18"/>
  <c r="T18"/>
  <c r="T17"/>
  <c r="U17"/>
  <c r="B17"/>
  <c r="T16"/>
  <c r="U16"/>
  <c r="B16"/>
  <c r="T15"/>
  <c r="U15"/>
  <c r="B15"/>
  <c r="T14"/>
  <c r="U14"/>
  <c r="B14"/>
  <c r="T13"/>
  <c r="U13"/>
  <c r="B13"/>
  <c r="T12"/>
  <c r="U12"/>
  <c r="B12"/>
  <c r="T11"/>
  <c r="U11"/>
  <c r="B11"/>
  <c r="T10"/>
  <c r="B10"/>
  <c r="T9"/>
  <c r="U9"/>
  <c r="B9"/>
  <c r="T8"/>
  <c r="B8"/>
  <c r="T7"/>
  <c r="U7"/>
  <c r="B7"/>
  <c r="T6"/>
  <c r="U6"/>
  <c r="B6"/>
  <c r="U5"/>
  <c r="T5"/>
  <c r="R5"/>
  <c r="Q5"/>
  <c r="P5"/>
  <c r="O5"/>
  <c r="N5"/>
  <c r="M5"/>
  <c r="L5"/>
  <c r="K5"/>
  <c r="J5"/>
  <c r="I5"/>
  <c r="H5"/>
  <c r="G5"/>
  <c r="N1"/>
  <c r="C8"/>
  <c r="L1"/>
  <c r="C1"/>
  <c r="C18"/>
  <c r="U8"/>
  <c r="U18"/>
  <c r="U10"/>
  <c r="C19"/>
  <c r="F18"/>
  <c r="P23"/>
  <c r="P22"/>
  <c r="P21"/>
  <c r="R23"/>
  <c r="R22"/>
  <c r="R21"/>
  <c r="K23"/>
  <c r="K22"/>
  <c r="K21"/>
  <c r="L23"/>
  <c r="L22"/>
  <c r="L21"/>
  <c r="M23"/>
  <c r="M22"/>
  <c r="M21"/>
  <c r="H23"/>
  <c r="H22"/>
  <c r="H21"/>
  <c r="N23"/>
  <c r="N22"/>
  <c r="N21"/>
  <c r="Q23"/>
  <c r="Q22"/>
  <c r="Q21"/>
  <c r="G23"/>
  <c r="G19"/>
  <c r="G21"/>
  <c r="G22"/>
  <c r="O23"/>
  <c r="O22"/>
  <c r="O21"/>
  <c r="I22"/>
  <c r="I23"/>
  <c r="I21"/>
  <c r="J21"/>
  <c r="J23"/>
  <c r="J22"/>
  <c r="U5" i="9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1"/>
  <c r="G18"/>
  <c r="T17"/>
  <c r="U17"/>
  <c r="T10"/>
  <c r="U10"/>
  <c r="T9"/>
  <c r="U9"/>
  <c r="T8"/>
  <c r="T7"/>
  <c r="U7"/>
  <c r="T6"/>
  <c r="U6"/>
  <c r="T18"/>
  <c r="U12"/>
  <c r="C18"/>
  <c r="U8"/>
  <c r="F18"/>
  <c r="C19"/>
  <c r="U18"/>
  <c r="P23"/>
  <c r="P21"/>
  <c r="P22"/>
  <c r="K23"/>
  <c r="K21"/>
  <c r="K22"/>
  <c r="R23"/>
  <c r="R21"/>
  <c r="R22"/>
  <c r="Q23"/>
  <c r="Q22"/>
  <c r="Q21"/>
  <c r="L23"/>
  <c r="L21"/>
  <c r="L22"/>
  <c r="N23"/>
  <c r="N21"/>
  <c r="N22"/>
  <c r="M23"/>
  <c r="M21"/>
  <c r="M22"/>
  <c r="H23"/>
  <c r="H21"/>
  <c r="H22"/>
  <c r="G23"/>
  <c r="G22"/>
  <c r="G21"/>
  <c r="G19"/>
  <c r="O23"/>
  <c r="O21"/>
  <c r="O22"/>
  <c r="I21"/>
  <c r="I23"/>
  <c r="I22"/>
  <c r="J22"/>
  <c r="J23"/>
  <c r="J21"/>
  <c r="U5" i="10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5"/>
  <c r="U14"/>
  <c r="U12"/>
  <c r="U11"/>
  <c r="G18"/>
  <c r="T18"/>
  <c r="T17"/>
  <c r="U17"/>
  <c r="T10"/>
  <c r="U10"/>
  <c r="T9"/>
  <c r="U9"/>
  <c r="T8"/>
  <c r="C8"/>
  <c r="U8"/>
  <c r="T7"/>
  <c r="T6"/>
  <c r="U6"/>
  <c r="U7"/>
  <c r="U13"/>
  <c r="U16"/>
  <c r="C18"/>
  <c r="C19"/>
  <c r="U18"/>
  <c r="F18"/>
  <c r="L23"/>
  <c r="L21"/>
  <c r="L22"/>
  <c r="N23"/>
  <c r="N21"/>
  <c r="N22"/>
  <c r="M23"/>
  <c r="M21"/>
  <c r="M22"/>
  <c r="P23"/>
  <c r="P21"/>
  <c r="P22"/>
  <c r="K23"/>
  <c r="K21"/>
  <c r="K22"/>
  <c r="R23"/>
  <c r="R21"/>
  <c r="R22"/>
  <c r="Q23"/>
  <c r="Q21"/>
  <c r="Q22"/>
  <c r="H23"/>
  <c r="H21"/>
  <c r="H22"/>
  <c r="G23"/>
  <c r="G19"/>
  <c r="G21"/>
  <c r="G22"/>
  <c r="O23"/>
  <c r="O21"/>
  <c r="O22"/>
  <c r="I21"/>
  <c r="I23"/>
  <c r="I22"/>
  <c r="J22"/>
  <c r="J23"/>
  <c r="J21"/>
  <c r="D9" i="3"/>
  <c r="D17"/>
  <c r="F17"/>
  <c r="F16"/>
  <c r="F15"/>
  <c r="F14"/>
  <c r="F13"/>
  <c r="F12"/>
  <c r="F11"/>
  <c r="F10"/>
  <c r="F9"/>
  <c r="F8"/>
  <c r="F7"/>
  <c r="F6"/>
  <c r="E8"/>
  <c r="E7"/>
  <c r="E6"/>
  <c r="E17"/>
  <c r="E16"/>
  <c r="E15"/>
  <c r="E14"/>
  <c r="E13"/>
  <c r="E12"/>
  <c r="E11"/>
  <c r="E10"/>
  <c r="E9"/>
  <c r="G6"/>
  <c r="R17"/>
  <c r="Q17"/>
  <c r="P17"/>
  <c r="O17"/>
  <c r="N17"/>
  <c r="M17"/>
  <c r="R16"/>
  <c r="Q16"/>
  <c r="P16"/>
  <c r="O16"/>
  <c r="N16"/>
  <c r="M16"/>
  <c r="R15"/>
  <c r="Q15"/>
  <c r="P15"/>
  <c r="O15"/>
  <c r="N15"/>
  <c r="M15"/>
  <c r="R14"/>
  <c r="Q14"/>
  <c r="P14"/>
  <c r="O14"/>
  <c r="N14"/>
  <c r="M14"/>
  <c r="R13"/>
  <c r="Q13"/>
  <c r="P13"/>
  <c r="O13"/>
  <c r="N13"/>
  <c r="M13"/>
  <c r="R12"/>
  <c r="Q12"/>
  <c r="P12"/>
  <c r="O12"/>
  <c r="N12"/>
  <c r="M12"/>
  <c r="R11"/>
  <c r="Q11"/>
  <c r="P11"/>
  <c r="O11"/>
  <c r="N11"/>
  <c r="M11"/>
  <c r="R10"/>
  <c r="Q10"/>
  <c r="P10"/>
  <c r="O10"/>
  <c r="N10"/>
  <c r="M10"/>
  <c r="R9"/>
  <c r="Q9"/>
  <c r="P9"/>
  <c r="O9"/>
  <c r="N9"/>
  <c r="M9"/>
  <c r="R8"/>
  <c r="Q8"/>
  <c r="P8"/>
  <c r="O8"/>
  <c r="N8"/>
  <c r="M8"/>
  <c r="R7"/>
  <c r="Q7"/>
  <c r="P7"/>
  <c r="O7"/>
  <c r="N7"/>
  <c r="M7"/>
  <c r="R6"/>
  <c r="Q6"/>
  <c r="P6"/>
  <c r="O6"/>
  <c r="N6"/>
  <c r="M6"/>
  <c r="G17"/>
  <c r="G16"/>
  <c r="G15"/>
  <c r="H15"/>
  <c r="I15"/>
  <c r="J15"/>
  <c r="K15"/>
  <c r="L15"/>
  <c r="T15"/>
  <c r="G14"/>
  <c r="G13"/>
  <c r="G12"/>
  <c r="G11"/>
  <c r="H11"/>
  <c r="I11"/>
  <c r="J11"/>
  <c r="K11"/>
  <c r="L11"/>
  <c r="T11"/>
  <c r="G10"/>
  <c r="G9"/>
  <c r="G8"/>
  <c r="G7"/>
  <c r="H7"/>
  <c r="I7"/>
  <c r="J7"/>
  <c r="K7"/>
  <c r="L7"/>
  <c r="T7"/>
  <c r="L17"/>
  <c r="K17"/>
  <c r="J17"/>
  <c r="I17"/>
  <c r="H17"/>
  <c r="L16"/>
  <c r="K16"/>
  <c r="J16"/>
  <c r="I16"/>
  <c r="H16"/>
  <c r="L14"/>
  <c r="K14"/>
  <c r="J14"/>
  <c r="I14"/>
  <c r="H14"/>
  <c r="L13"/>
  <c r="K13"/>
  <c r="J13"/>
  <c r="I13"/>
  <c r="H13"/>
  <c r="L12"/>
  <c r="K12"/>
  <c r="J12"/>
  <c r="I12"/>
  <c r="H12"/>
  <c r="L10"/>
  <c r="K10"/>
  <c r="J10"/>
  <c r="I10"/>
  <c r="H10"/>
  <c r="L9"/>
  <c r="K9"/>
  <c r="J9"/>
  <c r="I9"/>
  <c r="H9"/>
  <c r="L8"/>
  <c r="K8"/>
  <c r="J8"/>
  <c r="I8"/>
  <c r="H8"/>
  <c r="L6"/>
  <c r="K6"/>
  <c r="J6"/>
  <c r="I6"/>
  <c r="H6"/>
  <c r="C1"/>
  <c r="N1"/>
  <c r="L1"/>
  <c r="G21"/>
  <c r="R23"/>
  <c r="R21"/>
  <c r="Q23"/>
  <c r="Q21"/>
  <c r="P23"/>
  <c r="P21"/>
  <c r="O23"/>
  <c r="O21"/>
  <c r="N23"/>
  <c r="N21"/>
  <c r="M23"/>
  <c r="M21"/>
  <c r="L23"/>
  <c r="L21"/>
  <c r="K23"/>
  <c r="K21"/>
  <c r="J23"/>
  <c r="J21"/>
  <c r="I23"/>
  <c r="I21"/>
  <c r="H23"/>
  <c r="H21"/>
  <c r="Q22"/>
  <c r="T17"/>
  <c r="T13"/>
  <c r="T9"/>
  <c r="T8"/>
  <c r="T10"/>
  <c r="T12"/>
  <c r="T14"/>
  <c r="T16"/>
  <c r="I22"/>
  <c r="M22"/>
  <c r="K22"/>
  <c r="O22"/>
  <c r="H22"/>
  <c r="J22"/>
  <c r="L22"/>
  <c r="N22"/>
  <c r="P22"/>
  <c r="R22"/>
  <c r="G18"/>
  <c r="D8"/>
  <c r="D13"/>
  <c r="H18"/>
  <c r="H19"/>
  <c r="I18"/>
  <c r="I19"/>
  <c r="J18"/>
  <c r="J19"/>
  <c r="R18"/>
  <c r="R19"/>
  <c r="Q18"/>
  <c r="Q19"/>
  <c r="P18"/>
  <c r="P19"/>
  <c r="O18"/>
  <c r="O19"/>
  <c r="N18"/>
  <c r="N19"/>
  <c r="M18"/>
  <c r="M19"/>
  <c r="L18"/>
  <c r="L19"/>
  <c r="K18"/>
  <c r="K19"/>
  <c r="U9"/>
  <c r="U17"/>
  <c r="T6"/>
  <c r="D16"/>
  <c r="U16"/>
  <c r="U13"/>
  <c r="T18"/>
  <c r="G22"/>
  <c r="D11"/>
  <c r="U11"/>
  <c r="D15"/>
  <c r="U15"/>
  <c r="D12"/>
  <c r="U12"/>
  <c r="D10"/>
  <c r="U10"/>
  <c r="U8"/>
  <c r="D14"/>
  <c r="D6"/>
  <c r="D7"/>
  <c r="D18"/>
  <c r="E19"/>
  <c r="G19"/>
  <c r="U14"/>
  <c r="U7"/>
  <c r="U6"/>
  <c r="U18"/>
  <c r="D19"/>
  <c r="U5" i="7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1"/>
  <c r="G18"/>
  <c r="T17"/>
  <c r="U17"/>
  <c r="T10"/>
  <c r="U10"/>
  <c r="T9"/>
  <c r="U9"/>
  <c r="T8"/>
  <c r="T7"/>
  <c r="U7"/>
  <c r="T6"/>
  <c r="U6"/>
  <c r="U12"/>
  <c r="T18"/>
  <c r="C18"/>
  <c r="I2"/>
  <c r="F18"/>
  <c r="U18"/>
  <c r="U8"/>
  <c r="C19"/>
  <c r="L23"/>
  <c r="L21"/>
  <c r="L22"/>
  <c r="N23"/>
  <c r="N21"/>
  <c r="N22"/>
  <c r="M23"/>
  <c r="M21"/>
  <c r="M22"/>
  <c r="P23"/>
  <c r="P21"/>
  <c r="P22"/>
  <c r="K23"/>
  <c r="K21"/>
  <c r="K22"/>
  <c r="R23"/>
  <c r="R21"/>
  <c r="R22"/>
  <c r="Q23"/>
  <c r="Q22"/>
  <c r="Q21"/>
  <c r="H23"/>
  <c r="H21"/>
  <c r="H22"/>
  <c r="G23"/>
  <c r="G22"/>
  <c r="G19"/>
  <c r="G21"/>
  <c r="O23"/>
  <c r="O21"/>
  <c r="O22"/>
  <c r="J21"/>
  <c r="J23"/>
  <c r="J22"/>
  <c r="I21"/>
  <c r="I23"/>
  <c r="I22"/>
  <c r="R11" i="2"/>
  <c r="Q11"/>
  <c r="P11"/>
  <c r="O11"/>
  <c r="N11"/>
  <c r="M11"/>
  <c r="L11"/>
  <c r="K11"/>
  <c r="J11"/>
  <c r="I11"/>
  <c r="H11"/>
  <c r="G11"/>
  <c r="S11"/>
  <c r="D11"/>
  <c r="T11"/>
  <c r="R10"/>
  <c r="Q10"/>
  <c r="P10"/>
  <c r="O10"/>
  <c r="N10"/>
  <c r="M10"/>
  <c r="L10"/>
  <c r="K10"/>
  <c r="J10"/>
  <c r="I10"/>
  <c r="H10"/>
  <c r="G10"/>
  <c r="S10"/>
  <c r="D10"/>
  <c r="T10"/>
  <c r="F5"/>
  <c r="E5"/>
  <c r="F11"/>
  <c r="F4"/>
  <c r="E4"/>
  <c r="E11"/>
  <c r="C11"/>
  <c r="F10"/>
  <c r="E10"/>
  <c r="C10"/>
  <c r="B11"/>
  <c r="B10"/>
  <c r="C15"/>
  <c r="B15"/>
  <c r="F13"/>
  <c r="E9"/>
  <c r="F8"/>
  <c r="F7"/>
  <c r="E14"/>
  <c r="C12"/>
  <c r="O13"/>
  <c r="P13"/>
  <c r="Q13"/>
  <c r="R13"/>
  <c r="N13"/>
  <c r="M13"/>
  <c r="L13"/>
  <c r="K13"/>
  <c r="J13"/>
  <c r="I13"/>
  <c r="H13"/>
  <c r="E13"/>
  <c r="C13"/>
  <c r="B13"/>
  <c r="B12"/>
  <c r="C14"/>
  <c r="M14"/>
  <c r="R14"/>
  <c r="Q14"/>
  <c r="P14"/>
  <c r="Q9"/>
  <c r="P9"/>
  <c r="O9"/>
  <c r="N9"/>
  <c r="O14"/>
  <c r="N14"/>
  <c r="M9"/>
  <c r="L14"/>
  <c r="K14"/>
  <c r="J14"/>
  <c r="I14"/>
  <c r="H14"/>
  <c r="G14"/>
  <c r="B14"/>
  <c r="R9"/>
  <c r="L9"/>
  <c r="K9"/>
  <c r="I9"/>
  <c r="H9"/>
  <c r="F9"/>
  <c r="C9"/>
  <c r="B9"/>
  <c r="P7"/>
  <c r="O7"/>
  <c r="M8"/>
  <c r="O8"/>
  <c r="P8"/>
  <c r="Q8"/>
  <c r="R8"/>
  <c r="N8"/>
  <c r="L8"/>
  <c r="K8"/>
  <c r="J8"/>
  <c r="I8"/>
  <c r="H8"/>
  <c r="C8"/>
  <c r="C7"/>
  <c r="B8"/>
  <c r="R7"/>
  <c r="R6"/>
  <c r="R5"/>
  <c r="Q7"/>
  <c r="N7"/>
  <c r="M7"/>
  <c r="L7"/>
  <c r="K7"/>
  <c r="J7"/>
  <c r="H7"/>
  <c r="E7"/>
  <c r="B7"/>
  <c r="R4"/>
  <c r="C6"/>
  <c r="B6"/>
  <c r="C4"/>
  <c r="G9"/>
  <c r="G8"/>
  <c r="S8"/>
  <c r="D7"/>
  <c r="E8"/>
  <c r="F14"/>
  <c r="S14"/>
  <c r="D13"/>
  <c r="G13"/>
  <c r="S13"/>
  <c r="G7"/>
  <c r="C5"/>
  <c r="B5"/>
  <c r="B4"/>
  <c r="T13"/>
  <c r="D8"/>
  <c r="T8"/>
  <c r="D14"/>
  <c r="T14"/>
  <c r="D9"/>
  <c r="R15"/>
  <c r="Q15"/>
  <c r="P15"/>
  <c r="O15"/>
  <c r="N15"/>
  <c r="M15"/>
  <c r="L15"/>
  <c r="K15"/>
  <c r="J15"/>
  <c r="I15"/>
  <c r="H15"/>
  <c r="H6"/>
  <c r="Q12"/>
  <c r="P12"/>
  <c r="O12"/>
  <c r="N12"/>
  <c r="M12"/>
  <c r="L12"/>
  <c r="K12"/>
  <c r="J12"/>
  <c r="H12"/>
  <c r="O6"/>
  <c r="Q6"/>
  <c r="Q5"/>
  <c r="P6"/>
  <c r="P5"/>
  <c r="N5"/>
  <c r="N6"/>
  <c r="M6"/>
  <c r="M5"/>
  <c r="L6"/>
  <c r="L5"/>
  <c r="K6"/>
  <c r="K5"/>
  <c r="J6"/>
  <c r="J5"/>
  <c r="I6"/>
  <c r="I5"/>
  <c r="H5"/>
  <c r="L4"/>
  <c r="L16"/>
  <c r="N4"/>
  <c r="N16"/>
  <c r="P4"/>
  <c r="P16"/>
  <c r="R12"/>
  <c r="R16"/>
  <c r="I12"/>
  <c r="Q4"/>
  <c r="Q16"/>
  <c r="M4"/>
  <c r="M16"/>
  <c r="K4"/>
  <c r="K16"/>
  <c r="H4"/>
  <c r="H16"/>
  <c r="D5"/>
  <c r="D12"/>
  <c r="I4"/>
  <c r="J4"/>
  <c r="O4"/>
  <c r="D15"/>
  <c r="G4"/>
  <c r="S4"/>
  <c r="G5"/>
  <c r="G6"/>
  <c r="S6"/>
  <c r="G12"/>
  <c r="G16"/>
  <c r="S12"/>
  <c r="T12"/>
  <c r="G15"/>
  <c r="S15"/>
  <c r="T15"/>
  <c r="E15"/>
  <c r="F15"/>
  <c r="F12"/>
  <c r="E6"/>
  <c r="E12"/>
  <c r="F6"/>
  <c r="O5"/>
  <c r="O16"/>
  <c r="D4"/>
  <c r="D6"/>
  <c r="D16"/>
  <c r="T4"/>
  <c r="S5"/>
  <c r="T5"/>
  <c r="T6"/>
  <c r="I16"/>
  <c r="J16"/>
  <c r="T9"/>
  <c r="J9"/>
  <c r="S9"/>
  <c r="T7"/>
  <c r="I7"/>
  <c r="S7"/>
  <c r="S16"/>
  <c r="T16"/>
  <c r="U5" i="16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2"/>
  <c r="G18"/>
  <c r="T17"/>
  <c r="U17"/>
  <c r="T10"/>
  <c r="U10"/>
  <c r="T9"/>
  <c r="U9"/>
  <c r="T8"/>
  <c r="T7"/>
  <c r="T6"/>
  <c r="U6"/>
  <c r="U7"/>
  <c r="T18"/>
  <c r="U11"/>
  <c r="C18"/>
  <c r="U8"/>
  <c r="U18"/>
  <c r="C19"/>
  <c r="F18"/>
  <c r="L23"/>
  <c r="L21"/>
  <c r="L22"/>
  <c r="N23"/>
  <c r="N21"/>
  <c r="N22"/>
  <c r="M23"/>
  <c r="M21"/>
  <c r="M22"/>
  <c r="P23"/>
  <c r="P21"/>
  <c r="P22"/>
  <c r="K23"/>
  <c r="K22"/>
  <c r="K21"/>
  <c r="R23"/>
  <c r="R21"/>
  <c r="R22"/>
  <c r="Q23"/>
  <c r="Q22"/>
  <c r="Q21"/>
  <c r="H23"/>
  <c r="H21"/>
  <c r="H22"/>
  <c r="G23"/>
  <c r="G22"/>
  <c r="G21"/>
  <c r="G19"/>
  <c r="O23"/>
  <c r="O22"/>
  <c r="O21"/>
  <c r="I21"/>
  <c r="I23"/>
  <c r="I22"/>
  <c r="J22"/>
  <c r="J23"/>
  <c r="J21"/>
  <c r="U5" i="5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C1"/>
  <c r="N1"/>
  <c r="L1"/>
  <c r="R23"/>
  <c r="R21"/>
  <c r="Q23"/>
  <c r="Q21"/>
  <c r="P23"/>
  <c r="P21"/>
  <c r="O23"/>
  <c r="O21"/>
  <c r="N23"/>
  <c r="N21"/>
  <c r="M23"/>
  <c r="M21"/>
  <c r="L23"/>
  <c r="L21"/>
  <c r="K23"/>
  <c r="K21"/>
  <c r="J23"/>
  <c r="J21"/>
  <c r="I23"/>
  <c r="I21"/>
  <c r="H23"/>
  <c r="H21"/>
  <c r="Q22"/>
  <c r="I22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1"/>
  <c r="U11"/>
  <c r="T10"/>
  <c r="U10"/>
  <c r="T9"/>
  <c r="U9"/>
  <c r="T7"/>
  <c r="U7"/>
  <c r="T8"/>
  <c r="G18"/>
  <c r="T18"/>
  <c r="T17"/>
  <c r="U17"/>
  <c r="T16"/>
  <c r="U16"/>
  <c r="T15"/>
  <c r="T14"/>
  <c r="T13"/>
  <c r="U13"/>
  <c r="T12"/>
  <c r="T6"/>
  <c r="M22"/>
  <c r="K22"/>
  <c r="O22"/>
  <c r="U12"/>
  <c r="U15"/>
  <c r="C14"/>
  <c r="U14"/>
  <c r="U6"/>
  <c r="H22"/>
  <c r="J22"/>
  <c r="L22"/>
  <c r="N22"/>
  <c r="P22"/>
  <c r="R22"/>
  <c r="U8"/>
  <c r="C18"/>
  <c r="C19"/>
  <c r="U18"/>
  <c r="F18"/>
  <c r="G23"/>
  <c r="G22"/>
  <c r="G19"/>
  <c r="G21"/>
  <c r="U5" i="23"/>
  <c r="T5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G18"/>
  <c r="T18"/>
  <c r="T17"/>
  <c r="U17"/>
  <c r="B17"/>
  <c r="T16"/>
  <c r="U16"/>
  <c r="B16"/>
  <c r="T15"/>
  <c r="U15"/>
  <c r="B15"/>
  <c r="T14"/>
  <c r="U14"/>
  <c r="B14"/>
  <c r="T13"/>
  <c r="B13"/>
  <c r="T12"/>
  <c r="B12"/>
  <c r="T11"/>
  <c r="U11"/>
  <c r="B11"/>
  <c r="T10"/>
  <c r="U10"/>
  <c r="B10"/>
  <c r="T9"/>
  <c r="U9"/>
  <c r="B9"/>
  <c r="T8"/>
  <c r="B8"/>
  <c r="T7"/>
  <c r="U7"/>
  <c r="B7"/>
  <c r="T6"/>
  <c r="U6"/>
  <c r="B6"/>
  <c r="R5"/>
  <c r="Q5"/>
  <c r="P5"/>
  <c r="O5"/>
  <c r="N5"/>
  <c r="M5"/>
  <c r="L5"/>
  <c r="K5"/>
  <c r="J5"/>
  <c r="I5"/>
  <c r="H5"/>
  <c r="G5"/>
  <c r="N1"/>
  <c r="L1"/>
  <c r="C1"/>
  <c r="U12"/>
  <c r="U8"/>
  <c r="U13"/>
  <c r="C18"/>
  <c r="F18"/>
  <c r="I2"/>
  <c r="C19"/>
  <c r="U18"/>
  <c r="Q23"/>
  <c r="Q21"/>
  <c r="Q22"/>
  <c r="R23"/>
  <c r="R21"/>
  <c r="R22"/>
  <c r="M23"/>
  <c r="M21"/>
  <c r="M22"/>
  <c r="P23"/>
  <c r="P21"/>
  <c r="P22"/>
  <c r="K23"/>
  <c r="K21"/>
  <c r="K22"/>
  <c r="N23"/>
  <c r="N21"/>
  <c r="N22"/>
  <c r="H23"/>
  <c r="H21"/>
  <c r="H22"/>
  <c r="L23"/>
  <c r="L21"/>
  <c r="L22"/>
  <c r="G23"/>
  <c r="G22"/>
  <c r="G19"/>
  <c r="G21"/>
  <c r="O23"/>
  <c r="O21"/>
  <c r="O22"/>
  <c r="J21"/>
  <c r="J23"/>
  <c r="J22"/>
  <c r="I21"/>
  <c r="I23"/>
  <c r="I22"/>
  <c r="R18" i="26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C18"/>
  <c r="C19"/>
  <c r="G18"/>
  <c r="N1"/>
  <c r="L1"/>
  <c r="F18"/>
  <c r="B17"/>
  <c r="B16"/>
  <c r="B15"/>
  <c r="B14"/>
  <c r="B13"/>
  <c r="B12"/>
  <c r="B11"/>
  <c r="B10"/>
  <c r="B9"/>
  <c r="B8"/>
  <c r="B7"/>
  <c r="B6"/>
  <c r="R5"/>
  <c r="Q5"/>
  <c r="P5"/>
  <c r="O5"/>
  <c r="N5"/>
  <c r="M5"/>
  <c r="L5"/>
  <c r="K5"/>
  <c r="J5"/>
  <c r="I5"/>
  <c r="H5"/>
  <c r="G5"/>
  <c r="I2"/>
  <c r="C1"/>
  <c r="R23"/>
  <c r="R22"/>
  <c r="Q23"/>
  <c r="Q22"/>
  <c r="P23"/>
  <c r="P22"/>
  <c r="N23"/>
  <c r="N22"/>
  <c r="M23"/>
  <c r="M22"/>
  <c r="L23"/>
  <c r="L22"/>
  <c r="K23"/>
  <c r="K22"/>
  <c r="H23"/>
  <c r="H22"/>
  <c r="R21"/>
  <c r="Q21"/>
  <c r="P21"/>
  <c r="N21"/>
  <c r="M21"/>
  <c r="L21"/>
  <c r="K21"/>
  <c r="H21"/>
  <c r="G23"/>
  <c r="G22"/>
  <c r="G21"/>
  <c r="G19"/>
  <c r="O23"/>
  <c r="O22"/>
  <c r="O21"/>
  <c r="I21"/>
  <c r="J21"/>
  <c r="I23"/>
  <c r="I22"/>
  <c r="J23"/>
  <c r="J22"/>
  <c r="U5" i="4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L1"/>
  <c r="N1"/>
  <c r="C1"/>
  <c r="T12"/>
  <c r="U12"/>
  <c r="T11"/>
  <c r="U11"/>
  <c r="T9"/>
  <c r="U9"/>
  <c r="T14"/>
  <c r="T13"/>
  <c r="T10"/>
  <c r="T8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U16"/>
  <c r="T17"/>
  <c r="U17"/>
  <c r="T15"/>
  <c r="U15"/>
  <c r="U14"/>
  <c r="U13"/>
  <c r="T7"/>
  <c r="U7"/>
  <c r="T6"/>
  <c r="U6"/>
  <c r="G18"/>
  <c r="U10"/>
  <c r="T18"/>
  <c r="U8"/>
  <c r="C18"/>
  <c r="C19"/>
  <c r="U18"/>
  <c r="F18"/>
  <c r="I2"/>
  <c r="P23"/>
  <c r="P21"/>
  <c r="P22"/>
  <c r="K23"/>
  <c r="K21"/>
  <c r="K22"/>
  <c r="R23"/>
  <c r="R21"/>
  <c r="R22"/>
  <c r="Q23"/>
  <c r="Q22"/>
  <c r="Q21"/>
  <c r="L23"/>
  <c r="L21"/>
  <c r="L22"/>
  <c r="N23"/>
  <c r="N21"/>
  <c r="N22"/>
  <c r="M23"/>
  <c r="M21"/>
  <c r="M22"/>
  <c r="H23"/>
  <c r="H21"/>
  <c r="H22"/>
  <c r="G23"/>
  <c r="G19"/>
  <c r="G21"/>
  <c r="G22"/>
  <c r="O23"/>
  <c r="O21"/>
  <c r="O22"/>
  <c r="I22"/>
  <c r="I23"/>
  <c r="I21"/>
  <c r="J21"/>
  <c r="J23"/>
  <c r="J22"/>
  <c r="U5" i="1"/>
  <c r="T5"/>
  <c r="C1"/>
  <c r="B17"/>
  <c r="B16"/>
  <c r="B15"/>
  <c r="B14"/>
  <c r="B13"/>
  <c r="B7"/>
  <c r="B6"/>
  <c r="B8"/>
  <c r="B12"/>
  <c r="B11"/>
  <c r="B10"/>
  <c r="B9"/>
  <c r="R5"/>
  <c r="Q5"/>
  <c r="P5"/>
  <c r="O5"/>
  <c r="N5"/>
  <c r="M5"/>
  <c r="K5"/>
  <c r="J5"/>
  <c r="I5"/>
  <c r="H5"/>
  <c r="G5"/>
  <c r="L5"/>
  <c r="L1"/>
  <c r="N1"/>
  <c r="C7"/>
  <c r="Q18"/>
  <c r="Q19"/>
  <c r="P18"/>
  <c r="P19"/>
  <c r="R18"/>
  <c r="R19"/>
  <c r="O18"/>
  <c r="O19"/>
  <c r="N18"/>
  <c r="N19"/>
  <c r="M18"/>
  <c r="M19"/>
  <c r="L18"/>
  <c r="L19"/>
  <c r="J18"/>
  <c r="J19"/>
  <c r="K18"/>
  <c r="K19"/>
  <c r="I18"/>
  <c r="I19"/>
  <c r="H18"/>
  <c r="H19"/>
  <c r="T17"/>
  <c r="T16"/>
  <c r="U16"/>
  <c r="T15"/>
  <c r="T14"/>
  <c r="T13"/>
  <c r="T12"/>
  <c r="U12"/>
  <c r="T11"/>
  <c r="T10"/>
  <c r="U10"/>
  <c r="T9"/>
  <c r="T8"/>
  <c r="C8"/>
  <c r="U8"/>
  <c r="U17"/>
  <c r="U15"/>
  <c r="U13"/>
  <c r="U11"/>
  <c r="U9"/>
  <c r="C6"/>
  <c r="C14"/>
  <c r="G18"/>
  <c r="T18"/>
  <c r="T7"/>
  <c r="T6"/>
  <c r="C18"/>
  <c r="U14"/>
  <c r="U7"/>
  <c r="I2"/>
  <c r="U18"/>
  <c r="F18"/>
  <c r="U6"/>
  <c r="C19"/>
  <c r="L23"/>
  <c r="L21"/>
  <c r="L22"/>
  <c r="N23"/>
  <c r="N21"/>
  <c r="N22"/>
  <c r="M23"/>
  <c r="M21"/>
  <c r="M22"/>
  <c r="P23"/>
  <c r="P21"/>
  <c r="P22"/>
  <c r="K23"/>
  <c r="K21"/>
  <c r="K22"/>
  <c r="R23"/>
  <c r="R21"/>
  <c r="R22"/>
  <c r="Q23"/>
  <c r="Q22"/>
  <c r="Q21"/>
  <c r="H23"/>
  <c r="H21"/>
  <c r="H22"/>
  <c r="G23"/>
  <c r="G21"/>
  <c r="G22"/>
  <c r="G19"/>
  <c r="O23"/>
  <c r="O21"/>
  <c r="O22"/>
  <c r="I21"/>
  <c r="I23"/>
  <c r="I22"/>
  <c r="J21"/>
  <c r="J23"/>
  <c r="J22"/>
</calcChain>
</file>

<file path=xl/sharedStrings.xml><?xml version="1.0" encoding="utf-8"?>
<sst xmlns="http://schemas.openxmlformats.org/spreadsheetml/2006/main" count="310" uniqueCount="109">
  <si>
    <t>Manager</t>
    <phoneticPr fontId="10" type="noConversion"/>
  </si>
  <si>
    <t>Kruttik Aggarwal</t>
    <phoneticPr fontId="10" type="noConversion"/>
  </si>
  <si>
    <t>SME/QA</t>
    <phoneticPr fontId="10" type="noConversion"/>
  </si>
  <si>
    <t>SME/QA</t>
    <phoneticPr fontId="10" type="noConversion"/>
  </si>
  <si>
    <t>ID</t>
  </si>
  <si>
    <t>Name</t>
  </si>
  <si>
    <t>Lab Cat</t>
  </si>
  <si>
    <t>Project Name</t>
  </si>
  <si>
    <t>Start</t>
  </si>
  <si>
    <t>End</t>
  </si>
  <si>
    <t>Task Name</t>
  </si>
  <si>
    <t>Planned LOE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</si>
  <si>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</si>
  <si>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</si>
  <si>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</si>
  <si>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</si>
  <si>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</si>
  <si>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</si>
  <si>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</si>
  <si>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</si>
  <si>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</si>
  <si>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</si>
  <si>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</si>
  <si>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</si>
  <si>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Start Date</t>
  </si>
  <si>
    <t>End Date</t>
  </si>
  <si>
    <t>Project Management</t>
  </si>
  <si>
    <t>Lab Category</t>
  </si>
  <si>
    <t>Total LOE</t>
  </si>
  <si>
    <t>Employee Name</t>
  </si>
  <si>
    <t>Total</t>
  </si>
  <si>
    <t>SubTotal</t>
  </si>
  <si>
    <t xml:space="preserve">Task </t>
  </si>
  <si>
    <t>Milestone</t>
  </si>
  <si>
    <t>06/30/09</t>
  </si>
  <si>
    <t>07/31/09</t>
  </si>
  <si>
    <t>08/31/09</t>
  </si>
  <si>
    <t>09/30/09</t>
  </si>
  <si>
    <t>10/31/09</t>
  </si>
  <si>
    <t>11/30/09</t>
  </si>
  <si>
    <t>12/30/09</t>
  </si>
  <si>
    <t>01/31/10</t>
  </si>
  <si>
    <t>02/27/10</t>
  </si>
  <si>
    <t>03/31/10</t>
  </si>
  <si>
    <t>04/30/10</t>
  </si>
  <si>
    <t>05/31/09</t>
  </si>
  <si>
    <t>UC/Requirements, Architect, Design</t>
  </si>
  <si>
    <t>QA and Testing</t>
  </si>
  <si>
    <t>System Deployment</t>
  </si>
  <si>
    <t>Adoptor Activity</t>
  </si>
  <si>
    <t>Document Support</t>
  </si>
  <si>
    <t>CCTS 2.0 Support (NES)</t>
  </si>
  <si>
    <t>caBIG Compliance - SLC, BAM, BRIDG, 508, HIPPA, FDA-21CFR11</t>
  </si>
  <si>
    <t>System Dev./Impl.</t>
  </si>
  <si>
    <t>Completion %</t>
  </si>
  <si>
    <t>Subtotal</t>
  </si>
  <si>
    <t>RFP Proposed LOE</t>
  </si>
  <si>
    <t>% Compl.</t>
  </si>
  <si>
    <t>OV %</t>
  </si>
  <si>
    <t xml:space="preserve"> OV %</t>
  </si>
  <si>
    <t>Avg MR</t>
  </si>
  <si>
    <t>Accumulated Mon</t>
  </si>
  <si>
    <t>Bal</t>
  </si>
  <si>
    <t>Chk</t>
  </si>
  <si>
    <t>Adjusted Avg</t>
  </si>
  <si>
    <t xml:space="preserve"> ID</t>
  </si>
  <si>
    <t>Balance</t>
  </si>
  <si>
    <t>Base Period</t>
  </si>
  <si>
    <t>PI</t>
  </si>
  <si>
    <t>Project Mgr</t>
  </si>
  <si>
    <t>Type</t>
  </si>
  <si>
    <t>Adopters</t>
  </si>
  <si>
    <t xml:space="preserve">Name </t>
  </si>
  <si>
    <t>Subcontractor Information</t>
  </si>
  <si>
    <t>Category</t>
  </si>
  <si>
    <t>10/15/09</t>
  </si>
  <si>
    <t>09/15/09</t>
  </si>
  <si>
    <t>08/15/09</t>
  </si>
  <si>
    <t>07/15/09</t>
  </si>
  <si>
    <t>06/15/09</t>
  </si>
  <si>
    <t>05/15/10</t>
  </si>
  <si>
    <t>04/15/10</t>
  </si>
  <si>
    <t>03/15/10</t>
  </si>
  <si>
    <t>02/15/10</t>
  </si>
  <si>
    <t>01/15/09</t>
  </si>
  <si>
    <t>12/15/09</t>
  </si>
  <si>
    <t>11/15/09</t>
  </si>
  <si>
    <t>PSC Template Library</t>
  </si>
  <si>
    <t>Enterprise Svc Integration Tech Support</t>
  </si>
  <si>
    <t>PSC- Northwestern University with SemanticBits</t>
  </si>
  <si>
    <t>Sean Whitaker</t>
  </si>
  <si>
    <t>Rhett Sutphin</t>
  </si>
  <si>
    <t>Lead Arch/Dev</t>
  </si>
  <si>
    <t>Lee Esker</t>
  </si>
  <si>
    <t>Jalpa Patel</t>
  </si>
  <si>
    <t>Developer</t>
  </si>
  <si>
    <t>Nataliya Shurupova</t>
  </si>
  <si>
    <t>John Dzak</t>
  </si>
  <si>
    <t>Renee Webb</t>
  </si>
  <si>
    <t>SME</t>
  </si>
  <si>
    <t>Dong Fu</t>
  </si>
  <si>
    <t>System Admin</t>
  </si>
  <si>
    <t>Funded Effort:</t>
  </si>
  <si>
    <t>PSC Feature Support include Mobile Svc, Mult-site, and other enhancement</t>
  </si>
  <si>
    <t>David Patton</t>
  </si>
  <si>
    <t>Jignesh Patel</t>
  </si>
  <si>
    <t>Warren Kibbe</t>
    <phoneticPr fontId="10" type="noConversion"/>
  </si>
  <si>
    <t>System Admin</t>
    <phoneticPr fontId="10" type="noConversion"/>
  </si>
  <si>
    <t>Ram Chilukuri</t>
    <phoneticPr fontId="10" type="noConversion"/>
  </si>
</sst>
</file>

<file path=xl/styles.xml><?xml version="1.0" encoding="utf-8"?>
<styleSheet xmlns="http://schemas.openxmlformats.org/spreadsheetml/2006/main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.00_);_(&quot;$&quot;* \(#,##0.0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</font>
    <font>
      <b/>
      <sz val="14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8"/>
      <name val="Verdana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9" fontId="1" fillId="0" borderId="0" applyFont="0" applyFill="0" applyBorder="0" applyAlignment="0" applyProtection="0"/>
    <xf numFmtId="0" fontId="3" fillId="0" borderId="0"/>
  </cellStyleXfs>
  <cellXfs count="10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10" fontId="0" fillId="0" borderId="0" xfId="0" applyNumberFormat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5" fillId="0" borderId="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10" fontId="0" fillId="3" borderId="1" xfId="0" applyNumberFormat="1" applyFill="1" applyBorder="1"/>
    <xf numFmtId="10" fontId="0" fillId="6" borderId="1" xfId="0" applyNumberFormat="1" applyFill="1" applyBorder="1"/>
    <xf numFmtId="0" fontId="0" fillId="3" borderId="1" xfId="0" applyFill="1" applyBorder="1"/>
    <xf numFmtId="0" fontId="0" fillId="2" borderId="1" xfId="0" applyFill="1" applyBorder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0" fontId="0" fillId="4" borderId="1" xfId="0" applyFill="1" applyBorder="1" applyAlignment="1">
      <alignment horizontal="right" vertical="top" wrapText="1"/>
    </xf>
    <xf numFmtId="0" fontId="0" fillId="6" borderId="1" xfId="0" applyFill="1" applyBorder="1" applyAlignment="1">
      <alignment horizontal="right" vertical="top" wrapText="1"/>
    </xf>
    <xf numFmtId="0" fontId="0" fillId="3" borderId="1" xfId="0" applyFill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0" fillId="4" borderId="4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4" fontId="0" fillId="4" borderId="1" xfId="0" applyNumberFormat="1" applyFill="1" applyBorder="1" applyAlignment="1">
      <alignment horizontal="right" vertical="top" wrapText="1"/>
    </xf>
    <xf numFmtId="0" fontId="0" fillId="3" borderId="0" xfId="0" applyFill="1" applyAlignment="1">
      <alignment horizontal="right" vertical="top" wrapText="1"/>
    </xf>
    <xf numFmtId="10" fontId="0" fillId="0" borderId="0" xfId="0" applyNumberFormat="1" applyAlignment="1">
      <alignment horizontal="right" vertical="top" wrapText="1"/>
    </xf>
    <xf numFmtId="0" fontId="2" fillId="0" borderId="3" xfId="0" applyFont="1" applyBorder="1" applyAlignment="1">
      <alignment horizontal="center" vertical="top" wrapText="1"/>
    </xf>
    <xf numFmtId="10" fontId="0" fillId="3" borderId="1" xfId="0" applyNumberFormat="1" applyFill="1" applyBorder="1" applyAlignment="1">
      <alignment horizontal="right" vertical="top" wrapText="1"/>
    </xf>
    <xf numFmtId="0" fontId="0" fillId="3" borderId="2" xfId="0" applyFill="1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 indent="1"/>
    </xf>
    <xf numFmtId="0" fontId="0" fillId="0" borderId="0" xfId="0" applyAlignment="1">
      <alignment vertical="top" wrapText="1"/>
    </xf>
    <xf numFmtId="0" fontId="0" fillId="2" borderId="4" xfId="0" applyFill="1" applyBorder="1" applyAlignment="1">
      <alignment horizontal="right" vertical="top" wrapText="1"/>
    </xf>
    <xf numFmtId="1" fontId="0" fillId="0" borderId="0" xfId="0" applyNumberFormat="1" applyAlignment="1">
      <alignment horizontal="right" vertical="top" wrapText="1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14" fontId="0" fillId="4" borderId="1" xfId="0" applyNumberFormat="1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14" fontId="0" fillId="8" borderId="1" xfId="0" applyNumberFormat="1" applyFill="1" applyBorder="1" applyAlignment="1">
      <alignment horizontal="left" vertical="top" wrapText="1"/>
    </xf>
    <xf numFmtId="0" fontId="0" fillId="5" borderId="1" xfId="0" applyFill="1" applyBorder="1" applyAlignment="1">
      <alignment horizontal="right" vertical="top" wrapText="1"/>
    </xf>
    <xf numFmtId="14" fontId="0" fillId="0" borderId="0" xfId="0" applyNumberForma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Border="1"/>
    <xf numFmtId="0" fontId="2" fillId="0" borderId="0" xfId="0" applyFont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5" fillId="0" borderId="0" xfId="2" applyFont="1" applyFill="1" applyBorder="1"/>
    <xf numFmtId="0" fontId="5" fillId="0" borderId="0" xfId="2" applyFont="1" applyFill="1" applyBorder="1" applyAlignment="1">
      <alignment horizontal="right"/>
    </xf>
    <xf numFmtId="0" fontId="8" fillId="0" borderId="0" xfId="2" applyFont="1" applyFill="1" applyBorder="1"/>
    <xf numFmtId="169" fontId="8" fillId="0" borderId="0" xfId="2" applyNumberFormat="1" applyFont="1" applyFill="1" applyBorder="1"/>
    <xf numFmtId="169" fontId="5" fillId="0" borderId="0" xfId="2" applyNumberFormat="1" applyFont="1" applyFill="1" applyBorder="1"/>
    <xf numFmtId="0" fontId="7" fillId="0" borderId="0" xfId="2" applyFont="1" applyFill="1" applyBorder="1"/>
    <xf numFmtId="0" fontId="6" fillId="0" borderId="0" xfId="2" applyFont="1" applyFill="1" applyBorder="1"/>
    <xf numFmtId="169" fontId="5" fillId="0" borderId="0" xfId="1" applyFont="1" applyFill="1" applyBorder="1"/>
    <xf numFmtId="169" fontId="8" fillId="0" borderId="0" xfId="1" applyFont="1" applyFill="1" applyBorder="1"/>
    <xf numFmtId="0" fontId="8" fillId="0" borderId="0" xfId="2" applyFont="1" applyFill="1" applyBorder="1" applyAlignment="1">
      <alignment horizontal="right"/>
    </xf>
    <xf numFmtId="0" fontId="6" fillId="0" borderId="0" xfId="2" applyFont="1" applyFill="1" applyBorder="1" applyAlignment="1">
      <alignment horizontal="right"/>
    </xf>
    <xf numFmtId="169" fontId="6" fillId="0" borderId="0" xfId="1" applyFont="1" applyFill="1" applyBorder="1"/>
    <xf numFmtId="169" fontId="6" fillId="0" borderId="0" xfId="2" applyNumberFormat="1" applyFont="1" applyFill="1" applyBorder="1"/>
    <xf numFmtId="169" fontId="8" fillId="0" borderId="0" xfId="2" applyNumberFormat="1" applyFont="1" applyFill="1" applyBorder="1" applyAlignment="1">
      <alignment horizontal="center" wrapText="1"/>
    </xf>
    <xf numFmtId="10" fontId="8" fillId="0" borderId="0" xfId="2" applyNumberFormat="1" applyFont="1" applyFill="1" applyBorder="1" applyAlignment="1">
      <alignment horizontal="center"/>
    </xf>
    <xf numFmtId="0" fontId="5" fillId="0" borderId="0" xfId="2" applyNumberFormat="1" applyFont="1" applyFill="1" applyBorder="1"/>
    <xf numFmtId="10" fontId="5" fillId="0" borderId="0" xfId="2" applyNumberFormat="1" applyFont="1" applyFill="1" applyBorder="1"/>
    <xf numFmtId="0" fontId="9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right"/>
    </xf>
    <xf numFmtId="10" fontId="8" fillId="0" borderId="0" xfId="2" applyNumberFormat="1" applyFont="1" applyFill="1" applyBorder="1"/>
    <xf numFmtId="169" fontId="8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top" wrapText="1"/>
    </xf>
    <xf numFmtId="14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5" fillId="0" borderId="0" xfId="2" applyFont="1" applyFill="1" applyBorder="1" applyAlignment="1"/>
    <xf numFmtId="0" fontId="0" fillId="0" borderId="0" xfId="0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right" vertical="top" wrapText="1"/>
    </xf>
    <xf numFmtId="14" fontId="0" fillId="0" borderId="1" xfId="0" applyNumberForma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center" vertical="top" wrapText="1"/>
    </xf>
    <xf numFmtId="14" fontId="0" fillId="0" borderId="0" xfId="0" applyNumberFormat="1" applyAlignment="1">
      <alignment vertical="top" wrapText="1"/>
    </xf>
    <xf numFmtId="1" fontId="0" fillId="0" borderId="1" xfId="0" applyNumberFormat="1" applyFill="1" applyBorder="1" applyAlignment="1">
      <alignment horizontal="right" vertical="top" wrapText="1"/>
    </xf>
    <xf numFmtId="1" fontId="0" fillId="0" borderId="1" xfId="0" applyNumberForma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14" fontId="2" fillId="5" borderId="1" xfId="0" applyNumberFormat="1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righ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4" borderId="1" xfId="0" applyNumberFormat="1" applyFill="1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5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Normal_caAERS-Budget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4" Type="http://schemas.openxmlformats.org/officeDocument/2006/relationships/worksheet" Target="worksheets/sheet14.xml"/><Relationship Id="rId20" Type="http://schemas.openxmlformats.org/officeDocument/2006/relationships/calcChain" Target="calcChain.xml"/><Relationship Id="rId4" Type="http://schemas.openxmlformats.org/officeDocument/2006/relationships/worksheet" Target="worksheets/sheet4.xml"/><Relationship Id="rId7" Type="http://schemas.openxmlformats.org/officeDocument/2006/relationships/worksheet" Target="worksheets/sheet7.xml"/><Relationship Id="rId1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6" Type="http://schemas.openxmlformats.org/officeDocument/2006/relationships/worksheet" Target="worksheets/sheet16.xml"/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0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1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9" Type="http://schemas.openxmlformats.org/officeDocument/2006/relationships/worksheet" Target="worksheets/sheet9.xml"/><Relationship Id="rId3" Type="http://schemas.openxmlformats.org/officeDocument/2006/relationships/worksheet" Target="worksheets/sheet3.xml"/><Relationship Id="rId1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3"/>
  <sheetViews>
    <sheetView workbookViewId="0">
      <selection activeCell="G15" sqref="G15"/>
    </sheetView>
  </sheetViews>
  <sheetFormatPr baseColWidth="10" defaultColWidth="8.83203125" defaultRowHeight="14"/>
  <cols>
    <col min="1" max="1" width="5.5" style="40" customWidth="1"/>
    <col min="2" max="2" width="22" style="40" customWidth="1"/>
    <col min="3" max="3" width="14" style="40" customWidth="1"/>
    <col min="4" max="4" width="12.5" style="40" customWidth="1"/>
    <col min="5" max="5" width="13.5" style="40" customWidth="1"/>
    <col min="6" max="10" width="8.83203125" style="40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8</v>
      </c>
      <c r="L1" s="78">
        <f>'Project Summary'!L1</f>
        <v>39980</v>
      </c>
      <c r="M1" s="40" t="s">
        <v>9</v>
      </c>
      <c r="N1" s="78">
        <f>'Project Summary'!N1</f>
        <v>40344</v>
      </c>
      <c r="Q1" s="94" t="s">
        <v>67</v>
      </c>
      <c r="R1" s="94"/>
    </row>
    <row r="2" spans="1:21">
      <c r="B2" s="40" t="s">
        <v>29</v>
      </c>
      <c r="C2" s="95" t="s">
        <v>106</v>
      </c>
      <c r="D2" s="95"/>
      <c r="E2" s="95"/>
      <c r="G2" s="94" t="s">
        <v>102</v>
      </c>
      <c r="H2" s="94"/>
      <c r="I2" s="26">
        <f>C18/1920</f>
        <v>0.2</v>
      </c>
    </row>
    <row r="3" spans="1:21">
      <c r="B3" s="40" t="s">
        <v>27</v>
      </c>
      <c r="C3" s="41" t="s">
        <v>68</v>
      </c>
      <c r="D3" s="41"/>
      <c r="E3" s="41"/>
    </row>
    <row r="5" spans="1:21" s="47" customFormat="1">
      <c r="A5" s="47" t="s">
        <v>4</v>
      </c>
      <c r="B5" s="47" t="s">
        <v>10</v>
      </c>
      <c r="C5" s="20" t="s">
        <v>11</v>
      </c>
      <c r="D5" s="20" t="s">
        <v>24</v>
      </c>
      <c r="E5" s="20" t="s">
        <v>25</v>
      </c>
      <c r="F5" s="47" t="s">
        <v>60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f>160*MONTH(N1-L1)*0.1</f>
        <v>192</v>
      </c>
      <c r="D6" s="24">
        <v>39980</v>
      </c>
      <c r="E6" s="24">
        <v>40344</v>
      </c>
      <c r="G6" s="3">
        <v>16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40">
        <f>SUM(G6:R6)</f>
        <v>16</v>
      </c>
      <c r="U6" s="4">
        <f>T6/MAX(C6,1)</f>
        <v>8.3333333333333329E-2</v>
      </c>
    </row>
    <row r="7" spans="1:21" ht="28">
      <c r="A7" s="40">
        <v>2</v>
      </c>
      <c r="B7" s="40" t="str">
        <f>Milestones!C7</f>
        <v>UC/Requirements, Architect, Design</v>
      </c>
      <c r="C7" s="17">
        <f>160*MONTH(N1-L1)*0.05</f>
        <v>96</v>
      </c>
      <c r="D7" s="24">
        <v>39980</v>
      </c>
      <c r="E7" s="24">
        <v>40344</v>
      </c>
      <c r="G7" s="3">
        <v>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T7" s="40">
        <f t="shared" ref="T7:T18" si="0">SUM(G7:R7)</f>
        <v>8</v>
      </c>
      <c r="U7" s="4">
        <f>T7/MAX(C7,1)</f>
        <v>8.3333333333333329E-2</v>
      </c>
    </row>
    <row r="8" spans="1:21">
      <c r="A8" s="40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40">
        <f t="shared" si="0"/>
        <v>0</v>
      </c>
      <c r="U8" s="4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40">
        <f t="shared" si="0"/>
        <v>0</v>
      </c>
      <c r="U9" s="4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40">
        <f t="shared" si="0"/>
        <v>0</v>
      </c>
      <c r="U10" s="4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40">
        <f t="shared" si="0"/>
        <v>0</v>
      </c>
      <c r="U11" s="4">
        <f t="shared" si="1"/>
        <v>0</v>
      </c>
    </row>
    <row r="12" spans="1:21" ht="56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40">
        <f t="shared" si="0"/>
        <v>0</v>
      </c>
      <c r="U12" s="4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40">
        <f t="shared" si="0"/>
        <v>0</v>
      </c>
      <c r="U13" s="4">
        <f t="shared" si="1"/>
        <v>0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f>160*MONTH(N1-L1)*0.05</f>
        <v>96</v>
      </c>
      <c r="D14" s="24">
        <v>39980</v>
      </c>
      <c r="E14" s="24">
        <v>40344</v>
      </c>
      <c r="G14" s="3">
        <v>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40">
        <f t="shared" si="0"/>
        <v>4</v>
      </c>
      <c r="U14" s="4">
        <f t="shared" si="1"/>
        <v>4.1666666666666664E-2</v>
      </c>
    </row>
    <row r="15" spans="1:21">
      <c r="A15" s="40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40">
        <f t="shared" si="0"/>
        <v>0</v>
      </c>
      <c r="U15" s="4">
        <f t="shared" si="1"/>
        <v>0</v>
      </c>
    </row>
    <row r="16" spans="1:21">
      <c r="A16" s="40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40">
        <f t="shared" si="0"/>
        <v>0</v>
      </c>
      <c r="U16" s="4">
        <f t="shared" si="1"/>
        <v>0</v>
      </c>
    </row>
    <row r="17" spans="1:21">
      <c r="A17" s="40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40">
        <f t="shared" si="0"/>
        <v>0</v>
      </c>
      <c r="U17" s="4">
        <f t="shared" si="1"/>
        <v>0</v>
      </c>
    </row>
    <row r="18" spans="1:21" hidden="1">
      <c r="A18" s="79" t="s">
        <v>30</v>
      </c>
      <c r="B18" s="79"/>
      <c r="C18" s="79">
        <f>SUM(C13:C17)+SUM(C6:C8)</f>
        <v>384</v>
      </c>
      <c r="D18" s="79"/>
      <c r="E18" s="79"/>
      <c r="F18" s="79">
        <f>C18/MONTH(N1-L1)</f>
        <v>32</v>
      </c>
      <c r="G18" s="79">
        <f t="shared" ref="G18:R18" si="2">SUM(G6:G16)</f>
        <v>28</v>
      </c>
      <c r="H18" s="79">
        <f t="shared" si="2"/>
        <v>0</v>
      </c>
      <c r="I18" s="79">
        <f t="shared" si="2"/>
        <v>0</v>
      </c>
      <c r="J18" s="79">
        <f t="shared" si="2"/>
        <v>0</v>
      </c>
      <c r="K18" s="79">
        <f t="shared" si="2"/>
        <v>0</v>
      </c>
      <c r="L18" s="79">
        <f t="shared" si="2"/>
        <v>0</v>
      </c>
      <c r="M18" s="79">
        <f t="shared" si="2"/>
        <v>0</v>
      </c>
      <c r="N18" s="79">
        <f t="shared" si="2"/>
        <v>0</v>
      </c>
      <c r="O18" s="79">
        <f t="shared" si="2"/>
        <v>0</v>
      </c>
      <c r="P18" s="79">
        <f t="shared" si="2"/>
        <v>0</v>
      </c>
      <c r="Q18" s="79">
        <f t="shared" si="2"/>
        <v>0</v>
      </c>
      <c r="R18" s="79">
        <f t="shared" si="2"/>
        <v>0</v>
      </c>
      <c r="T18" s="40">
        <f t="shared" si="0"/>
        <v>28</v>
      </c>
      <c r="U18" s="4">
        <f t="shared" si="1"/>
        <v>7.2916666666666671E-2</v>
      </c>
    </row>
    <row r="19" spans="1:21" hidden="1">
      <c r="A19" s="40" t="s">
        <v>58</v>
      </c>
      <c r="C19" s="4">
        <f xml:space="preserve"> IF(C18&lt;T18, (T18-C18)/MAX(C18,1),0 )</f>
        <v>0</v>
      </c>
      <c r="G19" s="4">
        <f xml:space="preserve"> IF(G23=0,0,(G18-F18)/F18)</f>
        <v>-0.125</v>
      </c>
      <c r="H19" s="4">
        <f xml:space="preserve"> IF(H18=0, 0,(H18-F18)/F18)</f>
        <v>0</v>
      </c>
      <c r="I19" s="4">
        <f xml:space="preserve"> IF(I18=0, 0,(I18-F18)/F18)</f>
        <v>0</v>
      </c>
      <c r="J19" s="4">
        <f xml:space="preserve"> IF(J18=0, 0,(J18-F18)/F18)</f>
        <v>0</v>
      </c>
      <c r="K19" s="4">
        <f xml:space="preserve"> IF(K18=0, 0,(K18-F18)/F18)</f>
        <v>0</v>
      </c>
      <c r="L19" s="4">
        <f xml:space="preserve"> IF(L18=0, 0,(L18-F18)/F18)</f>
        <v>0</v>
      </c>
      <c r="M19" s="4">
        <f xml:space="preserve"> IF(M18=0, 0,(M18-F18)/F18)</f>
        <v>0</v>
      </c>
      <c r="N19" s="4">
        <f xml:space="preserve"> IF(N18=0, 0,(N18-F18)/F18)</f>
        <v>0</v>
      </c>
      <c r="O19" s="4">
        <f xml:space="preserve"> IF(O18=0, 0,(O18-F18)/F18)</f>
        <v>0</v>
      </c>
      <c r="P19" s="4">
        <f xml:space="preserve"> IF(P18=0, 0,(P18-F18)/F18)</f>
        <v>0</v>
      </c>
      <c r="Q19" s="4">
        <f xml:space="preserve"> IF(Q18=0, 0,(Q18-F18)/F18)</f>
        <v>0</v>
      </c>
      <c r="R19" s="4">
        <f xml:space="preserve"> IF(R18=0, 0,(R18-F18)/F18)</f>
        <v>0</v>
      </c>
    </row>
    <row r="20" spans="1:21" hidden="1">
      <c r="B20" s="40" t="s">
        <v>56</v>
      </c>
      <c r="C20" s="40">
        <v>192</v>
      </c>
    </row>
    <row r="21" spans="1:21" hidden="1">
      <c r="G21" s="80">
        <f>IF(G23 = 0, 0, (C18-SUM(G18:G18))/(MONTH(N1-G5)))</f>
        <v>32.363636363636367</v>
      </c>
      <c r="H21" s="80">
        <f>IF(H23 = 0, 0, (C18-SUM(G18:H18))/(MONTH(N1-H5)))</f>
        <v>0</v>
      </c>
      <c r="I21" s="80">
        <f ca="1">IF(I23 = 0, 0, (C18-SUM(G18:I18))/(MONTH(N1-I5)))</f>
        <v>0</v>
      </c>
      <c r="J21" s="80">
        <f ca="1">IF(J23 = 0, 0, (C18-SUM(G18:J18))/(MONTH(N1-J5)))</f>
        <v>0</v>
      </c>
      <c r="K21" s="80">
        <f>IF(K23 = 0, 0, (C18-SUM(G18:K18))/(MONTH(N1-K5)))</f>
        <v>0</v>
      </c>
      <c r="L21" s="80">
        <f>IF(L23 = 0, 0, (C18-SUM(G18:L18))/(MONTH(N1-L5)))</f>
        <v>0</v>
      </c>
      <c r="M21" s="80">
        <f>IF(M23 = 0, 0, (C18-SUM(G18:M18))/(MONTH(N1-M5)))</f>
        <v>0</v>
      </c>
      <c r="N21" s="80">
        <f>IF(N23 = 0, 0, (C18-SUM(G18:N18))/(MONTH(N1-N5)))</f>
        <v>0</v>
      </c>
      <c r="O21" s="80">
        <f>IF(O23 = 0, 0, (C18-SUM(G18:O18))/(MONTH(N1-O5)))</f>
        <v>0</v>
      </c>
      <c r="P21" s="80">
        <f>IF(P23 = 0, 0, (C18-SUM(G18:P18))/(MONTH(N1-P5)))</f>
        <v>0</v>
      </c>
      <c r="Q21" s="80">
        <f>IF(Q23 = 0, 0, (C18-SUM(G18:Q18))/(MONTH(N1-Q5)))</f>
        <v>0</v>
      </c>
      <c r="R21" s="80">
        <f>IF(R23 = 0, 0, (C18-SUM(G18:R18)))</f>
        <v>0</v>
      </c>
    </row>
    <row r="22" spans="1:21" hidden="1">
      <c r="G22" s="40">
        <f>IF(G23=0, 0, C18-SUM(G18:G18))</f>
        <v>356</v>
      </c>
      <c r="H22" s="40">
        <f>IF(H23=0, 0,C18-SUM(G18:H18))</f>
        <v>0</v>
      </c>
      <c r="I22" s="40">
        <f ca="1">IF(I23=0, 0,C18-SUM(G18:I18))</f>
        <v>0</v>
      </c>
      <c r="J22" s="40">
        <f ca="1">IF(J23=0, 0,C18-SUM(G18:J18))</f>
        <v>0</v>
      </c>
      <c r="K22" s="40">
        <f>IF(K23=0, 0,C18-SUM(G18:K18))</f>
        <v>0</v>
      </c>
      <c r="L22" s="40">
        <f>IF(L23=0, 0,C18-SUM(G18:L18))</f>
        <v>0</v>
      </c>
      <c r="M22" s="40">
        <f>IF(M23=0, 0,C18-SUM(G18:M18))</f>
        <v>0</v>
      </c>
      <c r="N22" s="40">
        <f>IF(N23=0, 0,C18-SUM(G18:N18))</f>
        <v>0</v>
      </c>
      <c r="O22" s="40">
        <f>IF(O23=0, 0,C18-SUM(G18:O18))</f>
        <v>0</v>
      </c>
      <c r="P22" s="40">
        <f>IF(P23=0, 0,C18-SUM(G18:P18))</f>
        <v>0</v>
      </c>
      <c r="Q22" s="40">
        <f>IF(Q23=0, 0,C18-SUM(G18:Q18))</f>
        <v>0</v>
      </c>
      <c r="R22" s="40">
        <f>IF(R23=0, 0,C18-SUM(G18:R18))</f>
        <v>0</v>
      </c>
    </row>
    <row r="23" spans="1:21" hidden="1">
      <c r="G23" s="40">
        <f>'Project Summary'!G16</f>
        <v>785</v>
      </c>
      <c r="H23" s="40">
        <f>'Project Summary'!H16</f>
        <v>0</v>
      </c>
      <c r="I23" s="40">
        <f ca="1">'Project Summary'!I16</f>
        <v>0</v>
      </c>
      <c r="J23" s="40">
        <f ca="1">'Project Summary'!J16</f>
        <v>0</v>
      </c>
      <c r="K23" s="40">
        <f>'Project Summary'!K16</f>
        <v>0</v>
      </c>
      <c r="L23" s="40">
        <f>'Project Summary'!L16</f>
        <v>0</v>
      </c>
      <c r="M23" s="40">
        <f>'Project Summary'!M16</f>
        <v>0</v>
      </c>
      <c r="N23" s="40">
        <f>'Project Summary'!N16</f>
        <v>0</v>
      </c>
      <c r="O23" s="40">
        <f>'Project Summary'!O16</f>
        <v>0</v>
      </c>
      <c r="P23" s="40">
        <f>'Project Summary'!P16</f>
        <v>0</v>
      </c>
      <c r="Q23" s="40">
        <f>'Project Summary'!Q16</f>
        <v>0</v>
      </c>
      <c r="R23" s="40">
        <f>'Project Summary'!R16</f>
        <v>0</v>
      </c>
    </row>
  </sheetData>
  <sheetCalcPr fullCalcOnLoad="1"/>
  <mergeCells count="5">
    <mergeCell ref="A1:B1"/>
    <mergeCell ref="C1:H1"/>
    <mergeCell ref="C2:E2"/>
    <mergeCell ref="Q1:R1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3"/>
  <sheetViews>
    <sheetView workbookViewId="0">
      <selection activeCell="G8" sqref="G8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8</v>
      </c>
      <c r="L1" s="82">
        <f>'Project Summary'!L1</f>
        <v>39980</v>
      </c>
      <c r="M1" s="1" t="s">
        <v>9</v>
      </c>
      <c r="N1" s="82">
        <f>'Project Summary'!N1</f>
        <v>40344</v>
      </c>
    </row>
    <row r="2" spans="1:21">
      <c r="B2" s="1" t="s">
        <v>29</v>
      </c>
      <c r="C2" s="95" t="s">
        <v>98</v>
      </c>
      <c r="D2" s="95"/>
      <c r="E2" s="95"/>
      <c r="G2" s="94" t="s">
        <v>102</v>
      </c>
      <c r="H2" s="94"/>
      <c r="I2" s="26">
        <v>0.05</v>
      </c>
    </row>
    <row r="3" spans="1:21">
      <c r="B3" s="1" t="s">
        <v>27</v>
      </c>
      <c r="C3" s="41" t="s">
        <v>99</v>
      </c>
      <c r="D3" s="5"/>
      <c r="E3" s="5"/>
    </row>
    <row r="5" spans="1:21" s="20" customFormat="1">
      <c r="A5" s="20" t="s">
        <v>4</v>
      </c>
      <c r="B5" s="20" t="s">
        <v>10</v>
      </c>
      <c r="C5" s="20" t="s">
        <v>11</v>
      </c>
      <c r="D5" s="20" t="s">
        <v>24</v>
      </c>
      <c r="E5" s="20" t="s">
        <v>25</v>
      </c>
      <c r="F5" s="27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96</v>
      </c>
      <c r="D7" s="24">
        <v>40345</v>
      </c>
      <c r="E7" s="24">
        <v>40344</v>
      </c>
      <c r="G7" s="14">
        <v>8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8</v>
      </c>
      <c r="U7" s="26">
        <f>T7/MAX(C7,1)</f>
        <v>8.3333333333333329E-2</v>
      </c>
    </row>
    <row r="8" spans="1:21">
      <c r="A8" s="1">
        <v>3</v>
      </c>
      <c r="B8" s="40" t="str">
        <f>Milestones!C8</f>
        <v>System Dev./Impl.</v>
      </c>
      <c r="C8" s="17">
        <v>0</v>
      </c>
      <c r="D8" s="24">
        <v>40345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>
        <v>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>T9/MAX(C9,1)</f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/>
      <c r="D10" s="24">
        <v>40345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/>
      <c r="D12" s="24">
        <v>40345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40345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40345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40345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30</v>
      </c>
      <c r="B18" s="25"/>
      <c r="C18" s="25">
        <f>SUM(C13:C17)+SUM(C6:C8)</f>
        <v>96</v>
      </c>
      <c r="D18" s="25"/>
      <c r="E18" s="25"/>
      <c r="F18" s="25">
        <f>C18/MONTH(N1-L1)</f>
        <v>8</v>
      </c>
      <c r="G18" s="25">
        <f t="shared" ref="G18:R18" si="2">SUM(G6:G14)</f>
        <v>8</v>
      </c>
      <c r="H18" s="25">
        <f t="shared" si="2"/>
        <v>0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8</v>
      </c>
      <c r="U18" s="26">
        <f t="shared" si="1"/>
        <v>8.3333333333333329E-2</v>
      </c>
    </row>
    <row r="19" spans="1:21" ht="28" hidden="1">
      <c r="A19" s="1" t="s">
        <v>59</v>
      </c>
      <c r="C19" s="4">
        <f xml:space="preserve"> IF(C18&lt;T18, (T18-C18)/MAX(C18,1),0 )</f>
        <v>0</v>
      </c>
      <c r="G19" s="4">
        <f>IF(G23=0,0, (G18-F18)/F18)</f>
        <v>0</v>
      </c>
      <c r="H19" s="4">
        <f xml:space="preserve"> IF(H18=0, 0,(H18-F18)/F18)</f>
        <v>0</v>
      </c>
      <c r="I19" s="4">
        <f xml:space="preserve"> IF(I18=0, 0,(I18-F18)/F18)</f>
        <v>0</v>
      </c>
      <c r="J19" s="4">
        <f xml:space="preserve"> IF(J18=0, 0,(J18-F18)/F18)</f>
        <v>0</v>
      </c>
      <c r="K19" s="4">
        <f xml:space="preserve"> IF(K18=0, 0,(K18-F18)/F18)</f>
        <v>0</v>
      </c>
      <c r="L19" s="4">
        <f xml:space="preserve"> IF(L18=0, 0,(L18-F18)/F18)</f>
        <v>0</v>
      </c>
      <c r="M19" s="4">
        <f xml:space="preserve"> IF(M18=0, 0,(M18-F18)/F18)</f>
        <v>0</v>
      </c>
      <c r="N19" s="4">
        <f xml:space="preserve"> IF(N18=0, 0,(N18-F18)/F18)</f>
        <v>0</v>
      </c>
      <c r="O19" s="4">
        <f xml:space="preserve"> IF(O18=0, 0,(O18-F18)/F18)</f>
        <v>0</v>
      </c>
      <c r="P19" s="4">
        <f xml:space="preserve"> IF(P18=0, 0,(P18-F18)/F18)</f>
        <v>0</v>
      </c>
      <c r="Q19" s="4">
        <f xml:space="preserve"> IF(Q18=0, 0,(Q18-F18)/F18)</f>
        <v>0</v>
      </c>
      <c r="R19" s="4">
        <f xml:space="preserve"> IF(R18=0, 0,(R18-F18)/F18)</f>
        <v>0</v>
      </c>
    </row>
    <row r="20" spans="1:21" hidden="1">
      <c r="B20" s="1" t="s">
        <v>56</v>
      </c>
      <c r="C20" s="6">
        <v>1920</v>
      </c>
    </row>
    <row r="21" spans="1:21" hidden="1">
      <c r="G21" s="6">
        <f>IF(G23 = 0, 0, (C18-SUM(G18:G18))/(MONTH(N1-G5)))</f>
        <v>8</v>
      </c>
      <c r="H21" s="6">
        <f>IF(H23 = 0, 0, (C18-SUM(G18:H18))/(MONTH(N1-H5)))</f>
        <v>0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88</v>
      </c>
      <c r="H22" s="6">
        <f>IF(H23=0, 0,C18-SUM(G18:H18))</f>
        <v>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0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sheetCalcPr fullCalcOnLoad="1"/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3"/>
  <sheetViews>
    <sheetView workbookViewId="0">
      <selection activeCell="G8" sqref="G8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8.83203125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8</v>
      </c>
      <c r="L1" s="82">
        <f>'Project Summary'!L1</f>
        <v>39980</v>
      </c>
      <c r="M1" s="1" t="s">
        <v>9</v>
      </c>
      <c r="N1" s="82">
        <f>'Project Summary'!N1</f>
        <v>40344</v>
      </c>
    </row>
    <row r="2" spans="1:21">
      <c r="B2" s="1" t="s">
        <v>29</v>
      </c>
      <c r="C2" s="95" t="s">
        <v>100</v>
      </c>
      <c r="D2" s="95"/>
      <c r="E2" s="95"/>
      <c r="G2" s="94" t="s">
        <v>102</v>
      </c>
      <c r="H2" s="94"/>
      <c r="I2" s="26">
        <v>0.2</v>
      </c>
    </row>
    <row r="3" spans="1:21">
      <c r="B3" s="1" t="s">
        <v>27</v>
      </c>
      <c r="C3" s="41" t="s">
        <v>101</v>
      </c>
      <c r="D3" s="5"/>
      <c r="E3" s="5"/>
    </row>
    <row r="5" spans="1:21" s="15" customFormat="1">
      <c r="A5" s="15" t="s">
        <v>4</v>
      </c>
      <c r="B5" s="15" t="s">
        <v>10</v>
      </c>
      <c r="C5" s="20" t="s">
        <v>11</v>
      </c>
      <c r="D5" s="20" t="s">
        <v>24</v>
      </c>
      <c r="E5" s="20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128</v>
      </c>
      <c r="D7" s="24">
        <v>40345</v>
      </c>
      <c r="E7" s="24">
        <v>40344</v>
      </c>
      <c r="G7" s="14">
        <v>11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11</v>
      </c>
      <c r="U7" s="26">
        <f>T7/MAX(C7,1)</f>
        <v>8.59375E-2</v>
      </c>
    </row>
    <row r="8" spans="1:21">
      <c r="A8" s="1">
        <v>3</v>
      </c>
      <c r="B8" s="40" t="str">
        <f>Milestones!C8</f>
        <v>System Dev./Impl.</v>
      </c>
      <c r="C8" s="17">
        <v>0</v>
      </c>
      <c r="D8" s="24">
        <v>40345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G12" s="14">
        <v>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64</v>
      </c>
      <c r="D14" s="24">
        <v>40345</v>
      </c>
      <c r="E14" s="24">
        <v>40344</v>
      </c>
      <c r="G14" s="14">
        <v>5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5</v>
      </c>
      <c r="U14" s="26">
        <f t="shared" si="1"/>
        <v>7.8125E-2</v>
      </c>
    </row>
    <row r="15" spans="1:21">
      <c r="A15" s="1">
        <v>6</v>
      </c>
      <c r="B15" s="40" t="str">
        <f>Milestones!C15</f>
        <v>System Deployment</v>
      </c>
      <c r="C15" s="17">
        <v>64</v>
      </c>
      <c r="D15" s="24">
        <v>40345</v>
      </c>
      <c r="E15" s="24">
        <v>40344</v>
      </c>
      <c r="G15" s="14">
        <v>6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6</v>
      </c>
      <c r="U15" s="26">
        <f t="shared" si="1"/>
        <v>9.375E-2</v>
      </c>
    </row>
    <row r="16" spans="1:21">
      <c r="A16" s="1">
        <v>7</v>
      </c>
      <c r="B16" s="40" t="str">
        <f>Milestones!C16</f>
        <v>Document Support</v>
      </c>
      <c r="C16" s="17">
        <v>64</v>
      </c>
      <c r="D16" s="24">
        <v>40345</v>
      </c>
      <c r="E16" s="24">
        <v>40344</v>
      </c>
      <c r="G16" s="14">
        <v>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6</v>
      </c>
      <c r="U16" s="26">
        <f t="shared" si="1"/>
        <v>9.375E-2</v>
      </c>
    </row>
    <row r="17" spans="1:21">
      <c r="A17" s="1">
        <v>8</v>
      </c>
      <c r="B17" s="40" t="str">
        <f>Milestones!C17</f>
        <v>Adoptor Activity</v>
      </c>
      <c r="C17" s="17">
        <v>64</v>
      </c>
      <c r="D17" s="24">
        <v>40345</v>
      </c>
      <c r="E17" s="24">
        <v>40344</v>
      </c>
      <c r="G17" s="14">
        <v>5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5</v>
      </c>
      <c r="U17" s="26">
        <f t="shared" si="1"/>
        <v>7.8125E-2</v>
      </c>
    </row>
    <row r="18" spans="1:21" s="6" customFormat="1" hidden="1">
      <c r="A18" s="25" t="s">
        <v>30</v>
      </c>
      <c r="B18" s="25"/>
      <c r="C18" s="25">
        <f>SUM(C13:C17)+SUM(C6:C8)</f>
        <v>384</v>
      </c>
      <c r="D18" s="25"/>
      <c r="E18" s="25"/>
      <c r="F18" s="25">
        <f>C18/MONTH(N1-L1)</f>
        <v>32</v>
      </c>
      <c r="G18" s="25">
        <f t="shared" ref="G18:R18" si="2">SUM(G6:G14)</f>
        <v>16</v>
      </c>
      <c r="H18" s="25">
        <f t="shared" si="2"/>
        <v>0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16</v>
      </c>
      <c r="U18" s="26">
        <f t="shared" si="1"/>
        <v>4.1666666666666664E-2</v>
      </c>
    </row>
    <row r="19" spans="1:21" hidden="1">
      <c r="A19" s="1" t="s">
        <v>58</v>
      </c>
      <c r="C19" s="26">
        <f xml:space="preserve"> IF(C18&lt;T18, (T18-C18)/MAX(C18,1),0 )</f>
        <v>0</v>
      </c>
      <c r="G19" s="26">
        <f>IF(G23=0,0, (G18-F18)/F18)</f>
        <v>-0.5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1" t="s">
        <v>56</v>
      </c>
    </row>
    <row r="21" spans="1:21" hidden="1">
      <c r="G21" s="6">
        <f>IF(G23 = 0, 0, (C18-SUM(G18:G18))/(MONTH(N1-G5)))</f>
        <v>33.454545454545453</v>
      </c>
      <c r="H21" s="6">
        <f>IF(H23 = 0, 0, (C18-SUM(G18:H18))/(MONTH(N1-H5)))</f>
        <v>0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368</v>
      </c>
      <c r="H22" s="6">
        <f>IF(H23=0, 0,C18-SUM(G18:H18))</f>
        <v>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0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sheetCalcPr fullCalcOnLoad="1"/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ignoredErrors>
    <ignoredError sqref="C18" formulaRang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3"/>
  <sheetViews>
    <sheetView workbookViewId="0">
      <selection activeCell="G9" sqref="G9"/>
    </sheetView>
  </sheetViews>
  <sheetFormatPr baseColWidth="10" defaultColWidth="8.83203125" defaultRowHeight="14"/>
  <cols>
    <col min="1" max="1" width="5.5" style="40" customWidth="1"/>
    <col min="2" max="2" width="25.33203125" style="40" customWidth="1"/>
    <col min="3" max="3" width="15.83203125" style="40" customWidth="1"/>
    <col min="4" max="4" width="11.1640625" style="40" customWidth="1"/>
    <col min="5" max="5" width="12" style="40" customWidth="1"/>
    <col min="6" max="7" width="8.83203125" style="40"/>
    <col min="8" max="8" width="9.5" style="40" bestFit="1" customWidth="1"/>
    <col min="9" max="9" width="8.83203125" style="40"/>
    <col min="10" max="10" width="9.5" style="40" bestFit="1" customWidth="1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8</v>
      </c>
      <c r="L1" s="82">
        <f>'Project Summary'!L1</f>
        <v>39980</v>
      </c>
      <c r="M1" s="40" t="s">
        <v>9</v>
      </c>
      <c r="N1" s="82">
        <f>'Project Summary'!N1</f>
        <v>40344</v>
      </c>
    </row>
    <row r="2" spans="1:21">
      <c r="B2" s="40" t="s">
        <v>29</v>
      </c>
      <c r="C2" s="95" t="s">
        <v>1</v>
      </c>
      <c r="D2" s="95"/>
      <c r="E2" s="95"/>
      <c r="G2" s="94" t="s">
        <v>102</v>
      </c>
      <c r="H2" s="94"/>
      <c r="I2" s="26">
        <f>C18/1920</f>
        <v>1</v>
      </c>
    </row>
    <row r="3" spans="1:21">
      <c r="B3" s="40" t="s">
        <v>27</v>
      </c>
      <c r="C3" s="41" t="s">
        <v>95</v>
      </c>
      <c r="D3" s="41"/>
      <c r="E3" s="41"/>
    </row>
    <row r="5" spans="1:21" s="47" customFormat="1">
      <c r="A5" s="47" t="s">
        <v>4</v>
      </c>
      <c r="B5" s="47" t="s">
        <v>10</v>
      </c>
      <c r="C5" s="20" t="s">
        <v>11</v>
      </c>
      <c r="D5" s="20" t="s">
        <v>24</v>
      </c>
      <c r="E5" s="20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40">
        <v>2</v>
      </c>
      <c r="B7" s="40" t="str">
        <f>Milestones!C7</f>
        <v>UC/Requirements, Architect, Design</v>
      </c>
      <c r="C7" s="17">
        <v>0</v>
      </c>
      <c r="D7" s="24">
        <v>40345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40">
        <v>3</v>
      </c>
      <c r="B8" s="40" t="str">
        <f>Milestones!C8</f>
        <v>System Dev./Impl.</v>
      </c>
      <c r="C8" s="17">
        <v>1920</v>
      </c>
      <c r="D8" s="24">
        <v>40345</v>
      </c>
      <c r="E8" s="24">
        <v>40344</v>
      </c>
      <c r="G8" s="14">
        <v>100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100</v>
      </c>
      <c r="U8" s="26">
        <f t="shared" ref="U8:U18" si="1">T8/MAX(C8,1)</f>
        <v>5.2083333333333336E-2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40">
        <v>6</v>
      </c>
      <c r="B15" s="40" t="str">
        <f>Milestones!C15</f>
        <v>System Deployment</v>
      </c>
      <c r="C15" s="17">
        <v>0</v>
      </c>
      <c r="D15" s="24">
        <v>40345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40">
        <v>7</v>
      </c>
      <c r="B16" s="40" t="str">
        <f>Milestones!C16</f>
        <v>Document Support</v>
      </c>
      <c r="C16" s="17">
        <v>0</v>
      </c>
      <c r="D16" s="24">
        <v>40345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 ht="27" customHeight="1">
      <c r="A17" s="40">
        <v>8</v>
      </c>
      <c r="B17" s="40" t="str">
        <f>Milestones!C17</f>
        <v>Adoptor Activity</v>
      </c>
      <c r="C17" s="17">
        <v>0</v>
      </c>
      <c r="D17" s="24">
        <v>40345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>
      <c r="A18" s="25" t="s">
        <v>30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100</v>
      </c>
      <c r="H18" s="25">
        <f t="shared" si="2"/>
        <v>0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100</v>
      </c>
      <c r="U18" s="26">
        <f t="shared" si="1"/>
        <v>5.2083333333333336E-2</v>
      </c>
    </row>
    <row r="19" spans="1:21">
      <c r="A19" s="40" t="s">
        <v>58</v>
      </c>
      <c r="C19" s="26">
        <f xml:space="preserve"> IF(C18&lt;T18, (T18-C18)/MAX(C18,1),0 )</f>
        <v>0</v>
      </c>
      <c r="G19" s="26">
        <f>IF(G23=0,0, (G18-F18)/F18)</f>
        <v>-0.375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>
      <c r="B20" s="40" t="s">
        <v>56</v>
      </c>
    </row>
    <row r="21" spans="1:21">
      <c r="G21" s="6">
        <f>IF(G23 = 0, 0, (C18-SUM(G18:G18))/(MONTH(N1-G5)))</f>
        <v>165.45454545454547</v>
      </c>
      <c r="H21" s="6">
        <f>IF(H23 = 0, 0, (C18-SUM(G18:H18))/(MONTH(N1-H5)))</f>
        <v>0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>
      <c r="G22" s="6">
        <f>IF(G23=0, 0, C18-SUM(G18:G18))</f>
        <v>1820</v>
      </c>
      <c r="H22" s="6">
        <f>IF(H23=0, 0,C18-SUM(G18:H18))</f>
        <v>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t="23" customHeight="1">
      <c r="G23" s="6">
        <f>'Project Summary'!G16</f>
        <v>785</v>
      </c>
      <c r="H23" s="6">
        <f>'Project Summary'!H16</f>
        <v>0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sheetCalcPr fullCalcOnLoad="1"/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7"/>
  <sheetViews>
    <sheetView topLeftCell="N1" zoomScale="115" zoomScaleNormal="115" zoomScalePageLayoutView="115" workbookViewId="0">
      <selection activeCell="C16" sqref="A16:XFD17"/>
    </sheetView>
  </sheetViews>
  <sheetFormatPr baseColWidth="10" defaultColWidth="16.6640625" defaultRowHeight="14"/>
  <cols>
    <col min="1" max="1" width="16.6640625" style="30"/>
    <col min="2" max="2" width="19.5" style="30" customWidth="1"/>
    <col min="3" max="3" width="16.6640625" style="30"/>
    <col min="4" max="4" width="12.5" style="30" customWidth="1"/>
    <col min="5" max="5" width="13.33203125" style="30" customWidth="1"/>
    <col min="6" max="6" width="12.1640625" style="30" customWidth="1"/>
    <col min="7" max="16384" width="16.6640625" style="30"/>
  </cols>
  <sheetData>
    <row r="1" spans="1:20">
      <c r="A1" s="94" t="s">
        <v>7</v>
      </c>
      <c r="B1" s="94"/>
      <c r="C1" s="96" t="s">
        <v>89</v>
      </c>
      <c r="D1" s="96"/>
      <c r="E1" s="96"/>
      <c r="F1" s="96"/>
      <c r="G1" s="96"/>
      <c r="H1" s="96"/>
      <c r="K1" s="30" t="s">
        <v>8</v>
      </c>
      <c r="L1" s="42">
        <v>39980</v>
      </c>
      <c r="M1" s="30" t="s">
        <v>9</v>
      </c>
      <c r="N1" s="42">
        <v>40344</v>
      </c>
    </row>
    <row r="2" spans="1:20" s="38" customFormat="1">
      <c r="G2" s="38" t="s">
        <v>12</v>
      </c>
      <c r="H2" s="38" t="s">
        <v>13</v>
      </c>
      <c r="I2" s="38" t="s">
        <v>14</v>
      </c>
      <c r="J2" s="38" t="s">
        <v>15</v>
      </c>
      <c r="K2" s="38" t="s">
        <v>16</v>
      </c>
      <c r="L2" s="38" t="s">
        <v>17</v>
      </c>
      <c r="M2" s="38" t="s">
        <v>18</v>
      </c>
      <c r="N2" s="38" t="s">
        <v>19</v>
      </c>
      <c r="O2" s="38" t="s">
        <v>20</v>
      </c>
      <c r="P2" s="38" t="s">
        <v>21</v>
      </c>
      <c r="Q2" s="38" t="s">
        <v>22</v>
      </c>
      <c r="R2" s="38" t="s">
        <v>23</v>
      </c>
      <c r="S2" s="38" t="s">
        <v>31</v>
      </c>
      <c r="T2" s="38" t="s">
        <v>54</v>
      </c>
    </row>
    <row r="3" spans="1:20" s="15" customFormat="1">
      <c r="A3" s="15" t="s">
        <v>4</v>
      </c>
      <c r="B3" s="15" t="s">
        <v>5</v>
      </c>
      <c r="C3" s="15" t="s">
        <v>6</v>
      </c>
      <c r="D3" s="15" t="s">
        <v>28</v>
      </c>
      <c r="E3" s="15" t="s">
        <v>8</v>
      </c>
      <c r="F3" s="15" t="s">
        <v>9</v>
      </c>
      <c r="G3" s="16" t="s">
        <v>78</v>
      </c>
      <c r="H3" s="16" t="s">
        <v>77</v>
      </c>
      <c r="I3" s="16" t="s">
        <v>76</v>
      </c>
      <c r="J3" s="16" t="s">
        <v>75</v>
      </c>
      <c r="K3" s="16" t="s">
        <v>86</v>
      </c>
      <c r="L3" s="16" t="s">
        <v>85</v>
      </c>
      <c r="M3" s="16" t="s">
        <v>84</v>
      </c>
      <c r="N3" s="16" t="s">
        <v>83</v>
      </c>
      <c r="O3" s="16" t="s">
        <v>82</v>
      </c>
      <c r="P3" s="16" t="s">
        <v>81</v>
      </c>
      <c r="Q3" s="16" t="s">
        <v>80</v>
      </c>
      <c r="R3" s="16" t="s">
        <v>79</v>
      </c>
      <c r="S3" s="20"/>
      <c r="T3" s="20"/>
    </row>
    <row r="4" spans="1:20">
      <c r="A4" s="30">
        <v>1</v>
      </c>
      <c r="B4" s="30" t="str">
        <f>Warren!C2</f>
        <v>Warren Kibbe</v>
      </c>
      <c r="C4" s="30" t="str">
        <f>Warren!C3</f>
        <v>PI</v>
      </c>
      <c r="D4" s="6">
        <f>Warren!C18</f>
        <v>384</v>
      </c>
      <c r="E4" s="44">
        <f>MIN(Warren!D6:D17)</f>
        <v>39980</v>
      </c>
      <c r="F4" s="44">
        <f>MAX(Warren!E6:E17)</f>
        <v>40344</v>
      </c>
      <c r="G4" s="43">
        <f>Warren!G18</f>
        <v>28</v>
      </c>
      <c r="H4" s="43">
        <f>Warren!H18</f>
        <v>0</v>
      </c>
      <c r="I4" s="43">
        <f>Warren!I18</f>
        <v>0</v>
      </c>
      <c r="J4" s="43">
        <f>Warren!J18</f>
        <v>0</v>
      </c>
      <c r="K4" s="43">
        <f>Warren!K18</f>
        <v>0</v>
      </c>
      <c r="L4" s="43">
        <f>Warren!L18</f>
        <v>0</v>
      </c>
      <c r="M4" s="43">
        <f>Warren!M18</f>
        <v>0</v>
      </c>
      <c r="N4" s="43">
        <f>Warren!N18</f>
        <v>0</v>
      </c>
      <c r="O4" s="43">
        <f>Warren!O18</f>
        <v>0</v>
      </c>
      <c r="P4" s="77">
        <f>Warren!P18</f>
        <v>0</v>
      </c>
      <c r="Q4" s="77">
        <f>Warren!Q18</f>
        <v>0</v>
      </c>
      <c r="R4" s="77">
        <f>Warren!IR8</f>
        <v>0</v>
      </c>
      <c r="S4" s="88">
        <f t="shared" ref="S4:S15" si="0">SUM(G4:R4)</f>
        <v>28</v>
      </c>
      <c r="T4" s="28">
        <f>S4/MAX(1,D4)</f>
        <v>7.2916666666666671E-2</v>
      </c>
    </row>
    <row r="5" spans="1:20">
      <c r="A5" s="30">
        <v>2</v>
      </c>
      <c r="B5" s="30" t="str">
        <f>Sean!C2</f>
        <v>Sean Whitaker</v>
      </c>
      <c r="C5" s="30" t="str">
        <f>Sean!C3</f>
        <v>Project Mgr</v>
      </c>
      <c r="D5" s="6">
        <f>Sean!C18</f>
        <v>960</v>
      </c>
      <c r="E5" s="44">
        <f>MIN(Sean!D6:D17)</f>
        <v>39980</v>
      </c>
      <c r="F5" s="44">
        <f>MAX(Sean!E6:E17)</f>
        <v>40344</v>
      </c>
      <c r="G5" s="43">
        <f>Sean!G18</f>
        <v>80</v>
      </c>
      <c r="H5" s="43">
        <f>Sean!H18</f>
        <v>0</v>
      </c>
      <c r="I5" s="43">
        <f>Sean!I18</f>
        <v>0</v>
      </c>
      <c r="J5" s="43">
        <f>Sean!J18</f>
        <v>0</v>
      </c>
      <c r="K5" s="43">
        <f>Sean!K18</f>
        <v>0</v>
      </c>
      <c r="L5" s="43">
        <f>Sean!L18</f>
        <v>0</v>
      </c>
      <c r="M5" s="43">
        <f>Sean!M18</f>
        <v>0</v>
      </c>
      <c r="N5" s="43">
        <f>Sean!N18</f>
        <v>0</v>
      </c>
      <c r="O5" s="43">
        <f>Sean!O19</f>
        <v>0</v>
      </c>
      <c r="P5" s="77">
        <f>Sean!P18</f>
        <v>0</v>
      </c>
      <c r="Q5" s="77">
        <f>Sean!Q18</f>
        <v>0</v>
      </c>
      <c r="R5" s="77">
        <f>Sean!IR18</f>
        <v>0</v>
      </c>
      <c r="S5" s="88">
        <f t="shared" si="0"/>
        <v>80</v>
      </c>
      <c r="T5" s="28">
        <f t="shared" ref="T5:T16" si="1">S5/MAX(1,D5)</f>
        <v>8.3333333333333329E-2</v>
      </c>
    </row>
    <row r="6" spans="1:20">
      <c r="A6" s="30">
        <v>3</v>
      </c>
      <c r="B6" s="30" t="str">
        <f>Rhett!C2</f>
        <v>Rhett Sutphin</v>
      </c>
      <c r="C6" s="30" t="str">
        <f>Rhett!C3</f>
        <v>Lead Arch/Dev</v>
      </c>
      <c r="D6" s="6">
        <f>Rhett!C18</f>
        <v>1536</v>
      </c>
      <c r="E6" s="44">
        <f>Rhett!L1</f>
        <v>39980</v>
      </c>
      <c r="F6" s="44">
        <f>Rhett!N1</f>
        <v>40344</v>
      </c>
      <c r="G6" s="43">
        <f>Rhett!G18</f>
        <v>128</v>
      </c>
      <c r="H6" s="43">
        <f>Rhett!H18</f>
        <v>0</v>
      </c>
      <c r="I6" s="43">
        <f>Rhett!I18</f>
        <v>0</v>
      </c>
      <c r="J6" s="43">
        <f>Rhett!J18</f>
        <v>0</v>
      </c>
      <c r="K6" s="43">
        <f>Rhett!K18</f>
        <v>0</v>
      </c>
      <c r="L6" s="43">
        <f>Rhett!L18</f>
        <v>0</v>
      </c>
      <c r="M6" s="43">
        <f>Rhett!M18</f>
        <v>0</v>
      </c>
      <c r="N6" s="43">
        <f>Rhett!N18</f>
        <v>0</v>
      </c>
      <c r="O6" s="43">
        <f>Rhett!O18</f>
        <v>0</v>
      </c>
      <c r="P6" s="77">
        <f>Rhett!P18</f>
        <v>0</v>
      </c>
      <c r="Q6" s="77">
        <f>Rhett!Q18</f>
        <v>0</v>
      </c>
      <c r="R6" s="77">
        <f>Rhett!IR18</f>
        <v>0</v>
      </c>
      <c r="S6" s="88">
        <f t="shared" si="0"/>
        <v>128</v>
      </c>
      <c r="T6" s="28">
        <f t="shared" si="1"/>
        <v>8.3333333333333329E-2</v>
      </c>
    </row>
    <row r="7" spans="1:20">
      <c r="A7" s="30">
        <v>4</v>
      </c>
      <c r="B7" s="30" t="str">
        <f>Jalpa!C2</f>
        <v>Jalpa Patel</v>
      </c>
      <c r="C7" s="30" t="str">
        <f>Jalpa!C3</f>
        <v>Developer</v>
      </c>
      <c r="D7" s="6">
        <f>Jalpa!C18</f>
        <v>1920</v>
      </c>
      <c r="E7" s="44">
        <f>Jalpa!L1</f>
        <v>39980</v>
      </c>
      <c r="F7" s="44">
        <f>Jalpa!N1</f>
        <v>40344</v>
      </c>
      <c r="G7" s="43">
        <f>Jalpa!G18</f>
        <v>160</v>
      </c>
      <c r="H7" s="43">
        <f>Jalpa!H18</f>
        <v>0</v>
      </c>
      <c r="I7" s="43">
        <f ca="1">Warren!I21</f>
        <v>0</v>
      </c>
      <c r="J7" s="43">
        <f>Jalpa!J18</f>
        <v>0</v>
      </c>
      <c r="K7" s="43">
        <f>Jalpa!K18</f>
        <v>0</v>
      </c>
      <c r="L7" s="43">
        <f>Jalpa!L18</f>
        <v>0</v>
      </c>
      <c r="M7" s="43">
        <f>Jalpa!M18</f>
        <v>0</v>
      </c>
      <c r="N7" s="43">
        <f>Jalpa!N18</f>
        <v>0</v>
      </c>
      <c r="O7" s="43">
        <f>Nataliya!O18</f>
        <v>0</v>
      </c>
      <c r="P7" s="77">
        <f>Jalpa!P18</f>
        <v>0</v>
      </c>
      <c r="Q7" s="77">
        <f>Jalpa!Q18</f>
        <v>0</v>
      </c>
      <c r="R7" s="77">
        <f>Jalpa!IR18</f>
        <v>0</v>
      </c>
      <c r="S7" s="88">
        <f t="shared" ca="1" si="0"/>
        <v>0</v>
      </c>
      <c r="T7" s="28">
        <f t="shared" ca="1" si="1"/>
        <v>0</v>
      </c>
    </row>
    <row r="8" spans="1:20">
      <c r="A8" s="30">
        <v>5</v>
      </c>
      <c r="B8" s="30" t="str">
        <f>Nataliya!C2</f>
        <v>Nataliya Shurupova</v>
      </c>
      <c r="C8" s="30" t="str">
        <f>Nataliya!C3</f>
        <v>Developer</v>
      </c>
      <c r="D8" s="6">
        <f>Nataliya!C18</f>
        <v>1920</v>
      </c>
      <c r="E8" s="44">
        <f>Nataliya!L1</f>
        <v>39980</v>
      </c>
      <c r="F8" s="44">
        <f>Nataliya!N1</f>
        <v>40344</v>
      </c>
      <c r="G8" s="43">
        <f>Nataliya!G18</f>
        <v>160</v>
      </c>
      <c r="H8" s="43">
        <f>Nataliya!H18</f>
        <v>0</v>
      </c>
      <c r="I8" s="43">
        <f>Nataliya!I18</f>
        <v>0</v>
      </c>
      <c r="J8" s="43">
        <f>Nataliya!J18</f>
        <v>0</v>
      </c>
      <c r="K8" s="43">
        <f>Nataliya!K18</f>
        <v>0</v>
      </c>
      <c r="L8" s="43">
        <f>Nataliya!L18</f>
        <v>0</v>
      </c>
      <c r="M8" s="43">
        <f>Nataliya!M18</f>
        <v>0</v>
      </c>
      <c r="N8" s="43">
        <f>Nataliya!N18</f>
        <v>0</v>
      </c>
      <c r="O8" s="43">
        <f>Nataliya!O18</f>
        <v>0</v>
      </c>
      <c r="P8" s="77">
        <f>Nataliya!P18</f>
        <v>0</v>
      </c>
      <c r="Q8" s="77">
        <f>Nataliya!Q18</f>
        <v>0</v>
      </c>
      <c r="R8" s="77">
        <f>Nataliya!IR18</f>
        <v>0</v>
      </c>
      <c r="S8" s="88">
        <f t="shared" si="0"/>
        <v>160</v>
      </c>
      <c r="T8" s="28">
        <f t="shared" si="1"/>
        <v>8.3333333333333329E-2</v>
      </c>
    </row>
    <row r="9" spans="1:20">
      <c r="A9" s="30">
        <v>6</v>
      </c>
      <c r="B9" s="30" t="str">
        <f>John!C2</f>
        <v>John Dzak</v>
      </c>
      <c r="C9" s="30" t="str">
        <f>John!C3</f>
        <v>Developer</v>
      </c>
      <c r="D9" s="6">
        <f>John!C18</f>
        <v>1920</v>
      </c>
      <c r="E9" s="44">
        <f>John!L1</f>
        <v>39980</v>
      </c>
      <c r="F9" s="44">
        <f>John!N1</f>
        <v>40344</v>
      </c>
      <c r="G9" s="43">
        <f>John!G18</f>
        <v>160</v>
      </c>
      <c r="H9" s="43">
        <f>John!H18</f>
        <v>0</v>
      </c>
      <c r="I9" s="43">
        <f>John!I18</f>
        <v>0</v>
      </c>
      <c r="J9" s="43">
        <f ca="1">John!J23</f>
        <v>0</v>
      </c>
      <c r="K9" s="43">
        <f>John!K18</f>
        <v>0</v>
      </c>
      <c r="L9" s="43">
        <f>John!L18</f>
        <v>0</v>
      </c>
      <c r="M9" s="43">
        <f>John!M18</f>
        <v>0</v>
      </c>
      <c r="N9" s="43">
        <f>John!N18</f>
        <v>0</v>
      </c>
      <c r="O9" s="43">
        <f>John!O18</f>
        <v>0</v>
      </c>
      <c r="P9" s="77">
        <f>John!P18</f>
        <v>0</v>
      </c>
      <c r="Q9" s="77">
        <f>John!Q18</f>
        <v>0</v>
      </c>
      <c r="R9" s="77">
        <f>John!IR18</f>
        <v>0</v>
      </c>
      <c r="S9" s="88">
        <f t="shared" ca="1" si="0"/>
        <v>0</v>
      </c>
      <c r="T9" s="28">
        <f t="shared" ca="1" si="1"/>
        <v>0</v>
      </c>
    </row>
    <row r="10" spans="1:20" s="40" customFormat="1">
      <c r="A10" s="40">
        <v>7</v>
      </c>
      <c r="B10" s="40" t="str">
        <f>David!C2</f>
        <v>David Patton</v>
      </c>
      <c r="C10" s="40" t="str">
        <f>David!C3</f>
        <v>SME/QA</v>
      </c>
      <c r="D10" s="6">
        <f>David!C18</f>
        <v>480</v>
      </c>
      <c r="E10" s="44">
        <f>MIN(David!D6:D17)</f>
        <v>39980</v>
      </c>
      <c r="F10" s="44">
        <f>MAX(David!E6:E17)</f>
        <v>40344</v>
      </c>
      <c r="G10" s="43">
        <f>David!G18</f>
        <v>37</v>
      </c>
      <c r="H10" s="43">
        <f>David!H18</f>
        <v>0</v>
      </c>
      <c r="I10" s="43">
        <f>David!I18</f>
        <v>0</v>
      </c>
      <c r="J10" s="43">
        <f>David!J18</f>
        <v>0</v>
      </c>
      <c r="K10" s="43">
        <f>David!K18</f>
        <v>0</v>
      </c>
      <c r="L10" s="43">
        <f>David!L18</f>
        <v>0</v>
      </c>
      <c r="M10" s="43">
        <f>David!M18</f>
        <v>0</v>
      </c>
      <c r="N10" s="43">
        <f>David!N18</f>
        <v>0</v>
      </c>
      <c r="O10" s="43">
        <f>David!O18</f>
        <v>0</v>
      </c>
      <c r="P10" s="43">
        <f>David!P18</f>
        <v>0</v>
      </c>
      <c r="Q10" s="43">
        <f>David!Q18</f>
        <v>0</v>
      </c>
      <c r="R10" s="43">
        <f>David!R18</f>
        <v>0</v>
      </c>
      <c r="S10" s="88">
        <f t="shared" si="0"/>
        <v>37</v>
      </c>
      <c r="T10" s="28">
        <f t="shared" si="1"/>
        <v>7.7083333333333337E-2</v>
      </c>
    </row>
    <row r="11" spans="1:20" s="40" customFormat="1">
      <c r="A11" s="40">
        <v>8</v>
      </c>
      <c r="B11" s="40" t="str">
        <f>Jignesh!C2</f>
        <v>Jignesh Patel</v>
      </c>
      <c r="C11" s="40" t="str">
        <f>Jignesh!C3</f>
        <v>System Admin</v>
      </c>
      <c r="D11" s="6">
        <f>Jignesh!C18</f>
        <v>384</v>
      </c>
      <c r="E11" s="44">
        <f>MIN(Jignesh!D6:D17)</f>
        <v>39980</v>
      </c>
      <c r="F11" s="44">
        <f>MAX(Jignesh!E6:E17)</f>
        <v>40344</v>
      </c>
      <c r="G11" s="88">
        <f>Jignesh!G18</f>
        <v>0</v>
      </c>
      <c r="H11" s="88">
        <f>Jignesh!H18</f>
        <v>0</v>
      </c>
      <c r="I11" s="88">
        <f>Jignesh!I18</f>
        <v>0</v>
      </c>
      <c r="J11" s="88">
        <f>Jignesh!J18</f>
        <v>0</v>
      </c>
      <c r="K11" s="88">
        <f>Jignesh!K18</f>
        <v>0</v>
      </c>
      <c r="L11" s="88">
        <f>Jignesh!L18</f>
        <v>0</v>
      </c>
      <c r="M11" s="88">
        <f>Jignesh!M18</f>
        <v>0</v>
      </c>
      <c r="N11" s="88">
        <f>Jignesh!N18</f>
        <v>0</v>
      </c>
      <c r="O11" s="88">
        <f>Jignesh!O18</f>
        <v>0</v>
      </c>
      <c r="P11" s="88">
        <f>Jignesh!P18</f>
        <v>0</v>
      </c>
      <c r="Q11" s="88">
        <f>Jignesh!Q18</f>
        <v>0</v>
      </c>
      <c r="R11" s="88">
        <f>Jignesh!R18</f>
        <v>0</v>
      </c>
      <c r="S11" s="88">
        <f t="shared" si="0"/>
        <v>0</v>
      </c>
      <c r="T11" s="28">
        <f t="shared" si="1"/>
        <v>0</v>
      </c>
    </row>
    <row r="12" spans="1:20">
      <c r="A12" s="30">
        <v>9</v>
      </c>
      <c r="B12" s="30" t="str">
        <f>Renee!C2</f>
        <v>Renee Webb</v>
      </c>
      <c r="C12" s="30" t="str">
        <f>Renee!C3</f>
        <v>SME</v>
      </c>
      <c r="D12" s="6">
        <f>Renee!C18</f>
        <v>96</v>
      </c>
      <c r="E12" s="44">
        <f>Renee!L1</f>
        <v>39980</v>
      </c>
      <c r="F12" s="44">
        <f>Renee!N1</f>
        <v>40344</v>
      </c>
      <c r="G12" s="43">
        <f>Renee!G18</f>
        <v>8</v>
      </c>
      <c r="H12" s="43">
        <f>Renee!H18</f>
        <v>0</v>
      </c>
      <c r="I12" s="43">
        <f>Renee!I18</f>
        <v>0</v>
      </c>
      <c r="J12" s="43">
        <f>Renee!J18</f>
        <v>0</v>
      </c>
      <c r="K12" s="43">
        <f>Renee!K18</f>
        <v>0</v>
      </c>
      <c r="L12" s="43">
        <f>Renee!L18</f>
        <v>0</v>
      </c>
      <c r="M12" s="43">
        <f>Renee!M18</f>
        <v>0</v>
      </c>
      <c r="N12" s="43">
        <f>Renee!N18</f>
        <v>0</v>
      </c>
      <c r="O12" s="43">
        <f>Renee!O18</f>
        <v>0</v>
      </c>
      <c r="P12" s="77">
        <f>Renee!P18</f>
        <v>0</v>
      </c>
      <c r="Q12" s="77">
        <f>Renee!Q18</f>
        <v>0</v>
      </c>
      <c r="R12" s="77">
        <f>Renee!R18</f>
        <v>0</v>
      </c>
      <c r="S12" s="88">
        <f t="shared" si="0"/>
        <v>8</v>
      </c>
      <c r="T12" s="28">
        <f t="shared" si="1"/>
        <v>8.3333333333333329E-2</v>
      </c>
    </row>
    <row r="13" spans="1:20">
      <c r="A13" s="30">
        <v>10</v>
      </c>
      <c r="B13" s="30" t="str">
        <f>Dong!C2</f>
        <v>Dong Fu</v>
      </c>
      <c r="C13" s="30" t="str">
        <f>Dong!C3</f>
        <v>System Admin</v>
      </c>
      <c r="D13" s="6">
        <f>Dong!C18</f>
        <v>384</v>
      </c>
      <c r="E13" s="44">
        <f>Dong!L1</f>
        <v>39980</v>
      </c>
      <c r="F13" s="44">
        <f>Dong!N1</f>
        <v>40344</v>
      </c>
      <c r="G13" s="43">
        <f>Dong!G18</f>
        <v>16</v>
      </c>
      <c r="H13" s="43">
        <f>Dong!H18</f>
        <v>0</v>
      </c>
      <c r="I13" s="43">
        <f>Dong!I18</f>
        <v>0</v>
      </c>
      <c r="J13" s="43">
        <f>Dong!J18</f>
        <v>0</v>
      </c>
      <c r="K13" s="43">
        <f>Dong!K18</f>
        <v>0</v>
      </c>
      <c r="L13" s="43">
        <f>Dong!L18</f>
        <v>0</v>
      </c>
      <c r="M13" s="43">
        <f>Dong!M18</f>
        <v>0</v>
      </c>
      <c r="N13" s="43">
        <f>Dong!N18</f>
        <v>0</v>
      </c>
      <c r="O13" s="43">
        <f>Dong!O18</f>
        <v>0</v>
      </c>
      <c r="P13" s="77">
        <f>Dong!P18</f>
        <v>0</v>
      </c>
      <c r="Q13" s="77">
        <f>Dong!Q18</f>
        <v>0</v>
      </c>
      <c r="R13" s="77">
        <f>Dong!R18</f>
        <v>0</v>
      </c>
      <c r="S13" s="88">
        <f t="shared" si="0"/>
        <v>16</v>
      </c>
      <c r="T13" s="28">
        <f t="shared" si="1"/>
        <v>4.1666666666666664E-2</v>
      </c>
    </row>
    <row r="14" spans="1:20">
      <c r="A14" s="30">
        <v>11</v>
      </c>
      <c r="B14" s="30" t="str">
        <f>Lee!C2</f>
        <v>Lee Esker</v>
      </c>
      <c r="C14" s="30" t="str">
        <f>Lee!C3</f>
        <v>SME/QA</v>
      </c>
      <c r="D14" s="6">
        <f>Lee!C18</f>
        <v>96</v>
      </c>
      <c r="E14" s="44">
        <f>Lee!L1</f>
        <v>39980</v>
      </c>
      <c r="F14" s="44">
        <f>Lee!N1</f>
        <v>40344</v>
      </c>
      <c r="G14" s="43">
        <f>Lee!G18</f>
        <v>8</v>
      </c>
      <c r="H14" s="43">
        <f>Lee!H18</f>
        <v>0</v>
      </c>
      <c r="I14" s="43">
        <f>Lee!I18</f>
        <v>0</v>
      </c>
      <c r="J14" s="43">
        <f>Lee!J18</f>
        <v>0</v>
      </c>
      <c r="K14" s="43">
        <f>Lee!K18</f>
        <v>0</v>
      </c>
      <c r="L14" s="43">
        <f>Lee!L18</f>
        <v>0</v>
      </c>
      <c r="M14" s="43">
        <f>Lee!M18</f>
        <v>0</v>
      </c>
      <c r="N14" s="43">
        <f>Lee!L18</f>
        <v>0</v>
      </c>
      <c r="O14" s="43">
        <f>Lee!O18</f>
        <v>0</v>
      </c>
      <c r="P14" s="77">
        <f>Lee!P18</f>
        <v>0</v>
      </c>
      <c r="Q14" s="77">
        <f>Lee!Q18</f>
        <v>0</v>
      </c>
      <c r="R14" s="77">
        <f>Lee!R18</f>
        <v>0</v>
      </c>
      <c r="S14" s="88">
        <f t="shared" si="0"/>
        <v>8</v>
      </c>
      <c r="T14" s="28">
        <f t="shared" si="1"/>
        <v>8.3333333333333329E-2</v>
      </c>
    </row>
    <row r="15" spans="1:20">
      <c r="A15" s="30">
        <v>12</v>
      </c>
      <c r="B15" s="30" t="str">
        <f>'SB-Dev'!C2</f>
        <v>Kruttik Aggarwal</v>
      </c>
      <c r="C15" s="40" t="str">
        <f>'SB-Dev'!C3</f>
        <v>Developer</v>
      </c>
      <c r="D15" s="6">
        <f>'SB-Dev'!C18</f>
        <v>1920</v>
      </c>
      <c r="E15" s="44">
        <f>'SB-Dev'!L1</f>
        <v>39980</v>
      </c>
      <c r="F15" s="44">
        <f>'SB-Dev'!N1</f>
        <v>40344</v>
      </c>
      <c r="G15" s="84">
        <f>'SB-Dev'!G18</f>
        <v>100</v>
      </c>
      <c r="H15" s="84">
        <f>'SB-Dev'!H18</f>
        <v>0</v>
      </c>
      <c r="I15" s="84">
        <f>'SB-Dev'!I18</f>
        <v>0</v>
      </c>
      <c r="J15" s="84">
        <f>'SB-Dev'!J18</f>
        <v>0</v>
      </c>
      <c r="K15" s="84">
        <f>'SB-Dev'!K18</f>
        <v>0</v>
      </c>
      <c r="L15" s="84">
        <f>'SB-Dev'!L18</f>
        <v>0</v>
      </c>
      <c r="M15" s="84">
        <f>'SB-Dev'!M18</f>
        <v>0</v>
      </c>
      <c r="N15" s="84">
        <f>'SB-Dev'!N18</f>
        <v>0</v>
      </c>
      <c r="O15" s="84">
        <f>'SB-Dev'!O18</f>
        <v>0</v>
      </c>
      <c r="P15" s="84">
        <f>'SB-Dev'!P18</f>
        <v>0</v>
      </c>
      <c r="Q15" s="84">
        <f>'SB-Dev'!Q18</f>
        <v>0</v>
      </c>
      <c r="R15" s="84">
        <f>'SB-Dev'!R18</f>
        <v>0</v>
      </c>
      <c r="S15" s="88">
        <f t="shared" si="0"/>
        <v>100</v>
      </c>
      <c r="T15" s="28">
        <f t="shared" si="1"/>
        <v>5.2083333333333336E-2</v>
      </c>
    </row>
    <row r="16" spans="1:20" s="6" customFormat="1">
      <c r="A16" s="19" t="s">
        <v>30</v>
      </c>
      <c r="B16" s="19"/>
      <c r="C16" s="19"/>
      <c r="D16" s="19">
        <f>SUM(D4:D15)</f>
        <v>12000</v>
      </c>
      <c r="E16" s="19"/>
      <c r="F16" s="29"/>
      <c r="G16" s="18">
        <f t="shared" ref="G16:S16" si="2">SUM(G4:G14)</f>
        <v>785</v>
      </c>
      <c r="H16" s="19">
        <f t="shared" si="2"/>
        <v>0</v>
      </c>
      <c r="I16" s="19">
        <f t="shared" ca="1" si="2"/>
        <v>0</v>
      </c>
      <c r="J16" s="19">
        <f t="shared" ca="1" si="2"/>
        <v>0</v>
      </c>
      <c r="K16" s="19">
        <f t="shared" si="2"/>
        <v>0</v>
      </c>
      <c r="L16" s="19">
        <f t="shared" si="2"/>
        <v>0</v>
      </c>
      <c r="M16" s="19">
        <f t="shared" si="2"/>
        <v>0</v>
      </c>
      <c r="N16" s="19">
        <f t="shared" si="2"/>
        <v>0</v>
      </c>
      <c r="O16" s="19">
        <f t="shared" si="2"/>
        <v>0</v>
      </c>
      <c r="P16" s="19">
        <f t="shared" si="2"/>
        <v>0</v>
      </c>
      <c r="Q16" s="19">
        <f t="shared" si="2"/>
        <v>0</v>
      </c>
      <c r="R16" s="19">
        <f t="shared" si="2"/>
        <v>0</v>
      </c>
      <c r="S16" s="19">
        <f t="shared" ca="1" si="2"/>
        <v>0</v>
      </c>
      <c r="T16" s="28">
        <f t="shared" ca="1" si="1"/>
        <v>0</v>
      </c>
    </row>
    <row r="22" spans="1:18">
      <c r="A22" s="30" t="s">
        <v>61</v>
      </c>
      <c r="G22" s="30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4" spans="1:18" s="76" customFormat="1">
      <c r="A24" s="97" t="s">
        <v>73</v>
      </c>
      <c r="B24" s="98"/>
      <c r="D24" s="76" t="s">
        <v>28</v>
      </c>
      <c r="E24" s="76" t="s">
        <v>8</v>
      </c>
      <c r="F24" s="76" t="s">
        <v>9</v>
      </c>
    </row>
    <row r="25" spans="1:18">
      <c r="A25" s="37" t="s">
        <v>70</v>
      </c>
      <c r="B25" s="37" t="s">
        <v>71</v>
      </c>
    </row>
    <row r="27" spans="1:18">
      <c r="A27" s="37" t="s">
        <v>72</v>
      </c>
      <c r="B27" s="37" t="s">
        <v>74</v>
      </c>
    </row>
  </sheetData>
  <sheetCalcPr fullCalcOnLoad="1"/>
  <mergeCells count="3">
    <mergeCell ref="A1:B1"/>
    <mergeCell ref="C1:H1"/>
    <mergeCell ref="A24:B24"/>
  </mergeCells>
  <phoneticPr fontId="10" type="noConversion"/>
  <pageMargins left="0.7" right="0.7" top="0.75" bottom="0.75" header="0.3" footer="0.3"/>
  <ignoredErrors>
    <ignoredError sqref="G3:R3" twoDigitTextYear="1"/>
    <ignoredError sqref="M14" formula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3"/>
  <sheetViews>
    <sheetView topLeftCell="H1" workbookViewId="0">
      <selection activeCell="V4" sqref="V4"/>
    </sheetView>
  </sheetViews>
  <sheetFormatPr baseColWidth="10" defaultColWidth="8.83203125" defaultRowHeight="14"/>
  <cols>
    <col min="1" max="1" width="11.5" customWidth="1"/>
    <col min="2" max="2" width="5.83203125" customWidth="1"/>
    <col min="3" max="3" width="34.5" customWidth="1"/>
    <col min="4" max="4" width="11.1640625" customWidth="1"/>
    <col min="5" max="5" width="10.83203125" customWidth="1"/>
    <col min="6" max="7" width="10" customWidth="1"/>
    <col min="12" max="12" width="10" customWidth="1"/>
    <col min="14" max="14" width="9.83203125" customWidth="1"/>
  </cols>
  <sheetData>
    <row r="1" spans="1:21" s="45" customFormat="1" ht="14.5" customHeight="1">
      <c r="A1" s="100" t="s">
        <v>7</v>
      </c>
      <c r="B1" s="100"/>
      <c r="C1" s="99" t="str">
        <f>'Project Summary'!C1</f>
        <v>PSC- Northwestern University with SemanticBits</v>
      </c>
      <c r="D1" s="99"/>
      <c r="E1" s="99"/>
      <c r="F1" s="99"/>
      <c r="G1" s="85"/>
      <c r="H1" s="85"/>
      <c r="K1" s="47" t="s">
        <v>8</v>
      </c>
      <c r="L1" s="86">
        <f>'Project Summary'!L1</f>
        <v>39980</v>
      </c>
      <c r="M1" s="48" t="s">
        <v>9</v>
      </c>
      <c r="N1" s="86">
        <f>'Project Summary'!N1</f>
        <v>40344</v>
      </c>
    </row>
    <row r="2" spans="1:21" s="1" customFormat="1">
      <c r="C2" s="75"/>
      <c r="D2" s="75"/>
      <c r="E2" s="75"/>
    </row>
    <row r="3" spans="1:21">
      <c r="C3" s="46"/>
      <c r="D3" s="46"/>
      <c r="E3" s="46"/>
    </row>
    <row r="4" spans="1:21" s="35" customFormat="1">
      <c r="A4" s="35" t="s">
        <v>33</v>
      </c>
      <c r="B4" s="35" t="s">
        <v>65</v>
      </c>
      <c r="C4" s="35" t="s">
        <v>32</v>
      </c>
      <c r="D4" s="35" t="s">
        <v>11</v>
      </c>
      <c r="E4" s="35" t="s">
        <v>8</v>
      </c>
      <c r="F4" s="35" t="s">
        <v>9</v>
      </c>
      <c r="G4" s="35" t="s">
        <v>12</v>
      </c>
      <c r="H4" s="35" t="s">
        <v>13</v>
      </c>
      <c r="I4" s="35" t="s">
        <v>14</v>
      </c>
      <c r="J4" s="35" t="s">
        <v>15</v>
      </c>
      <c r="K4" s="35" t="s">
        <v>16</v>
      </c>
      <c r="L4" s="35" t="s">
        <v>17</v>
      </c>
      <c r="M4" s="35" t="s">
        <v>18</v>
      </c>
      <c r="N4" s="35" t="s">
        <v>19</v>
      </c>
      <c r="O4" s="35" t="s">
        <v>20</v>
      </c>
      <c r="P4" s="35" t="s">
        <v>21</v>
      </c>
      <c r="Q4" s="35" t="s">
        <v>22</v>
      </c>
      <c r="R4" s="35" t="s">
        <v>23</v>
      </c>
      <c r="T4" s="35" t="s">
        <v>55</v>
      </c>
      <c r="U4" s="35" t="s">
        <v>57</v>
      </c>
    </row>
    <row r="5" spans="1:21" s="35" customFormat="1">
      <c r="A5" s="101"/>
      <c r="G5" s="16" t="s">
        <v>34</v>
      </c>
      <c r="H5" s="16" t="s">
        <v>35</v>
      </c>
      <c r="I5" s="16" t="s">
        <v>36</v>
      </c>
      <c r="J5" s="16" t="s">
        <v>37</v>
      </c>
      <c r="K5" s="16" t="s">
        <v>38</v>
      </c>
      <c r="L5" s="16" t="s">
        <v>39</v>
      </c>
      <c r="M5" s="16" t="s">
        <v>40</v>
      </c>
      <c r="N5" s="16" t="s">
        <v>41</v>
      </c>
      <c r="O5" s="16" t="s">
        <v>42</v>
      </c>
      <c r="P5" s="16" t="s">
        <v>43</v>
      </c>
      <c r="Q5" s="16" t="s">
        <v>44</v>
      </c>
      <c r="R5" s="16" t="s">
        <v>45</v>
      </c>
    </row>
    <row r="6" spans="1:21">
      <c r="A6" s="101"/>
      <c r="B6" s="8">
        <v>1</v>
      </c>
      <c r="C6" s="1" t="s">
        <v>26</v>
      </c>
      <c r="D6" s="83">
        <f>Warren!C6+Sean!C6+Rhett!C6+Jalpa!C6+Nataliya!C6+John!C6+Renee!C6+Dong!C6+Lee!C6+'SB-Dev'!C6</f>
        <v>672</v>
      </c>
      <c r="E6" s="36">
        <f>MIN(Sean!D6,Warren!D6,Rhett!D6,Lee!D6,Jalpa!D6,Nataliya!D6,John!D6,Renee!D6,Dong!D6)</f>
        <v>39980</v>
      </c>
      <c r="F6" s="36">
        <f>MAX(Sean!E6,Warren!E6,Rhett!E6,Lee!E6,Jalpa!E6,Nataliya!E6,John!E6,Renee!E6,Dong!E6)</f>
        <v>40344</v>
      </c>
      <c r="G6" s="14">
        <f>Warren!G6+Sean!G6+Rhett!G6+Jalpa!G6+Nataliya!G6+John!G6+Renee!G6+Dong!G6+Lee!G6</f>
        <v>66</v>
      </c>
      <c r="H6" s="14">
        <f>Warren!H6+Sean!H6+Rhett!H6+Jalpa!H6+Nataliya!H6+John!H6+Renee!H6+Dong!H6+Lee!H6</f>
        <v>0</v>
      </c>
      <c r="I6" s="14">
        <f>Warren!I6+Sean!I6+Rhett!I6+Jalpa!I6+Nataliya!I6+John!I6+Renee!I6+Dong!I6+Lee!I6</f>
        <v>0</v>
      </c>
      <c r="J6" s="14">
        <f>Warren!J6+Sean!J6+Rhett!J6+Jalpa!J6+Nataliya!J6+John!J6+Renee!J6+Dong!J6+Lee!J6</f>
        <v>0</v>
      </c>
      <c r="K6" s="14">
        <f>Warren!K6+Sean!K6+Rhett!K6+Jalpa!K6+Nataliya!K6+John!K6+Renee!K6+Dong!K6+Lee!K6</f>
        <v>0</v>
      </c>
      <c r="L6" s="14">
        <f>Warren!L6+Sean!L6+Rhett!L6+Jalpa!L6+Nataliya!L6+John!L6+Renee!L6+Dong!L6+Lee!L6</f>
        <v>0</v>
      </c>
      <c r="M6" s="14">
        <f>Warren!M6+Sean!M6+Rhett!M6+Jalpa!M6+Nataliya!M6+John!M6+Renee!M6+Dong!M6+Lee!M6</f>
        <v>0</v>
      </c>
      <c r="N6" s="14">
        <f>Warren!N6+Sean!N6+Rhett!N6+Jalpa!N6+Nataliya!N6+John!N6+Renee!N6+Dong!N6+Lee!N6</f>
        <v>0</v>
      </c>
      <c r="O6" s="14">
        <f>Warren!O6+Sean!O6+Rhett!O6+Jalpa!O6+Nataliya!O6+John!O6+Renee!O6+Dong!O6+Lee!O6</f>
        <v>0</v>
      </c>
      <c r="P6" s="14">
        <f>Warren!P6+Sean!P6+Rhett!P6+Jalpa!P6+Nataliya!P6+John!P6+Renee!P6+Dong!P6+Lee!P6</f>
        <v>0</v>
      </c>
      <c r="Q6" s="14">
        <f>Warren!Q6+Sean!Q6+Rhett!Q6+Jalpa!Q6+Nataliya!Q6+John!Q6+Renee!Q6+Dong!Q6+Lee!Q6</f>
        <v>0</v>
      </c>
      <c r="R6" s="14">
        <f>Warren!R6+Sean!R6+Rhett!R6+Jalpa!R6+Nataliya!R6+John!R6+Renee!R6+Dong!R6+Lee!R6</f>
        <v>0</v>
      </c>
      <c r="T6">
        <f>SUM(G6:R6)</f>
        <v>66</v>
      </c>
      <c r="U6" s="11">
        <f t="shared" ref="U6:U18" si="0">T6/MAX(1,D6)</f>
        <v>9.8214285714285712E-2</v>
      </c>
    </row>
    <row r="7" spans="1:21">
      <c r="A7" s="101"/>
      <c r="B7" s="8">
        <v>2</v>
      </c>
      <c r="C7" s="1" t="s">
        <v>46</v>
      </c>
      <c r="D7" s="83">
        <f>Warren!C7+Sean!C7+Rhett!C7+Jalpa!C7+Nataliya!C7+John!C7+Renee!C7+Dong!C7+Lee!C7+'SB-Dev'!C7</f>
        <v>912</v>
      </c>
      <c r="E7" s="36">
        <f>MIN(Sean!D7,Warren!D7,Rhett!D7,Lee!D7,Jalpa!D7,Nataliya!D7,John!D7,Renee!D7,Dong!D7)</f>
        <v>39980</v>
      </c>
      <c r="F7" s="36">
        <f>MAX(Sean!E7,Warren!E7,Rhett!E7,Lee!E7,Jalpa!E7,Nataliya!E7,John!E7,Renee!E7,Dong!E7)</f>
        <v>40344</v>
      </c>
      <c r="G7" s="14">
        <f>Warren!G7+Sean!G7+Rhett!G7+Jalpa!G7+Nataliya!G7+John!G7+Renee!G7+Dong!G7+Lee!G7</f>
        <v>78</v>
      </c>
      <c r="H7" s="14">
        <f>Warren!H7+Sean!H7+Rhett!H7+Jalpa!H7+Nataliya!H7+John!H7+Renee!H7+Dong!H7+Lee!H7</f>
        <v>0</v>
      </c>
      <c r="I7" s="14">
        <f>Warren!I7+Sean!I7+Rhett!I7+Jalpa!I7+Nataliya!I7+John!I7+Renee!I7+Dong!I7+Lee!I7</f>
        <v>0</v>
      </c>
      <c r="J7" s="14">
        <f>Warren!J7+Sean!J7+Rhett!J7+Jalpa!J7+Nataliya!J7+John!J7+Renee!J7+Dong!J7+Lee!J7</f>
        <v>0</v>
      </c>
      <c r="K7" s="14">
        <f>Warren!K7+Sean!K7+Rhett!K7+Jalpa!K7+Nataliya!K7+John!K7+Renee!K7+Dong!K7+Lee!K7</f>
        <v>0</v>
      </c>
      <c r="L7" s="14">
        <f>Warren!L7+Sean!L7+Rhett!L7+Jalpa!L7+Nataliya!L7+John!L7+Renee!L7+Dong!L7+Lee!L7</f>
        <v>0</v>
      </c>
      <c r="M7" s="14">
        <f>Warren!M7+Sean!M7+Rhett!M7+Jalpa!M7+Nataliya!M7+John!M7+Renee!M7+Dong!M7+Lee!M7</f>
        <v>0</v>
      </c>
      <c r="N7" s="14">
        <f>Warren!N7+Sean!N7+Rhett!N7+Jalpa!N7+Nataliya!N7+John!N7+Renee!N7+Dong!N7+Lee!N7</f>
        <v>0</v>
      </c>
      <c r="O7" s="14">
        <f>Warren!O7+Sean!O7+Rhett!O7+Jalpa!O7+Nataliya!O7+John!O7+Renee!O7+Dong!O7+Lee!O7</f>
        <v>0</v>
      </c>
      <c r="P7" s="14">
        <f>Warren!P7+Sean!P7+Rhett!P7+Jalpa!P7+Nataliya!P7+John!P7+Renee!P7+Dong!P7+Lee!P7</f>
        <v>0</v>
      </c>
      <c r="Q7" s="14">
        <f>Warren!Q7+Sean!Q7+Rhett!Q7+Jalpa!Q7+Nataliya!Q7+John!Q7+Renee!Q7+Dong!Q7+Lee!Q7</f>
        <v>0</v>
      </c>
      <c r="R7" s="14">
        <f>Warren!R7+Sean!R7+Rhett!R7+Jalpa!R7+Nataliya!R7+John!R7+Renee!R7+Dong!R7+Lee!R7</f>
        <v>0</v>
      </c>
      <c r="T7">
        <f t="shared" ref="T7:T18" si="1">SUM(G7:R7)</f>
        <v>78</v>
      </c>
      <c r="U7" s="11">
        <f t="shared" si="0"/>
        <v>8.5526315789473686E-2</v>
      </c>
    </row>
    <row r="8" spans="1:21">
      <c r="A8" s="101"/>
      <c r="B8" s="8">
        <v>3</v>
      </c>
      <c r="C8" s="1" t="s">
        <v>53</v>
      </c>
      <c r="D8" s="83">
        <f>Warren!C8+Sean!C8+Rhett!C8+Jalpa!C8+Nataliya!C8+John!C8+Renee!C8+Dong!C8+Lee!C8+'SB-Dev'!C8</f>
        <v>8448</v>
      </c>
      <c r="E8" s="36">
        <f>MIN(Sean!D8,Warren!D8,Rhett!D8,Lee!D8,Jalpa!D8,Nataliya!D8,John!D8,Renee!D8,Dong!D8)</f>
        <v>39980</v>
      </c>
      <c r="F8" s="36">
        <f>MAX(Sean!E8,Warren!E8,Rhett!E8,Lee!E8,Jalpa!E8,Nataliya!E8,John!E8,Renee!E8,Dong!E8)</f>
        <v>40344</v>
      </c>
      <c r="G8" s="14">
        <f>Warren!G8+Sean!G8+Rhett!G8+Jalpa!G8+Nataliya!G8+John!G8+Renee!G8+Dong!G8+Lee!G8</f>
        <v>570</v>
      </c>
      <c r="H8" s="14">
        <f>Warren!H8+Sean!H8+Rhett!H8+Jalpa!H8+Nataliya!H8+John!H8+Renee!H8+Dong!H8+Lee!H8</f>
        <v>0</v>
      </c>
      <c r="I8" s="14">
        <f>Warren!I8+Sean!I8+Rhett!I8+Jalpa!I8+Nataliya!I8+John!I8+Renee!I8+Dong!I8+Lee!I8</f>
        <v>0</v>
      </c>
      <c r="J8" s="14">
        <f>Warren!J8+Sean!J8+Rhett!J8+Jalpa!J8+Nataliya!J8+John!J8+Renee!J8+Dong!J8+Lee!J8</f>
        <v>0</v>
      </c>
      <c r="K8" s="14">
        <f>Warren!K8+Sean!K8+Rhett!K8+Jalpa!K8+Nataliya!K8+John!K8+Renee!K8+Dong!K8+Lee!K8</f>
        <v>0</v>
      </c>
      <c r="L8" s="14">
        <f>Warren!L8+Sean!L8+Rhett!L8+Jalpa!L8+Nataliya!L8+John!L8+Renee!L8+Dong!L8+Lee!L8</f>
        <v>0</v>
      </c>
      <c r="M8" s="14">
        <f>Warren!M8+Sean!M8+Rhett!M8+Jalpa!M8+Nataliya!M8+John!M8+Renee!M8+Dong!M8+Lee!M8</f>
        <v>0</v>
      </c>
      <c r="N8" s="14">
        <f>Warren!N8+Sean!N8+Rhett!N8+Jalpa!N8+Nataliya!N8+John!N8+Renee!N8+Dong!N8+Lee!N8</f>
        <v>0</v>
      </c>
      <c r="O8" s="14">
        <f>Warren!O8+Sean!O8+Rhett!O8+Jalpa!O8+Nataliya!O8+John!O8+Renee!O8+Dong!O8+Lee!O8</f>
        <v>0</v>
      </c>
      <c r="P8" s="14">
        <f>Warren!P8+Sean!P8+Rhett!P8+Jalpa!P8+Nataliya!P8+John!P8+Renee!P8+Dong!P8+Lee!P8</f>
        <v>0</v>
      </c>
      <c r="Q8" s="14">
        <f>Warren!Q8+Sean!Q8+Rhett!Q8+Jalpa!Q8+Nataliya!Q8+John!Q8+Renee!Q8+Dong!Q8+Lee!Q8</f>
        <v>0</v>
      </c>
      <c r="R8" s="14">
        <f>Warren!R8+Sean!R8+Rhett!R8+Jalpa!R8+Nataliya!R8+John!R8+Renee!R8+Dong!R8+Lee!R8</f>
        <v>0</v>
      </c>
      <c r="T8">
        <f t="shared" si="1"/>
        <v>570</v>
      </c>
      <c r="U8" s="11">
        <f t="shared" si="0"/>
        <v>6.7471590909090912E-2</v>
      </c>
    </row>
    <row r="9" spans="1:21">
      <c r="A9" s="101"/>
      <c r="B9" s="9">
        <v>3.1</v>
      </c>
      <c r="C9" s="40" t="s">
        <v>87</v>
      </c>
      <c r="D9" s="83">
        <f>Warren!C9+Sean!C9+Rhett!C9+Jalpa!C9+Nataliya!C9+John!C9+Renee!C9+Dong!C9+Lee!C9+'SB-Dev'!C9</f>
        <v>0</v>
      </c>
      <c r="E9" s="36">
        <f>MIN(Sean!D9,Warren!D9,Rhett!D9,Lee!D9,Jalpa!D9,Nataliya!D9,John!D9,Renee!D9,Dong!D9)</f>
        <v>39980</v>
      </c>
      <c r="F9" s="36">
        <f>MAX(Sean!E9,Warren!E9,Rhett!E9,Lee!E9,Jalpa!E9,Nataliya!E9,John!E9,Renee!E9,Dong!E9)</f>
        <v>40344</v>
      </c>
      <c r="G9" s="14">
        <f>Warren!G9+Sean!G9+Rhett!G9+Jalpa!G9+Nataliya!G9+John!G9+Renee!G9+Dong!G9+Lee!G9</f>
        <v>0</v>
      </c>
      <c r="H9" s="14">
        <f>Warren!H9+Sean!H9+Rhett!H9+Jalpa!H9+Nataliya!H9+John!H9+Renee!H9+Dong!H9+Lee!H9</f>
        <v>0</v>
      </c>
      <c r="I9" s="14">
        <f>Warren!I9+Sean!I9+Rhett!I9+Jalpa!I9+Nataliya!I9+John!I9+Renee!I9+Dong!I9+Lee!I9</f>
        <v>0</v>
      </c>
      <c r="J9" s="14">
        <f>Warren!J9+Sean!J9+Rhett!J9+Jalpa!J9+Nataliya!J9+John!J9+Renee!J9+Dong!J9+Lee!J9</f>
        <v>0</v>
      </c>
      <c r="K9" s="14">
        <f>Warren!K9+Sean!K9+Rhett!K9+Jalpa!K9+Nataliya!K9+John!K9+Renee!K9+Dong!K9+Lee!K9</f>
        <v>0</v>
      </c>
      <c r="L9" s="14">
        <f>Warren!L9+Sean!L9+Rhett!L9+Jalpa!L9+Nataliya!L9+John!L9+Renee!L9+Dong!L9+Lee!L9</f>
        <v>0</v>
      </c>
      <c r="M9" s="14">
        <f>Warren!M9+Sean!M9+Rhett!M9+Jalpa!M9+Nataliya!M9+John!M9+Renee!M9+Dong!M9+Lee!M9</f>
        <v>0</v>
      </c>
      <c r="N9" s="14">
        <f>Warren!N9+Sean!N9+Rhett!N9+Jalpa!N9+Nataliya!N9+John!N9+Renee!N9+Dong!N9+Lee!N9</f>
        <v>0</v>
      </c>
      <c r="O9" s="14">
        <f>Warren!O9+Sean!O9+Rhett!O9+Jalpa!O9+Nataliya!O9+John!O9+Renee!O9+Dong!O9+Lee!O9</f>
        <v>0</v>
      </c>
      <c r="P9" s="14">
        <f>Warren!P9+Sean!P9+Rhett!P9+Jalpa!P9+Nataliya!P9+John!P9+Renee!P9+Dong!P9+Lee!P9</f>
        <v>0</v>
      </c>
      <c r="Q9" s="14">
        <f>Warren!Q9+Sean!Q9+Rhett!Q9+Jalpa!Q9+Nataliya!Q9+John!Q9+Renee!Q9+Dong!Q9+Lee!Q9</f>
        <v>0</v>
      </c>
      <c r="R9" s="14">
        <f>Warren!R9+Sean!R9+Rhett!R9+Jalpa!R9+Nataliya!R9+John!R9+Renee!R9+Dong!R9+Lee!R9</f>
        <v>0</v>
      </c>
      <c r="T9">
        <f t="shared" si="1"/>
        <v>0</v>
      </c>
      <c r="U9" s="11">
        <f t="shared" si="0"/>
        <v>0</v>
      </c>
    </row>
    <row r="10" spans="1:21">
      <c r="A10" s="101"/>
      <c r="B10" s="9">
        <v>3.2</v>
      </c>
      <c r="C10" s="40" t="s">
        <v>88</v>
      </c>
      <c r="D10" s="83">
        <f>Warren!C10+Sean!C10+Rhett!C10+Jalpa!C10+Nataliya!C10+John!C10+Renee!C10+Dong!C10+Lee!C10+'SB-Dev'!C10</f>
        <v>0</v>
      </c>
      <c r="E10" s="36">
        <f>MIN(Sean!D10,Warren!D10,Rhett!D10,Lee!D10,Jalpa!D10,Nataliya!D10,John!D10,Renee!D10,Dong!D10)</f>
        <v>39980</v>
      </c>
      <c r="F10" s="36">
        <f>MAX(Sean!E10,Warren!E10,Rhett!E10,Lee!E10,Jalpa!E10,Nataliya!E10,John!E10,Renee!E10,Dong!E10)</f>
        <v>40344</v>
      </c>
      <c r="G10" s="14">
        <f>Warren!G10+Sean!G10+Rhett!G10+Jalpa!G10+Nataliya!G10+John!G10+Renee!G10+Dong!G10+Lee!G10</f>
        <v>0</v>
      </c>
      <c r="H10" s="14">
        <f>Warren!H10+Sean!H10+Rhett!H10+Jalpa!H10+Nataliya!H10+John!H10+Renee!H10+Dong!H10+Lee!H10</f>
        <v>0</v>
      </c>
      <c r="I10" s="14">
        <f>Warren!I10+Sean!I10+Rhett!I10+Jalpa!I10+Nataliya!I10+John!I10+Renee!I10+Dong!I10+Lee!I10</f>
        <v>0</v>
      </c>
      <c r="J10" s="14">
        <f>Warren!J10+Sean!J10+Rhett!J10+Jalpa!J10+Nataliya!J10+John!J10+Renee!J10+Dong!J10+Lee!J10</f>
        <v>0</v>
      </c>
      <c r="K10" s="14">
        <f>Warren!K10+Sean!K10+Rhett!K10+Jalpa!K10+Nataliya!K10+John!K10+Renee!K10+Dong!K10+Lee!K10</f>
        <v>0</v>
      </c>
      <c r="L10" s="14">
        <f>Warren!L10+Sean!L10+Rhett!L10+Jalpa!L10+Nataliya!L10+John!L10+Renee!L10+Dong!L10+Lee!L10</f>
        <v>0</v>
      </c>
      <c r="M10" s="14">
        <f>Warren!M10+Sean!M10+Rhett!M10+Jalpa!M10+Nataliya!M10+John!M10+Renee!M10+Dong!M10+Lee!M10</f>
        <v>0</v>
      </c>
      <c r="N10" s="14">
        <f>Warren!N10+Sean!N10+Rhett!N10+Jalpa!N10+Nataliya!N10+John!N10+Renee!N10+Dong!N10+Lee!N10</f>
        <v>0</v>
      </c>
      <c r="O10" s="14">
        <f>Warren!O10+Sean!O10+Rhett!O10+Jalpa!O10+Nataliya!O10+John!O10+Renee!O10+Dong!O10+Lee!O10</f>
        <v>0</v>
      </c>
      <c r="P10" s="14">
        <f>Warren!P10+Sean!P10+Rhett!P10+Jalpa!P10+Nataliya!P10+John!P10+Renee!P10+Dong!P10+Lee!P10</f>
        <v>0</v>
      </c>
      <c r="Q10" s="14">
        <f>Warren!Q10+Sean!Q10+Rhett!Q10+Jalpa!Q10+Nataliya!Q10+John!Q10+Renee!Q10+Dong!Q10+Lee!Q10</f>
        <v>0</v>
      </c>
      <c r="R10" s="14">
        <f>Warren!R10+Sean!R10+Rhett!R10+Jalpa!R10+Nataliya!R10+John!R10+Renee!R10+Dong!R10+Lee!R10</f>
        <v>0</v>
      </c>
      <c r="T10">
        <f t="shared" si="1"/>
        <v>0</v>
      </c>
      <c r="U10" s="11">
        <f t="shared" si="0"/>
        <v>0</v>
      </c>
    </row>
    <row r="11" spans="1:21">
      <c r="A11" s="101"/>
      <c r="B11" s="9">
        <v>3.3</v>
      </c>
      <c r="C11" s="40" t="s">
        <v>51</v>
      </c>
      <c r="D11" s="83">
        <f>Warren!C11+Sean!C11+Rhett!C11+Jalpa!C11+Nataliya!C11+John!C11+Renee!C11+Dong!C11+Lee!C11+'SB-Dev'!C11</f>
        <v>0</v>
      </c>
      <c r="E11" s="36">
        <f>MIN(Sean!D11,Warren!D11,Rhett!D11,Lee!D11,Jalpa!D11,Nataliya!D11,John!D11,Renee!D11,Dong!D11)</f>
        <v>39980</v>
      </c>
      <c r="F11" s="36">
        <f>MAX(Sean!E11,Warren!E11,Rhett!E11,Lee!E11,Jalpa!E11,Nataliya!E11,John!E11,Renee!E11,Dong!E11)</f>
        <v>40344</v>
      </c>
      <c r="G11" s="14">
        <f>Warren!G11+Sean!G11+Rhett!G11+Jalpa!G11+Nataliya!G11+John!G11+Renee!G11+Dong!G11+Lee!G11</f>
        <v>0</v>
      </c>
      <c r="H11" s="14">
        <f>Warren!H11+Sean!H11+Rhett!H11+Jalpa!H11+Nataliya!H11+John!H11+Renee!H11+Dong!H11+Lee!H11</f>
        <v>0</v>
      </c>
      <c r="I11" s="14">
        <f>Warren!I11+Sean!I11+Rhett!I11+Jalpa!I11+Nataliya!I11+John!I11+Renee!I11+Dong!I11+Lee!I11</f>
        <v>0</v>
      </c>
      <c r="J11" s="14">
        <f>Warren!J11+Sean!J11+Rhett!J11+Jalpa!J11+Nataliya!J11+John!J11+Renee!J11+Dong!J11+Lee!J11</f>
        <v>0</v>
      </c>
      <c r="K11" s="14">
        <f>Warren!K11+Sean!K11+Rhett!K11+Jalpa!K11+Nataliya!K11+John!K11+Renee!K11+Dong!K11+Lee!K11</f>
        <v>0</v>
      </c>
      <c r="L11" s="14">
        <f>Warren!L11+Sean!L11+Rhett!L11+Jalpa!L11+Nataliya!L11+John!L11+Renee!L11+Dong!L11+Lee!L11</f>
        <v>0</v>
      </c>
      <c r="M11" s="14">
        <f>Warren!M11+Sean!M11+Rhett!M11+Jalpa!M11+Nataliya!M11+John!M11+Renee!M11+Dong!M11+Lee!M11</f>
        <v>0</v>
      </c>
      <c r="N11" s="14">
        <f>Warren!N11+Sean!N11+Rhett!N11+Jalpa!N11+Nataliya!N11+John!N11+Renee!N11+Dong!N11+Lee!N11</f>
        <v>0</v>
      </c>
      <c r="O11" s="14">
        <f>Warren!O11+Sean!O11+Rhett!O11+Jalpa!O11+Nataliya!O11+John!O11+Renee!O11+Dong!O11+Lee!O11</f>
        <v>0</v>
      </c>
      <c r="P11" s="14">
        <f>Warren!P11+Sean!P11+Rhett!P11+Jalpa!P11+Nataliya!P11+John!P11+Renee!P11+Dong!P11+Lee!P11</f>
        <v>0</v>
      </c>
      <c r="Q11" s="14">
        <f>Warren!Q11+Sean!Q11+Rhett!Q11+Jalpa!Q11+Nataliya!Q11+John!Q11+Renee!Q11+Dong!Q11+Lee!Q11</f>
        <v>0</v>
      </c>
      <c r="R11" s="14">
        <f>Warren!R11+Sean!R11+Rhett!R11+Jalpa!R11+Nataliya!R11+John!R11+Renee!R11+Dong!R11+Lee!R11</f>
        <v>0</v>
      </c>
      <c r="T11">
        <f t="shared" si="1"/>
        <v>0</v>
      </c>
      <c r="U11" s="11">
        <f t="shared" si="0"/>
        <v>0</v>
      </c>
    </row>
    <row r="12" spans="1:21" ht="28">
      <c r="A12" s="101"/>
      <c r="B12" s="9">
        <v>3.4</v>
      </c>
      <c r="C12" s="40" t="s">
        <v>103</v>
      </c>
      <c r="D12" s="83">
        <f>Warren!C12+Sean!C12+Rhett!C12+Jalpa!C12+Nataliya!C12+John!C12+Renee!C12+Dong!C12+Lee!C12+'SB-Dev'!C12</f>
        <v>0</v>
      </c>
      <c r="E12" s="36">
        <f>MIN(Sean!D12,Warren!D12,Rhett!D12,Lee!D12,Jalpa!D12,Nataliya!D12,John!D12,Renee!D12,Dong!D12)</f>
        <v>39980</v>
      </c>
      <c r="F12" s="36">
        <f>MAX(Sean!E12,Warren!E12,Rhett!E12,Lee!E12,Jalpa!E12,Nataliya!E12,John!E12,Renee!E12,Dong!E12)</f>
        <v>40344</v>
      </c>
      <c r="G12" s="14">
        <f>Warren!G12+Sean!G12+Rhett!G12+Jalpa!G12+Nataliya!G12+John!G12+Renee!G12+Dong!G12+Lee!G12</f>
        <v>0</v>
      </c>
      <c r="H12" s="14">
        <f>Warren!H12+Sean!H12+Rhett!H12+Jalpa!H12+Nataliya!H12+John!H12+Renee!H12+Dong!H12+Lee!H12</f>
        <v>0</v>
      </c>
      <c r="I12" s="14">
        <f>Warren!I12+Sean!I12+Rhett!I12+Jalpa!I12+Nataliya!I12+John!I12+Renee!I12+Dong!I12+Lee!I12</f>
        <v>0</v>
      </c>
      <c r="J12" s="14">
        <f>Warren!J12+Sean!J12+Rhett!J12+Jalpa!J12+Nataliya!J12+John!J12+Renee!J12+Dong!J12+Lee!J12</f>
        <v>0</v>
      </c>
      <c r="K12" s="14">
        <f>Warren!K12+Sean!K12+Rhett!K12+Jalpa!K12+Nataliya!K12+John!K12+Renee!K12+Dong!K12+Lee!K12</f>
        <v>0</v>
      </c>
      <c r="L12" s="14">
        <f>Warren!L12+Sean!L12+Rhett!L12+Jalpa!L12+Nataliya!L12+John!L12+Renee!L12+Dong!L12+Lee!L12</f>
        <v>0</v>
      </c>
      <c r="M12" s="14">
        <f>Warren!M12+Sean!M12+Rhett!M12+Jalpa!M12+Nataliya!M12+John!M12+Renee!M12+Dong!M12+Lee!M12</f>
        <v>0</v>
      </c>
      <c r="N12" s="14">
        <f>Warren!N12+Sean!N12+Rhett!N12+Jalpa!N12+Nataliya!N12+John!N12+Renee!N12+Dong!N12+Lee!N12</f>
        <v>0</v>
      </c>
      <c r="O12" s="14">
        <f>Warren!O12+Sean!O12+Rhett!O12+Jalpa!O12+Nataliya!O12+John!O12+Renee!O12+Dong!O12+Lee!O12</f>
        <v>0</v>
      </c>
      <c r="P12" s="14">
        <f>Warren!P12+Sean!P12+Rhett!P12+Jalpa!P12+Nataliya!P12+John!P12+Renee!P12+Dong!P12+Lee!P12</f>
        <v>0</v>
      </c>
      <c r="Q12" s="14">
        <f>Warren!Q12+Sean!Q12+Rhett!Q12+Jalpa!Q12+Nataliya!Q12+John!Q12+Renee!Q12+Dong!Q12+Lee!Q12</f>
        <v>0</v>
      </c>
      <c r="R12" s="14">
        <f>Warren!R12+Sean!R12+Rhett!R12+Jalpa!R12+Nataliya!R12+John!R12+Renee!R12+Dong!R12+Lee!R12</f>
        <v>0</v>
      </c>
      <c r="T12">
        <f t="shared" si="1"/>
        <v>0</v>
      </c>
      <c r="U12" s="11">
        <f t="shared" si="0"/>
        <v>0</v>
      </c>
    </row>
    <row r="13" spans="1:21">
      <c r="B13" s="8">
        <v>4</v>
      </c>
      <c r="C13" s="1" t="s">
        <v>47</v>
      </c>
      <c r="D13" s="83">
        <f>Warren!C13+Sean!C13+Rhett!C13+Jalpa!C13+Nataliya!C13+John!C13+Renee!C13+Dong!C13+Lee!C13+'SB-Dev'!C13</f>
        <v>48</v>
      </c>
      <c r="E13" s="36">
        <f>MIN(Sean!D13,Warren!D13,Rhett!D13,Lee!D13,Jalpa!D13,Nataliya!D13,John!D13,Renee!D13,Dong!D13)</f>
        <v>39980</v>
      </c>
      <c r="F13" s="36">
        <f>MAX(Sean!E13,Warren!E13,Rhett!E13,Lee!E13,Jalpa!E13,Nataliya!E13,John!E13,Renee!E13,Dong!E13)</f>
        <v>40344</v>
      </c>
      <c r="G13" s="14">
        <f>Warren!G13+Sean!G13+Rhett!G13+Jalpa!G13+Nataliya!G13+John!G13+Renee!G13+Dong!G13+Lee!G13</f>
        <v>4</v>
      </c>
      <c r="H13" s="14">
        <f>Warren!H13+Sean!H13+Rhett!H13+Jalpa!H13+Nataliya!H13+John!H13+Renee!H13+Dong!H13+Lee!H13</f>
        <v>0</v>
      </c>
      <c r="I13" s="14">
        <f>Warren!I13+Sean!I13+Rhett!I13+Jalpa!I13+Nataliya!I13+John!I13+Renee!I13+Dong!I13+Lee!I13</f>
        <v>0</v>
      </c>
      <c r="J13" s="14">
        <f>Warren!J13+Sean!J13+Rhett!J13+Jalpa!J13+Nataliya!J13+John!J13+Renee!J13+Dong!J13+Lee!J13</f>
        <v>0</v>
      </c>
      <c r="K13" s="14">
        <f>Warren!K13+Sean!K13+Rhett!K13+Jalpa!K13+Nataliya!K13+John!K13+Renee!K13+Dong!K13+Lee!K13</f>
        <v>0</v>
      </c>
      <c r="L13" s="14">
        <f>Warren!L13+Sean!L13+Rhett!L13+Jalpa!L13+Nataliya!L13+John!L13+Renee!L13+Dong!L13+Lee!L13</f>
        <v>0</v>
      </c>
      <c r="M13" s="14">
        <f>Warren!M13+Sean!M13+Rhett!M13+Jalpa!M13+Nataliya!M13+John!M13+Renee!M13+Dong!M13+Lee!M13</f>
        <v>0</v>
      </c>
      <c r="N13" s="14">
        <f>Warren!N13+Sean!N13+Rhett!N13+Jalpa!N13+Nataliya!N13+John!N13+Renee!N13+Dong!N13+Lee!N13</f>
        <v>0</v>
      </c>
      <c r="O13" s="14">
        <f>Warren!O13+Sean!O13+Rhett!O13+Jalpa!O13+Nataliya!O13+John!O13+Renee!O13+Dong!O13+Lee!O13</f>
        <v>0</v>
      </c>
      <c r="P13" s="14">
        <f>Warren!P13+Sean!P13+Rhett!P13+Jalpa!P13+Nataliya!P13+John!P13+Renee!P13+Dong!P13+Lee!P13</f>
        <v>0</v>
      </c>
      <c r="Q13" s="14">
        <f>Warren!Q13+Sean!Q13+Rhett!Q13+Jalpa!Q13+Nataliya!Q13+John!Q13+Renee!Q13+Dong!Q13+Lee!Q13</f>
        <v>0</v>
      </c>
      <c r="R13" s="14">
        <f>Warren!R13+Sean!R13+Rhett!R13+Jalpa!R13+Nataliya!R13+John!R13+Renee!R13+Dong!R13+Lee!R13</f>
        <v>0</v>
      </c>
      <c r="T13">
        <f t="shared" si="1"/>
        <v>4</v>
      </c>
      <c r="U13" s="11">
        <f t="shared" si="0"/>
        <v>8.3333333333333329E-2</v>
      </c>
    </row>
    <row r="14" spans="1:21" ht="28">
      <c r="B14" s="8">
        <v>5</v>
      </c>
      <c r="C14" s="40" t="s">
        <v>52</v>
      </c>
      <c r="D14" s="83">
        <f>Warren!C14+Sean!C14+Rhett!C14+Jalpa!C14+Nataliya!C14+John!C14+Renee!C14+Dong!C14+Lee!C14+'SB-Dev'!C14</f>
        <v>512</v>
      </c>
      <c r="E14" s="36">
        <f>MIN(Sean!D14,Warren!D14,Rhett!D14,Lee!D14,Jalpa!D14,Nataliya!D14,John!D14,Renee!D14,Dong!D14)</f>
        <v>39980</v>
      </c>
      <c r="F14" s="36">
        <f>MAX(Sean!E14,Warren!E14,Rhett!E14,Lee!E14,Jalpa!E14,Nataliya!E14,John!E14,Renee!E14,Dong!E14)</f>
        <v>40344</v>
      </c>
      <c r="G14" s="14">
        <f>Warren!G14+Sean!G14+Rhett!G14+Jalpa!G14+Nataliya!G14+John!G14+Renee!G14+Dong!G14+Lee!G14</f>
        <v>19</v>
      </c>
      <c r="H14" s="14">
        <f>Warren!H14+Sean!H14+Rhett!H14+Jalpa!H14+Nataliya!H14+John!H14+Renee!H14+Dong!H14+Lee!H14</f>
        <v>0</v>
      </c>
      <c r="I14" s="14">
        <f>Warren!I14+Sean!I14+Rhett!I14+Jalpa!I14+Nataliya!I14+John!I14+Renee!I14+Dong!I14+Lee!I14</f>
        <v>0</v>
      </c>
      <c r="J14" s="14">
        <f>Warren!J14+Sean!J14+Rhett!J14+Jalpa!J14+Nataliya!J14+John!J14+Renee!J14+Dong!J14+Lee!J14</f>
        <v>0</v>
      </c>
      <c r="K14" s="14">
        <f>Warren!K14+Sean!K14+Rhett!K14+Jalpa!K14+Nataliya!K14+John!K14+Renee!K14+Dong!K14+Lee!K14</f>
        <v>0</v>
      </c>
      <c r="L14" s="14">
        <f>Warren!L14+Sean!L14+Rhett!L14+Jalpa!L14+Nataliya!L14+John!L14+Renee!L14+Dong!L14+Lee!L14</f>
        <v>0</v>
      </c>
      <c r="M14" s="14">
        <f>Warren!M14+Sean!M14+Rhett!M14+Jalpa!M14+Nataliya!M14+John!M14+Renee!M14+Dong!M14+Lee!M14</f>
        <v>0</v>
      </c>
      <c r="N14" s="14">
        <f>Warren!N14+Sean!N14+Rhett!N14+Jalpa!N14+Nataliya!N14+John!N14+Renee!N14+Dong!N14+Lee!N14</f>
        <v>0</v>
      </c>
      <c r="O14" s="14">
        <f>Warren!O14+Sean!O14+Rhett!O14+Jalpa!O14+Nataliya!O14+John!O14+Renee!O14+Dong!O14+Lee!O14</f>
        <v>0</v>
      </c>
      <c r="P14" s="14">
        <f>Warren!P14+Sean!P14+Rhett!P14+Jalpa!P14+Nataliya!P14+John!P14+Renee!P14+Dong!P14+Lee!P14</f>
        <v>0</v>
      </c>
      <c r="Q14" s="14">
        <f>Warren!Q14+Sean!Q14+Rhett!Q14+Jalpa!Q14+Nataliya!Q14+John!Q14+Renee!Q14+Dong!Q14+Lee!Q14</f>
        <v>0</v>
      </c>
      <c r="R14" s="14">
        <f>Warren!R14+Sean!R14+Rhett!R14+Jalpa!R14+Nataliya!R14+John!R14+Renee!R14+Dong!R14+Lee!R14</f>
        <v>0</v>
      </c>
      <c r="T14">
        <f t="shared" si="1"/>
        <v>19</v>
      </c>
      <c r="U14" s="11">
        <f t="shared" si="0"/>
        <v>3.7109375E-2</v>
      </c>
    </row>
    <row r="15" spans="1:21">
      <c r="B15" s="8">
        <v>6</v>
      </c>
      <c r="C15" s="1" t="s">
        <v>48</v>
      </c>
      <c r="D15" s="83">
        <f>Warren!C15+Sean!C15+Rhett!C15+Jalpa!C15+Nataliya!C15+John!C15+Renee!C15+Dong!C15+Lee!C15+'SB-Dev'!C15</f>
        <v>256</v>
      </c>
      <c r="E15" s="36">
        <f>MIN(Sean!D15,Warren!D15,Rhett!D15,Lee!D15,Jalpa!D15,Nataliya!D15,John!D15,Renee!D15,Dong!D15)</f>
        <v>39980</v>
      </c>
      <c r="F15" s="36">
        <f>MAX(Sean!E15,Warren!E15,Rhett!E15,Lee!E15,Jalpa!E15,Nataliya!E15,John!E15,Renee!E15,Dong!E15)</f>
        <v>40344</v>
      </c>
      <c r="G15" s="14">
        <f>Warren!G15+Sean!G15+Rhett!G15+Jalpa!G15+Nataliya!G15+John!G15+Renee!G15+Dong!G15+Lee!G15</f>
        <v>12</v>
      </c>
      <c r="H15" s="14">
        <f>Warren!H15+Sean!H15+Rhett!H15+Jalpa!H15+Nataliya!H15+John!H15+Renee!H15+Dong!H15+Lee!H15</f>
        <v>0</v>
      </c>
      <c r="I15" s="14">
        <f>Warren!I15+Sean!I15+Rhett!I15+Jalpa!I15+Nataliya!I15+John!I15+Renee!I15+Dong!I15+Lee!I15</f>
        <v>0</v>
      </c>
      <c r="J15" s="14">
        <f>Warren!J15+Sean!J15+Rhett!J15+Jalpa!J15+Nataliya!J15+John!J15+Renee!J15+Dong!J15+Lee!J15</f>
        <v>0</v>
      </c>
      <c r="K15" s="14">
        <f>Warren!K15+Sean!K15+Rhett!K15+Jalpa!K15+Nataliya!K15+John!K15+Renee!K15+Dong!K15+Lee!K15</f>
        <v>0</v>
      </c>
      <c r="L15" s="14">
        <f>Warren!L15+Sean!L15+Rhett!L15+Jalpa!L15+Nataliya!L15+John!L15+Renee!L15+Dong!L15+Lee!L15</f>
        <v>0</v>
      </c>
      <c r="M15" s="14">
        <f>Warren!M15+Sean!M15+Rhett!M15+Jalpa!M15+Nataliya!M15+John!M15+Renee!M15+Dong!M15+Lee!M15</f>
        <v>0</v>
      </c>
      <c r="N15" s="14">
        <f>Warren!N15+Sean!N15+Rhett!N15+Jalpa!N15+Nataliya!N15+John!N15+Renee!N15+Dong!N15+Lee!N15</f>
        <v>0</v>
      </c>
      <c r="O15" s="14">
        <f>Warren!O15+Sean!O15+Rhett!O15+Jalpa!O15+Nataliya!O15+John!O15+Renee!O15+Dong!O15+Lee!O15</f>
        <v>0</v>
      </c>
      <c r="P15" s="14">
        <f>Warren!P15+Sean!P15+Rhett!P15+Jalpa!P15+Nataliya!P15+John!P15+Renee!P15+Dong!P15+Lee!P15</f>
        <v>0</v>
      </c>
      <c r="Q15" s="14">
        <f>Warren!Q15+Sean!Q15+Rhett!Q15+Jalpa!Q15+Nataliya!Q15+John!Q15+Renee!Q15+Dong!Q15+Lee!Q15</f>
        <v>0</v>
      </c>
      <c r="R15" s="14">
        <f>Warren!R15+Sean!R15+Rhett!R15+Jalpa!R15+Nataliya!R15+John!R15+Renee!R15+Dong!R15+Lee!R15</f>
        <v>0</v>
      </c>
      <c r="T15">
        <f t="shared" si="1"/>
        <v>12</v>
      </c>
      <c r="U15" s="11">
        <f t="shared" si="0"/>
        <v>4.6875E-2</v>
      </c>
    </row>
    <row r="16" spans="1:21">
      <c r="B16" s="8">
        <v>7</v>
      </c>
      <c r="C16" s="1" t="s">
        <v>50</v>
      </c>
      <c r="D16" s="83">
        <f>Warren!C16+Sean!C16+Rhett!C16+Jalpa!C16+Nataliya!C16+John!C16+Renee!C16+Dong!C16+Lee!C16+'SB-Dev'!C16</f>
        <v>224</v>
      </c>
      <c r="E16" s="36">
        <f>MIN(Sean!D16,Warren!D16,Rhett!D16,Lee!D16,Jalpa!D16,Nataliya!D16,John!D16,Renee!D16,Dong!D16)</f>
        <v>39980</v>
      </c>
      <c r="F16" s="36">
        <f>MAX(Sean!E16,Warren!E16,Rhett!E16,Lee!E16,Jalpa!E16,Nataliya!E16,John!E16,Renee!E16,Dong!E16)</f>
        <v>40344</v>
      </c>
      <c r="G16" s="14">
        <f>Warren!G16+Sean!G16+Rhett!G16+Jalpa!G16+Nataliya!G16+John!G16+Renee!G16+Dong!G16+Lee!G16</f>
        <v>11</v>
      </c>
      <c r="H16" s="14">
        <f>Warren!H16+Sean!H16+Rhett!H16+Jalpa!H16+Nataliya!H16+John!H16+Renee!H16+Dong!H16+Lee!H16</f>
        <v>0</v>
      </c>
      <c r="I16" s="14">
        <f>Warren!I16+Sean!I16+Rhett!I16+Jalpa!I16+Nataliya!I16+John!I16+Renee!I16+Dong!I16+Lee!I16</f>
        <v>0</v>
      </c>
      <c r="J16" s="14">
        <f>Warren!J16+Sean!J16+Rhett!J16+Jalpa!J16+Nataliya!J16+John!J16+Renee!J16+Dong!J16+Lee!J16</f>
        <v>0</v>
      </c>
      <c r="K16" s="14">
        <f>Warren!K16+Sean!K16+Rhett!K16+Jalpa!K16+Nataliya!K16+John!K16+Renee!K16+Dong!K16+Lee!K16</f>
        <v>0</v>
      </c>
      <c r="L16" s="14">
        <f>Warren!L16+Sean!L16+Rhett!L16+Jalpa!L16+Nataliya!L16+John!L16+Renee!L16+Dong!L16+Lee!L16</f>
        <v>0</v>
      </c>
      <c r="M16" s="14">
        <f>Warren!M16+Sean!M16+Rhett!M16+Jalpa!M16+Nataliya!M16+John!M16+Renee!M16+Dong!M16+Lee!M16</f>
        <v>0</v>
      </c>
      <c r="N16" s="14">
        <f>Warren!N16+Sean!N16+Rhett!N16+Jalpa!N16+Nataliya!N16+John!N16+Renee!N16+Dong!N16+Lee!N16</f>
        <v>0</v>
      </c>
      <c r="O16" s="14">
        <f>Warren!O16+Sean!O16+Rhett!O16+Jalpa!O16+Nataliya!O16+John!O16+Renee!O16+Dong!O16+Lee!O16</f>
        <v>0</v>
      </c>
      <c r="P16" s="14">
        <f>Warren!P16+Sean!P16+Rhett!P16+Jalpa!P16+Nataliya!P16+John!P16+Renee!P16+Dong!P16+Lee!P16</f>
        <v>0</v>
      </c>
      <c r="Q16" s="14">
        <f>Warren!Q16+Sean!Q16+Rhett!Q16+Jalpa!Q16+Nataliya!Q16+John!Q16+Renee!Q16+Dong!Q16+Lee!Q16</f>
        <v>0</v>
      </c>
      <c r="R16" s="14">
        <f>Warren!R16+Sean!R16+Rhett!R16+Jalpa!R16+Nataliya!R16+John!R16+Renee!R16+Dong!R16+Lee!R16</f>
        <v>0</v>
      </c>
      <c r="T16">
        <f t="shared" si="1"/>
        <v>11</v>
      </c>
      <c r="U16" s="11">
        <f t="shared" si="0"/>
        <v>4.9107142857142856E-2</v>
      </c>
    </row>
    <row r="17" spans="1:21">
      <c r="B17" s="8">
        <v>8</v>
      </c>
      <c r="C17" s="1" t="s">
        <v>49</v>
      </c>
      <c r="D17" s="83">
        <f>Warren!C17+Sean!C17+Rhett!C17+Jalpa!C17+Nataliya!C17+John!C17+Renee!C17+Dong!C17+Lee!C17+'SB-Dev'!C17</f>
        <v>64</v>
      </c>
      <c r="E17" s="36">
        <f>MIN(Sean!D17,Warren!D17,Rhett!D17,Lee!D17,Jalpa!D17,Nataliya!D17,John!D17,Renee!D17,Dong!D17)</f>
        <v>39980</v>
      </c>
      <c r="F17" s="36">
        <f>MAX(Sean!E17,Warren!E17,Rhett!E17,Lee!E17,Jalpa!E17,Nataliya!E17,John!E17,Renee!E17,Dong!E17)</f>
        <v>40344</v>
      </c>
      <c r="G17" s="14">
        <f>Warren!G17+Sean!G17+Rhett!G17+Jalpa!G17+Nataliya!G17+John!G17+Renee!G17+Dong!G17+Lee!G17</f>
        <v>5</v>
      </c>
      <c r="H17" s="14">
        <f>Warren!H17+Sean!H17+Rhett!H17+Jalpa!H17+Nataliya!H17+John!H17+Renee!H17+Dong!H17+Lee!H17</f>
        <v>0</v>
      </c>
      <c r="I17" s="14">
        <f>Warren!I17+Sean!I17+Rhett!I17+Jalpa!I17+Nataliya!I17+John!I17+Renee!I17+Dong!I17+Lee!I17</f>
        <v>0</v>
      </c>
      <c r="J17" s="14">
        <f>Warren!J17+Sean!J17+Rhett!J17+Jalpa!J17+Nataliya!J17+John!J17+Renee!J17+Dong!J17+Lee!J17</f>
        <v>0</v>
      </c>
      <c r="K17" s="14">
        <f>Warren!K17+Sean!K17+Rhett!K17+Jalpa!K17+Nataliya!K17+John!K17+Renee!K17+Dong!K17+Lee!K17</f>
        <v>0</v>
      </c>
      <c r="L17" s="14">
        <f>Warren!L17+Sean!L17+Rhett!L17+Jalpa!L17+Nataliya!L17+John!L17+Renee!L17+Dong!L17+Lee!L17</f>
        <v>0</v>
      </c>
      <c r="M17" s="14">
        <f>Warren!M17+Sean!M17+Rhett!M17+Jalpa!M17+Nataliya!M17+John!M17+Renee!M17+Dong!M17+Lee!M17</f>
        <v>0</v>
      </c>
      <c r="N17" s="14">
        <f>Warren!N17+Sean!N17+Rhett!N17+Jalpa!N17+Nataliya!N17+John!N17+Renee!N17+Dong!N17+Lee!N17</f>
        <v>0</v>
      </c>
      <c r="O17" s="14">
        <f>Warren!O17+Sean!O17+Rhett!O17+Jalpa!O17+Nataliya!O17+John!O17+Renee!O17+Dong!O17+Lee!O17</f>
        <v>0</v>
      </c>
      <c r="P17" s="14">
        <f>Warren!P17+Sean!P17+Rhett!P17+Jalpa!P17+Nataliya!P17+John!P17+Renee!P17+Dong!P17+Lee!P17</f>
        <v>0</v>
      </c>
      <c r="Q17" s="14">
        <f>Warren!Q17+Sean!Q17+Rhett!Q17+Jalpa!Q17+Nataliya!Q17+John!Q17+Renee!Q17+Dong!Q17+Lee!Q17</f>
        <v>0</v>
      </c>
      <c r="R17" s="14">
        <f>Warren!R17+Sean!R17+Rhett!R17+Jalpa!R17+Nataliya!R17+John!R17+Renee!R17+Dong!R17+Lee!R17</f>
        <v>0</v>
      </c>
      <c r="T17">
        <f t="shared" si="1"/>
        <v>5</v>
      </c>
      <c r="U17" s="11">
        <f t="shared" si="0"/>
        <v>7.8125E-2</v>
      </c>
    </row>
    <row r="18" spans="1:21" s="10" customFormat="1">
      <c r="A18" s="13" t="s">
        <v>30</v>
      </c>
      <c r="B18" s="13"/>
      <c r="C18" s="13"/>
      <c r="D18" s="13">
        <f>SUM(D13:D17)+SUM(D6:D8)</f>
        <v>11136</v>
      </c>
      <c r="E18" s="13"/>
      <c r="F18" s="13"/>
      <c r="G18" s="13">
        <f>SUM(G6:G17)</f>
        <v>765</v>
      </c>
      <c r="H18" s="13">
        <f t="shared" ref="H18:R18" si="2">SUM(H6:H17)</f>
        <v>0</v>
      </c>
      <c r="I18" s="13">
        <f t="shared" si="2"/>
        <v>0</v>
      </c>
      <c r="J18" s="13">
        <f t="shared" si="2"/>
        <v>0</v>
      </c>
      <c r="K18" s="13">
        <f t="shared" si="2"/>
        <v>0</v>
      </c>
      <c r="L18" s="13">
        <f t="shared" si="2"/>
        <v>0</v>
      </c>
      <c r="M18" s="13">
        <f t="shared" si="2"/>
        <v>0</v>
      </c>
      <c r="N18" s="13">
        <f t="shared" si="2"/>
        <v>0</v>
      </c>
      <c r="O18" s="13">
        <f t="shared" si="2"/>
        <v>0</v>
      </c>
      <c r="P18" s="13">
        <f t="shared" si="2"/>
        <v>0</v>
      </c>
      <c r="Q18" s="13">
        <f t="shared" si="2"/>
        <v>0</v>
      </c>
      <c r="R18" s="13">
        <f t="shared" si="2"/>
        <v>0</v>
      </c>
      <c r="S18" s="13"/>
      <c r="T18" s="13">
        <f t="shared" si="1"/>
        <v>765</v>
      </c>
      <c r="U18" s="12">
        <f t="shared" si="0"/>
        <v>6.8696120689655166E-2</v>
      </c>
    </row>
    <row r="19" spans="1:21" s="4" customFormat="1">
      <c r="A19" s="4" t="s">
        <v>58</v>
      </c>
      <c r="C19" s="26"/>
      <c r="D19" s="4">
        <f xml:space="preserve"> IF(D18&lt;T18, (T18-D18)/MAX(D18,1),0 )</f>
        <v>0</v>
      </c>
      <c r="E19" s="25">
        <f>D18/MONTH(N1-L1)</f>
        <v>928</v>
      </c>
      <c r="G19" s="26">
        <f xml:space="preserve"> IF(G18=0, 0,(G18-E19)/G18)</f>
        <v>-0.21307189542483659</v>
      </c>
      <c r="H19" s="26">
        <f xml:space="preserve"> IF(H18=0, 0,(H18-E19)/H18)</f>
        <v>0</v>
      </c>
      <c r="I19" s="26">
        <f xml:space="preserve"> IF(I18=0, 0,(I18-E19)/I18)</f>
        <v>0</v>
      </c>
      <c r="J19" s="26">
        <f xml:space="preserve"> IF(J18=0, 0,(J18-E19)/J18)</f>
        <v>0</v>
      </c>
      <c r="K19" s="26">
        <f xml:space="preserve"> IF(K18=0, 0,(K18-E19)/K18)</f>
        <v>0</v>
      </c>
      <c r="L19" s="26">
        <f xml:space="preserve"> IF(L18=0, 0,(L18-E19)/L18)</f>
        <v>0</v>
      </c>
      <c r="M19" s="26">
        <f xml:space="preserve"> IF(M18=0, 0,(M18-E19)/M18)</f>
        <v>0</v>
      </c>
      <c r="N19" s="26">
        <f xml:space="preserve"> IF(N18=0, 0,(N18-E19)/N18)</f>
        <v>0</v>
      </c>
      <c r="O19" s="26">
        <f xml:space="preserve"> IF(O18=0, 0,(O18-E19)/O18)</f>
        <v>0</v>
      </c>
      <c r="P19" s="26">
        <f xml:space="preserve"> IF(P18=0, 0,(P18-E19)/P18)</f>
        <v>0</v>
      </c>
      <c r="Q19" s="26">
        <f xml:space="preserve"> IF(Q18=0, 0,(Q18-E19)/Q18)</f>
        <v>0</v>
      </c>
      <c r="R19" s="26">
        <f xml:space="preserve"> IF(R18=0, 0,(R18-E19)/R18)</f>
        <v>0</v>
      </c>
    </row>
    <row r="21" spans="1:21" s="6" customFormat="1">
      <c r="A21" s="6" t="s">
        <v>64</v>
      </c>
      <c r="G21" s="6">
        <f>IF(G23 = 0, 0, (D18-SUM(G18:G18))/(MONTH(N1-G5)))</f>
        <v>0</v>
      </c>
      <c r="H21" s="6">
        <f>IF(H23 = 0, 0, (D18-SUM(G18:H18))/(MONTH(N1-H5)))</f>
        <v>0</v>
      </c>
      <c r="I21" s="6">
        <f>IF(I23 = 0, 0, (D18-SUM(G18:I18))/(MONTH(N1-I5)))</f>
        <v>0</v>
      </c>
      <c r="J21" s="6">
        <f>IF(J23 = 0, 0, (D18-SUM(G18:J18))/(MONTH(N1-J5)))</f>
        <v>0</v>
      </c>
      <c r="K21" s="6">
        <f>IF(K23 = 0, 0, (D18-SUM(G18:K18))/(MONTH(N1-K5)))</f>
        <v>0</v>
      </c>
      <c r="L21" s="6">
        <f>IF(L23 = 0, 0, (D18-SUM(G18:L18))/(MONTH(N1-L5)))</f>
        <v>0</v>
      </c>
      <c r="M21" s="6">
        <f>IF(M23 = 0, 0, (D18-SUM(G18:M18))/(MONTH(N1-M5)))</f>
        <v>0</v>
      </c>
      <c r="N21" s="6">
        <f>IF(N23 = 0, 0, (D18-SUM(G18:N18))/(MONTH(N1-N5)))</f>
        <v>0</v>
      </c>
      <c r="O21" s="6">
        <f>IF(O23 = 0, 0, (D18-SUM(G18:O18))/(MONTH(N1-O5)))</f>
        <v>0</v>
      </c>
      <c r="P21" s="6">
        <f>IF(P23 = 0, 0, (D18-SUM(G18:P18))/(MONTH(N1-P5)))</f>
        <v>0</v>
      </c>
      <c r="Q21" s="6">
        <f>IF(Q23 = 0, 0, (D18-SUM(G18:Q18))/(MONTH(N1-Q5)))</f>
        <v>0</v>
      </c>
      <c r="R21" s="6">
        <f>IF(R23 = 0, 0, (D18-SUM(G18:R18)))</f>
        <v>0</v>
      </c>
    </row>
    <row r="22" spans="1:21" s="1" customFormat="1">
      <c r="A22" s="1" t="s">
        <v>66</v>
      </c>
      <c r="G22" s="6">
        <f>IF(G23=0, 0, D18-SUM(G18:G18))</f>
        <v>0</v>
      </c>
      <c r="H22" s="6">
        <f>IF(H23=0, 0,D18-SUM(G18:H18))</f>
        <v>0</v>
      </c>
      <c r="I22" s="6">
        <f>IF(I23=0, 0,D18-SUM(G18:I18))</f>
        <v>0</v>
      </c>
      <c r="J22" s="6">
        <f>IF(J23=0, 0,D18-SUM(G18:J18))</f>
        <v>0</v>
      </c>
      <c r="K22" s="6">
        <f>IF(K23=0, 0,D18-SUM(G18:K18))</f>
        <v>0</v>
      </c>
      <c r="L22" s="6">
        <f>IF(L23=0, 0,D18-SUM(G18:L18))</f>
        <v>0</v>
      </c>
      <c r="M22" s="6">
        <f>IF(M23=0, 0,D18-SUM(G18:M18))</f>
        <v>0</v>
      </c>
      <c r="N22" s="6">
        <f>IF(N23=0, 0,D18-SUM(G18:N18))</f>
        <v>0</v>
      </c>
      <c r="O22" s="6">
        <f>IF(O23=0, 0,D18-SUM(G18:O18))</f>
        <v>0</v>
      </c>
      <c r="P22" s="6">
        <f>IF(P23=0, 0,D18-SUM(G18:P18))</f>
        <v>0</v>
      </c>
      <c r="Q22" s="6">
        <f>IF(Q23=0, 0,D18-SUM(G18:Q18))</f>
        <v>0</v>
      </c>
      <c r="R22" s="6">
        <f>IF(R23=0, 0,D18-SUM(G18:R18))</f>
        <v>0</v>
      </c>
    </row>
    <row r="23" spans="1:21" s="1" customFormat="1">
      <c r="B23" s="1" t="s">
        <v>63</v>
      </c>
      <c r="G23" s="6">
        <v>0</v>
      </c>
      <c r="H23" s="6">
        <f>'Project Summary'!H22</f>
        <v>0</v>
      </c>
      <c r="I23" s="6">
        <f>'Project Summary'!I22</f>
        <v>0</v>
      </c>
      <c r="J23" s="6">
        <f>'Project Summary'!J22</f>
        <v>0</v>
      </c>
      <c r="K23" s="6">
        <f>'Project Summary'!K22</f>
        <v>0</v>
      </c>
      <c r="L23" s="6">
        <f>'Project Summary'!L22</f>
        <v>0</v>
      </c>
      <c r="M23" s="6">
        <f>'Project Summary'!M22</f>
        <v>0</v>
      </c>
      <c r="N23" s="6">
        <f>'Project Summary'!N22</f>
        <v>0</v>
      </c>
      <c r="O23" s="6">
        <f>'Project Summary'!O22</f>
        <v>0</v>
      </c>
      <c r="P23" s="6">
        <f>'Project Summary'!P22</f>
        <v>0</v>
      </c>
      <c r="Q23" s="6">
        <f>'Project Summary'!Q22</f>
        <v>0</v>
      </c>
      <c r="R23" s="6">
        <f>'Project Summary'!R22</f>
        <v>0</v>
      </c>
    </row>
  </sheetData>
  <sheetCalcPr fullCalcOnLoad="1"/>
  <mergeCells count="6">
    <mergeCell ref="C1:F1"/>
    <mergeCell ref="A1:B1"/>
    <mergeCell ref="A11:A12"/>
    <mergeCell ref="A5:A6"/>
    <mergeCell ref="A7:A8"/>
    <mergeCell ref="A9:A10"/>
  </mergeCells>
  <phoneticPr fontId="10" type="noConversion"/>
  <pageMargins left="0.7" right="0.7" top="0.75" bottom="0.75" header="0.3" footer="0.3"/>
  <ignoredErrors>
    <ignoredError sqref="G5:R5" twoDigitTextYear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52"/>
  <sheetViews>
    <sheetView workbookViewId="0">
      <selection activeCell="C10" sqref="C10"/>
    </sheetView>
  </sheetViews>
  <sheetFormatPr baseColWidth="10" defaultColWidth="15.33203125" defaultRowHeight="11"/>
  <cols>
    <col min="1" max="1" width="22.5" style="49" customWidth="1"/>
    <col min="2" max="16384" width="15.33203125" style="49"/>
  </cols>
  <sheetData>
    <row r="1" spans="1:13" ht="17">
      <c r="A1" s="103"/>
      <c r="B1" s="103"/>
      <c r="C1" s="103"/>
      <c r="D1" s="103"/>
      <c r="E1" s="103"/>
      <c r="F1" s="103"/>
      <c r="G1" s="103"/>
      <c r="H1" s="103"/>
    </row>
    <row r="2" spans="1:13">
      <c r="A2" s="74"/>
      <c r="B2" s="74"/>
      <c r="C2" s="74"/>
      <c r="D2" s="74"/>
      <c r="E2" s="74"/>
      <c r="F2" s="74"/>
      <c r="G2" s="74"/>
      <c r="H2" s="74"/>
    </row>
    <row r="4" spans="1:13" ht="13.75">
      <c r="A4" s="55"/>
      <c r="B4" s="54"/>
      <c r="C4" s="54"/>
      <c r="D4" s="54"/>
      <c r="E4" s="54"/>
      <c r="F4" s="54"/>
      <c r="G4" s="54"/>
      <c r="H4" s="67"/>
    </row>
    <row r="5" spans="1:13">
      <c r="H5" s="50"/>
    </row>
    <row r="6" spans="1:13">
      <c r="A6" s="51"/>
    </row>
    <row r="7" spans="1:13">
      <c r="A7" s="51"/>
      <c r="B7" s="51"/>
      <c r="C7" s="62"/>
      <c r="D7" s="63"/>
      <c r="E7" s="62"/>
      <c r="F7" s="68"/>
      <c r="G7" s="51"/>
      <c r="H7" s="69"/>
    </row>
    <row r="8" spans="1:13" ht="14">
      <c r="B8" s="64"/>
      <c r="C8" s="53"/>
      <c r="D8" s="65"/>
      <c r="E8" s="53"/>
      <c r="F8" s="65"/>
      <c r="H8" s="53"/>
      <c r="I8" s="70"/>
      <c r="J8" s="71"/>
      <c r="K8" s="71"/>
      <c r="L8" s="72"/>
      <c r="M8" s="72"/>
    </row>
    <row r="9" spans="1:13" ht="14">
      <c r="B9" s="64"/>
      <c r="C9" s="53"/>
      <c r="D9" s="65"/>
      <c r="E9" s="53"/>
      <c r="F9" s="65"/>
      <c r="H9" s="53"/>
      <c r="I9" s="70"/>
      <c r="J9" s="71"/>
      <c r="K9" s="71"/>
      <c r="L9" s="72"/>
      <c r="M9" s="72"/>
    </row>
    <row r="10" spans="1:13" ht="14">
      <c r="B10" s="64"/>
      <c r="C10" s="53"/>
      <c r="D10" s="65"/>
      <c r="E10" s="53"/>
      <c r="F10" s="65"/>
      <c r="H10" s="53"/>
      <c r="I10" s="70"/>
      <c r="J10" s="71"/>
      <c r="K10" s="71"/>
      <c r="L10" s="72"/>
      <c r="M10" s="72"/>
    </row>
    <row r="11" spans="1:13" ht="14">
      <c r="B11" s="64"/>
      <c r="C11" s="53"/>
      <c r="D11" s="65"/>
      <c r="E11" s="53"/>
      <c r="F11" s="65"/>
      <c r="H11" s="53"/>
      <c r="I11" s="73"/>
      <c r="J11" s="71"/>
      <c r="K11" s="71"/>
      <c r="L11" s="72"/>
      <c r="M11" s="72"/>
    </row>
    <row r="12" spans="1:13" ht="14">
      <c r="B12" s="64"/>
      <c r="C12" s="53"/>
      <c r="D12" s="65"/>
      <c r="E12" s="53"/>
      <c r="F12" s="65"/>
      <c r="H12" s="53"/>
      <c r="I12" s="73"/>
      <c r="J12" s="71"/>
      <c r="K12" s="71"/>
      <c r="L12" s="72"/>
      <c r="M12" s="72"/>
    </row>
    <row r="13" spans="1:13" ht="14">
      <c r="B13" s="64"/>
      <c r="C13" s="53"/>
      <c r="D13" s="65"/>
      <c r="E13" s="53"/>
      <c r="F13" s="65"/>
      <c r="H13" s="53"/>
      <c r="I13" s="73"/>
      <c r="J13" s="71"/>
      <c r="K13" s="71"/>
      <c r="L13" s="72"/>
      <c r="M13" s="72"/>
    </row>
    <row r="14" spans="1:13" ht="14">
      <c r="B14" s="64"/>
      <c r="C14" s="53"/>
      <c r="D14" s="65"/>
      <c r="E14" s="53"/>
      <c r="F14" s="65"/>
      <c r="H14" s="53"/>
      <c r="I14" s="73"/>
      <c r="J14" s="71"/>
      <c r="K14" s="71"/>
      <c r="L14" s="72"/>
      <c r="M14" s="72"/>
    </row>
    <row r="15" spans="1:13" ht="14">
      <c r="B15" s="64"/>
      <c r="C15" s="53"/>
      <c r="D15" s="65"/>
      <c r="E15" s="53"/>
      <c r="F15" s="65"/>
      <c r="H15" s="53"/>
      <c r="I15" s="70"/>
      <c r="J15" s="71"/>
      <c r="K15" s="71"/>
      <c r="L15" s="72"/>
      <c r="M15" s="72"/>
    </row>
    <row r="16" spans="1:13" ht="14">
      <c r="B16" s="64"/>
      <c r="C16" s="53"/>
      <c r="D16" s="65"/>
      <c r="E16" s="53"/>
      <c r="F16" s="65"/>
      <c r="H16" s="53"/>
      <c r="I16" s="70"/>
      <c r="J16" s="71"/>
      <c r="K16" s="71"/>
      <c r="L16" s="72"/>
      <c r="M16" s="72"/>
    </row>
    <row r="17" spans="1:13" ht="14">
      <c r="B17" s="66"/>
      <c r="C17" s="53"/>
      <c r="D17" s="65"/>
      <c r="E17" s="53"/>
      <c r="F17" s="65"/>
      <c r="H17" s="53"/>
      <c r="I17" s="70"/>
      <c r="J17" s="71"/>
      <c r="K17" s="71"/>
      <c r="L17" s="72"/>
      <c r="M17" s="72"/>
    </row>
    <row r="18" spans="1:13" ht="14">
      <c r="B18" s="66"/>
      <c r="C18" s="53"/>
      <c r="D18" s="65"/>
      <c r="E18" s="53"/>
      <c r="F18" s="65"/>
      <c r="H18" s="53"/>
      <c r="I18" s="70"/>
      <c r="J18" s="71"/>
      <c r="K18" s="71"/>
      <c r="L18" s="72"/>
      <c r="M18" s="72"/>
    </row>
    <row r="19" spans="1:13" ht="14">
      <c r="B19" s="66"/>
      <c r="C19" s="53"/>
      <c r="D19" s="65"/>
      <c r="E19" s="53"/>
      <c r="F19" s="65"/>
      <c r="H19" s="53"/>
      <c r="I19" s="70"/>
      <c r="J19" s="71"/>
      <c r="K19" s="71"/>
      <c r="L19" s="72"/>
      <c r="M19" s="72"/>
    </row>
    <row r="20" spans="1:13">
      <c r="B20" s="66"/>
      <c r="C20" s="53"/>
      <c r="D20" s="65"/>
      <c r="E20" s="53"/>
      <c r="F20" s="65"/>
      <c r="H20" s="53"/>
    </row>
    <row r="21" spans="1:13">
      <c r="B21" s="66"/>
      <c r="C21" s="53"/>
      <c r="D21" s="65"/>
      <c r="E21" s="53"/>
      <c r="F21" s="65"/>
      <c r="H21" s="53"/>
    </row>
    <row r="22" spans="1:13">
      <c r="G22" s="51"/>
      <c r="H22" s="52"/>
      <c r="I22" s="53"/>
    </row>
    <row r="23" spans="1:13">
      <c r="G23" s="51"/>
      <c r="H23" s="52"/>
    </row>
    <row r="24" spans="1:13" ht="13.75">
      <c r="A24" s="54"/>
      <c r="B24" s="54"/>
      <c r="C24" s="54"/>
      <c r="D24" s="54"/>
      <c r="E24" s="54"/>
      <c r="F24" s="54"/>
      <c r="G24" s="55"/>
      <c r="H24" s="54"/>
    </row>
    <row r="25" spans="1:13" ht="13.75">
      <c r="A25" s="51"/>
      <c r="B25" s="54"/>
      <c r="C25" s="54"/>
      <c r="D25" s="54"/>
      <c r="E25" s="54"/>
      <c r="F25" s="54"/>
      <c r="G25" s="55"/>
      <c r="H25" s="54"/>
    </row>
    <row r="26" spans="1:13">
      <c r="G26" s="51"/>
    </row>
    <row r="27" spans="1:13">
      <c r="A27" s="51"/>
      <c r="G27" s="51"/>
    </row>
    <row r="28" spans="1:13">
      <c r="A28" s="104"/>
      <c r="B28" s="104"/>
      <c r="C28" s="104"/>
      <c r="D28" s="104"/>
      <c r="E28" s="104"/>
      <c r="F28" s="104"/>
      <c r="G28" s="104"/>
      <c r="H28" s="51"/>
    </row>
    <row r="29" spans="1:13">
      <c r="A29" s="102"/>
      <c r="B29" s="102"/>
      <c r="C29" s="102"/>
      <c r="D29" s="102"/>
      <c r="E29" s="102"/>
      <c r="F29" s="102"/>
      <c r="G29" s="102"/>
      <c r="H29" s="53"/>
    </row>
    <row r="30" spans="1:13">
      <c r="A30" s="102"/>
      <c r="B30" s="102"/>
      <c r="C30" s="102"/>
      <c r="D30" s="102"/>
      <c r="E30" s="102"/>
      <c r="F30" s="102"/>
      <c r="G30" s="102"/>
      <c r="H30" s="53"/>
    </row>
    <row r="31" spans="1:13">
      <c r="A31" s="102"/>
      <c r="B31" s="102"/>
      <c r="C31" s="102"/>
      <c r="D31" s="102"/>
      <c r="E31" s="102"/>
      <c r="F31" s="102"/>
      <c r="G31" s="102"/>
      <c r="H31" s="53"/>
    </row>
    <row r="32" spans="1:13">
      <c r="G32" s="51"/>
      <c r="H32" s="52"/>
    </row>
    <row r="33" spans="1:8">
      <c r="G33" s="51"/>
    </row>
    <row r="34" spans="1:8">
      <c r="B34" s="7"/>
      <c r="G34" s="51"/>
      <c r="H34" s="52"/>
    </row>
    <row r="35" spans="1:8">
      <c r="A35" s="51"/>
      <c r="G35" s="51"/>
      <c r="H35" s="52"/>
    </row>
    <row r="36" spans="1:8">
      <c r="G36" s="51"/>
      <c r="H36" s="52"/>
    </row>
    <row r="37" spans="1:8">
      <c r="G37" s="51"/>
    </row>
    <row r="38" spans="1:8">
      <c r="A38" s="51"/>
    </row>
    <row r="39" spans="1:8">
      <c r="G39" s="51"/>
      <c r="H39" s="56"/>
    </row>
    <row r="40" spans="1:8">
      <c r="G40" s="51"/>
      <c r="H40" s="57"/>
    </row>
    <row r="41" spans="1:8">
      <c r="G41" s="51"/>
      <c r="H41" s="57"/>
    </row>
    <row r="42" spans="1:8">
      <c r="G42" s="51"/>
      <c r="H42" s="57"/>
    </row>
    <row r="43" spans="1:8">
      <c r="G43" s="58"/>
      <c r="H43" s="57"/>
    </row>
    <row r="44" spans="1:8">
      <c r="G44" s="58"/>
      <c r="H44" s="57"/>
    </row>
    <row r="45" spans="1:8">
      <c r="G45" s="58"/>
      <c r="H45" s="57"/>
    </row>
    <row r="46" spans="1:8" ht="13.75">
      <c r="G46" s="59"/>
      <c r="H46" s="60"/>
    </row>
    <row r="47" spans="1:8">
      <c r="F47" s="50"/>
      <c r="G47" s="51"/>
      <c r="H47" s="57"/>
    </row>
    <row r="48" spans="1:8" ht="13.75">
      <c r="A48" s="55"/>
      <c r="B48" s="54"/>
      <c r="C48" s="54"/>
      <c r="D48" s="54"/>
      <c r="E48" s="54"/>
      <c r="F48" s="54"/>
      <c r="G48" s="54"/>
      <c r="H48" s="67"/>
    </row>
    <row r="49" spans="1:8">
      <c r="F49" s="50"/>
      <c r="G49" s="51"/>
      <c r="H49" s="57"/>
    </row>
    <row r="50" spans="1:8">
      <c r="A50" s="51"/>
      <c r="F50" s="50"/>
      <c r="G50" s="51"/>
      <c r="H50" s="57"/>
    </row>
    <row r="52" spans="1:8" ht="13.75">
      <c r="G52" s="59"/>
      <c r="H52" s="61"/>
    </row>
  </sheetData>
  <sheetCalcPr fullCalcOnLoad="1"/>
  <mergeCells count="5">
    <mergeCell ref="A31:G31"/>
    <mergeCell ref="A1:H1"/>
    <mergeCell ref="A28:G28"/>
    <mergeCell ref="A29:G29"/>
    <mergeCell ref="A30:G30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3"/>
  <sheetViews>
    <sheetView tabSelected="1" workbookViewId="0">
      <selection activeCell="G7" sqref="G7"/>
    </sheetView>
  </sheetViews>
  <sheetFormatPr baseColWidth="10" defaultRowHeight="14"/>
  <sheetData>
    <row r="1" spans="1:18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I1" s="90"/>
      <c r="J1" s="90"/>
      <c r="K1" s="90" t="s">
        <v>8</v>
      </c>
      <c r="L1" s="82">
        <f>'Project Summary'!L1</f>
        <v>39980</v>
      </c>
      <c r="M1" s="90" t="s">
        <v>9</v>
      </c>
      <c r="N1" s="82">
        <f>'Project Summary'!N1</f>
        <v>40344</v>
      </c>
      <c r="O1" s="90"/>
      <c r="P1" s="90"/>
      <c r="Q1" s="90"/>
      <c r="R1" s="90"/>
    </row>
    <row r="2" spans="1:18" ht="28">
      <c r="A2" s="90"/>
      <c r="B2" s="90" t="s">
        <v>29</v>
      </c>
      <c r="C2" s="95" t="s">
        <v>108</v>
      </c>
      <c r="D2" s="95"/>
      <c r="E2" s="95"/>
      <c r="F2" s="90"/>
      <c r="G2" s="94" t="s">
        <v>102</v>
      </c>
      <c r="H2" s="94"/>
      <c r="I2" s="26">
        <f>C18/1920</f>
        <v>0.1</v>
      </c>
      <c r="J2" s="90"/>
      <c r="K2" s="90"/>
      <c r="L2" s="90"/>
      <c r="M2" s="90"/>
      <c r="N2" s="90"/>
      <c r="O2" s="90"/>
      <c r="P2" s="90"/>
      <c r="Q2" s="90"/>
      <c r="R2" s="90"/>
    </row>
    <row r="3" spans="1:18" ht="28">
      <c r="A3" s="90"/>
      <c r="B3" s="90" t="s">
        <v>27</v>
      </c>
      <c r="C3" s="91" t="s">
        <v>0</v>
      </c>
      <c r="D3" s="91"/>
      <c r="E3" s="91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</row>
    <row r="4" spans="1:18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</row>
    <row r="5" spans="1:18">
      <c r="A5" s="92" t="s">
        <v>4</v>
      </c>
      <c r="B5" s="92" t="s">
        <v>10</v>
      </c>
      <c r="C5" s="20" t="s">
        <v>11</v>
      </c>
      <c r="D5" s="20" t="s">
        <v>24</v>
      </c>
      <c r="E5" s="20" t="s">
        <v>25</v>
      </c>
      <c r="F5" s="92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</row>
    <row r="6" spans="1:18" ht="42">
      <c r="A6" s="90">
        <v>1</v>
      </c>
      <c r="B6" s="90" t="str">
        <f>Milestones!C6</f>
        <v>Project Management</v>
      </c>
      <c r="C6" s="17">
        <v>192</v>
      </c>
      <c r="D6" s="24">
        <v>40345</v>
      </c>
      <c r="E6" s="24">
        <v>40344</v>
      </c>
      <c r="F6" s="90"/>
      <c r="G6" s="14">
        <v>16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ht="56">
      <c r="A7" s="90">
        <v>2</v>
      </c>
      <c r="B7" s="90" t="str">
        <f>Milestones!C7</f>
        <v>UC/Requirements, Architect, Design</v>
      </c>
      <c r="C7" s="17">
        <v>0</v>
      </c>
      <c r="D7" s="24">
        <v>40345</v>
      </c>
      <c r="E7" s="24">
        <v>40344</v>
      </c>
      <c r="F7" s="90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t="28">
      <c r="A8" s="90">
        <v>3</v>
      </c>
      <c r="B8" s="90" t="str">
        <f>Milestones!C8</f>
        <v>System Dev./Impl.</v>
      </c>
      <c r="C8" s="17">
        <v>0</v>
      </c>
      <c r="D8" s="24">
        <v>40345</v>
      </c>
      <c r="E8" s="24">
        <v>40344</v>
      </c>
      <c r="F8" s="9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t="42">
      <c r="A9" s="6">
        <v>3.1</v>
      </c>
      <c r="B9" s="90" t="str">
        <f>Milestones!C9</f>
        <v>PSC Template Library</v>
      </c>
      <c r="C9" s="17">
        <v>0</v>
      </c>
      <c r="D9" s="24">
        <v>40345</v>
      </c>
      <c r="E9" s="24">
        <v>40344</v>
      </c>
      <c r="F9" s="90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t="70">
      <c r="A10" s="6">
        <v>3.2</v>
      </c>
      <c r="B10" s="9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F10" s="90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t="42">
      <c r="A11" s="6">
        <v>3.3</v>
      </c>
      <c r="B11" s="90" t="str">
        <f>Milestones!C11</f>
        <v>CCTS 2.0 Support (NES)</v>
      </c>
      <c r="C11" s="17">
        <v>0</v>
      </c>
      <c r="D11" s="24">
        <v>40345</v>
      </c>
      <c r="E11" s="24">
        <v>40344</v>
      </c>
      <c r="F11" s="90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t="112">
      <c r="A12" s="6">
        <v>3.4</v>
      </c>
      <c r="B12" s="9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F12" s="90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t="28">
      <c r="A13" s="90">
        <v>4</v>
      </c>
      <c r="B13" s="90" t="str">
        <f>Milestones!C13</f>
        <v>QA and Testing</v>
      </c>
      <c r="C13" s="17">
        <v>0</v>
      </c>
      <c r="D13" s="24">
        <v>40345</v>
      </c>
      <c r="E13" s="24">
        <v>40344</v>
      </c>
      <c r="F13" s="90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t="84">
      <c r="A14" s="90">
        <v>5</v>
      </c>
      <c r="B14" s="9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F14" s="90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t="28">
      <c r="A15" s="90">
        <v>6</v>
      </c>
      <c r="B15" s="90" t="str">
        <f>Milestones!C15</f>
        <v>System Deployment</v>
      </c>
      <c r="C15" s="17">
        <v>0</v>
      </c>
      <c r="D15" s="24">
        <v>40345</v>
      </c>
      <c r="E15" s="24">
        <v>40344</v>
      </c>
      <c r="F15" s="90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ht="28">
      <c r="A16" s="90">
        <v>7</v>
      </c>
      <c r="B16" s="90" t="str">
        <f>Milestones!C16</f>
        <v>Document Support</v>
      </c>
      <c r="C16" s="17">
        <v>0</v>
      </c>
      <c r="D16" s="24">
        <v>40345</v>
      </c>
      <c r="E16" s="24">
        <v>40344</v>
      </c>
      <c r="F16" s="90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t="28">
      <c r="A17" s="90">
        <v>8</v>
      </c>
      <c r="B17" s="90" t="str">
        <f>Milestones!C17</f>
        <v>Adoptor Activity</v>
      </c>
      <c r="C17" s="17">
        <v>0</v>
      </c>
      <c r="D17" s="24">
        <v>40345</v>
      </c>
      <c r="E17" s="24">
        <v>40344</v>
      </c>
      <c r="F17" s="90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25" t="s">
        <v>30</v>
      </c>
      <c r="B18" s="25"/>
      <c r="C18" s="25">
        <f>SUM(C13:C17)+SUM(C6:C8)</f>
        <v>192</v>
      </c>
      <c r="D18" s="25"/>
      <c r="E18" s="25"/>
      <c r="F18" s="25">
        <f>C18/MONTH(N1-L1)</f>
        <v>16</v>
      </c>
      <c r="G18" s="25">
        <f t="shared" ref="G18:R18" si="0">SUM(G6:G14)</f>
        <v>16</v>
      </c>
      <c r="H18" s="25">
        <f t="shared" si="0"/>
        <v>0</v>
      </c>
      <c r="I18" s="25">
        <f t="shared" si="0"/>
        <v>0</v>
      </c>
      <c r="J18" s="25">
        <f t="shared" si="0"/>
        <v>0</v>
      </c>
      <c r="K18" s="25">
        <f t="shared" si="0"/>
        <v>0</v>
      </c>
      <c r="L18" s="25">
        <f t="shared" si="0"/>
        <v>0</v>
      </c>
      <c r="M18" s="25">
        <f t="shared" si="0"/>
        <v>0</v>
      </c>
      <c r="N18" s="25">
        <f t="shared" si="0"/>
        <v>0</v>
      </c>
      <c r="O18" s="25">
        <f t="shared" si="0"/>
        <v>0</v>
      </c>
      <c r="P18" s="25">
        <f t="shared" si="0"/>
        <v>0</v>
      </c>
      <c r="Q18" s="25">
        <f t="shared" si="0"/>
        <v>0</v>
      </c>
      <c r="R18" s="25">
        <f t="shared" si="0"/>
        <v>0</v>
      </c>
    </row>
    <row r="19" spans="1:18">
      <c r="A19" s="90" t="s">
        <v>58</v>
      </c>
      <c r="B19" s="90"/>
      <c r="C19" s="26">
        <f xml:space="preserve"> IF(C18&lt;T18, (T18-C18)/MAX(C18,1),0 )</f>
        <v>0</v>
      </c>
      <c r="D19" s="90"/>
      <c r="E19" s="90"/>
      <c r="F19" s="90"/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18" ht="42">
      <c r="A20" s="6"/>
      <c r="B20" s="90" t="s">
        <v>56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>
      <c r="A21" s="90"/>
      <c r="B21" s="90"/>
      <c r="C21" s="90"/>
      <c r="D21" s="90"/>
      <c r="E21" s="90"/>
      <c r="F21" s="90"/>
      <c r="G21" s="6">
        <f>IF(G23 = 0, 0, (C18-SUM(G18:G18))/(MONTH(N1-G5)))</f>
        <v>16</v>
      </c>
      <c r="H21" s="6">
        <f>IF(H23 = 0, 0, (C18-SUM(G18:H18))/(MONTH(N1-H5)))</f>
        <v>0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18">
      <c r="A22" s="90"/>
      <c r="B22" s="90"/>
      <c r="C22" s="90"/>
      <c r="D22" s="90"/>
      <c r="E22" s="90"/>
      <c r="F22" s="90"/>
      <c r="G22" s="6">
        <f>IF(G23=0, 0, C18-SUM(G18:G18))</f>
        <v>176</v>
      </c>
      <c r="H22" s="6">
        <f>IF(H23=0, 0,C18-SUM(G18:H18))</f>
        <v>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18">
      <c r="A23" s="90"/>
      <c r="B23" s="90"/>
      <c r="C23" s="90"/>
      <c r="D23" s="90"/>
      <c r="E23" s="90"/>
      <c r="F23" s="90"/>
      <c r="G23" s="6">
        <f>'Project Summary'!G16</f>
        <v>785</v>
      </c>
      <c r="H23" s="6">
        <f>'Project Summary'!H16</f>
        <v>0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sheetCalcPr fullCalcOnLoad="1"/>
  <mergeCells count="4">
    <mergeCell ref="A1:B1"/>
    <mergeCell ref="C1:H1"/>
    <mergeCell ref="C2:E2"/>
    <mergeCell ref="G2:H2"/>
  </mergeCells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3"/>
  <sheetViews>
    <sheetView workbookViewId="0">
      <selection activeCell="G17" sqref="G17"/>
    </sheetView>
  </sheetViews>
  <sheetFormatPr baseColWidth="10" defaultColWidth="8.83203125" defaultRowHeight="14"/>
  <cols>
    <col min="1" max="1" width="5.5" style="1" customWidth="1"/>
    <col min="2" max="2" width="23.1640625" style="1" customWidth="1"/>
    <col min="3" max="3" width="12.6640625" style="1" customWidth="1"/>
    <col min="4" max="4" width="13" style="1" customWidth="1"/>
    <col min="5" max="5" width="11.5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8</v>
      </c>
      <c r="L1" s="82">
        <f>'Project Summary'!L1</f>
        <v>39980</v>
      </c>
      <c r="M1" s="1" t="s">
        <v>9</v>
      </c>
      <c r="N1" s="82">
        <f>'Project Summary'!N1</f>
        <v>40344</v>
      </c>
      <c r="O1" s="32"/>
      <c r="P1" s="32"/>
      <c r="Q1" s="32"/>
      <c r="R1" s="32"/>
      <c r="S1" s="32"/>
    </row>
    <row r="2" spans="1:21">
      <c r="B2" s="1" t="s">
        <v>29</v>
      </c>
      <c r="C2" s="95" t="s">
        <v>90</v>
      </c>
      <c r="D2" s="95"/>
      <c r="E2" s="95"/>
      <c r="G2" s="94" t="s">
        <v>102</v>
      </c>
      <c r="H2" s="94"/>
      <c r="I2" s="26">
        <f>C18/1920</f>
        <v>0.5</v>
      </c>
    </row>
    <row r="3" spans="1:21">
      <c r="B3" s="1" t="s">
        <v>27</v>
      </c>
      <c r="C3" s="41" t="s">
        <v>69</v>
      </c>
      <c r="D3" s="5"/>
      <c r="E3" s="5"/>
      <c r="O3" s="38"/>
    </row>
    <row r="5" spans="1:21">
      <c r="A5" s="1" t="s">
        <v>4</v>
      </c>
      <c r="B5" s="1" t="s">
        <v>10</v>
      </c>
      <c r="C5" s="2" t="s">
        <v>11</v>
      </c>
      <c r="D5" s="2" t="s">
        <v>24</v>
      </c>
      <c r="E5" s="2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93">
        <v>480</v>
      </c>
      <c r="D6" s="39">
        <v>39980</v>
      </c>
      <c r="E6" s="24">
        <v>40344</v>
      </c>
      <c r="G6" s="3">
        <v>50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6">
        <f>SUM(G6:R6)</f>
        <v>50</v>
      </c>
      <c r="U6" s="26">
        <f t="shared" ref="U6:U12" si="0">T6/MAX(C6,1)</f>
        <v>0.10416666666666667</v>
      </c>
    </row>
    <row r="7" spans="1:21" ht="28">
      <c r="A7" s="1">
        <v>2</v>
      </c>
      <c r="B7" s="40" t="str">
        <f>Milestones!C7</f>
        <v>UC/Requirements, Architect, Design</v>
      </c>
      <c r="C7" s="17">
        <v>160</v>
      </c>
      <c r="D7" s="39">
        <v>39980</v>
      </c>
      <c r="E7" s="24">
        <v>40344</v>
      </c>
      <c r="G7" s="3">
        <v>15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T7" s="6">
        <f t="shared" ref="T7:T18" si="1">SUM(G7:R7)</f>
        <v>15</v>
      </c>
      <c r="U7" s="26">
        <f t="shared" si="0"/>
        <v>9.375E-2</v>
      </c>
    </row>
    <row r="8" spans="1:21">
      <c r="A8" s="1">
        <v>3</v>
      </c>
      <c r="B8" s="40" t="str">
        <f>Milestones!C8</f>
        <v>System Dev./Impl.</v>
      </c>
      <c r="C8" s="17">
        <v>0</v>
      </c>
      <c r="D8" s="39">
        <v>39980</v>
      </c>
      <c r="E8" s="24">
        <v>40344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6">
        <f t="shared" si="1"/>
        <v>0</v>
      </c>
      <c r="U8" s="26">
        <f t="shared" si="0"/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39">
        <v>39980</v>
      </c>
      <c r="E9" s="24">
        <v>40344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6">
        <f t="shared" si="1"/>
        <v>0</v>
      </c>
      <c r="U9" s="26">
        <f t="shared" si="0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39">
        <v>39980</v>
      </c>
      <c r="E10" s="24">
        <v>40344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6">
        <f t="shared" si="1"/>
        <v>0</v>
      </c>
      <c r="U10" s="26">
        <f t="shared" si="0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39">
        <v>39980</v>
      </c>
      <c r="E11" s="24">
        <v>40344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6">
        <f t="shared" si="1"/>
        <v>0</v>
      </c>
      <c r="U11" s="26">
        <f t="shared" si="0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39">
        <v>39980</v>
      </c>
      <c r="E12" s="24">
        <v>40344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6">
        <f t="shared" si="1"/>
        <v>0</v>
      </c>
      <c r="U12" s="26">
        <f t="shared" si="0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39">
        <v>39980</v>
      </c>
      <c r="E13" s="24">
        <v>40344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6">
        <f t="shared" si="1"/>
        <v>0</v>
      </c>
      <c r="U13" s="26">
        <f t="shared" ref="U13:U18" si="2">T13/MAX(C13,1)</f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160</v>
      </c>
      <c r="D14" s="39">
        <v>39980</v>
      </c>
      <c r="E14" s="24">
        <v>40344</v>
      </c>
      <c r="G14" s="3">
        <v>10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6">
        <f t="shared" si="1"/>
        <v>10</v>
      </c>
      <c r="U14" s="26">
        <f t="shared" si="2"/>
        <v>6.25E-2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39">
        <v>39980</v>
      </c>
      <c r="E15" s="24">
        <v>40344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6">
        <f t="shared" si="1"/>
        <v>0</v>
      </c>
      <c r="U15" s="26">
        <f t="shared" si="2"/>
        <v>0</v>
      </c>
    </row>
    <row r="16" spans="1:21">
      <c r="A16" s="1">
        <v>7</v>
      </c>
      <c r="B16" s="40" t="str">
        <f>Milestones!C16</f>
        <v>Document Support</v>
      </c>
      <c r="C16" s="17">
        <v>160</v>
      </c>
      <c r="D16" s="39">
        <v>39980</v>
      </c>
      <c r="E16" s="24">
        <v>40344</v>
      </c>
      <c r="G16" s="3">
        <v>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6">
        <f t="shared" si="1"/>
        <v>5</v>
      </c>
      <c r="U16" s="26">
        <f t="shared" si="2"/>
        <v>3.125E-2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39">
        <v>39980</v>
      </c>
      <c r="E17" s="24">
        <v>40344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6">
        <f t="shared" si="1"/>
        <v>0</v>
      </c>
      <c r="U17" s="26">
        <f t="shared" si="2"/>
        <v>0</v>
      </c>
    </row>
    <row r="18" spans="1:21" s="6" customFormat="1" hidden="1">
      <c r="A18" s="25" t="s">
        <v>30</v>
      </c>
      <c r="B18" s="25"/>
      <c r="C18" s="25">
        <f>SUM(C13:C17)+SUM(C6:C8)</f>
        <v>960</v>
      </c>
      <c r="D18" s="25"/>
      <c r="E18" s="25"/>
      <c r="F18" s="25">
        <f>C18/MONTH(N1-L1)</f>
        <v>80</v>
      </c>
      <c r="G18" s="25">
        <f t="shared" ref="G18:R18" si="3">SUM(G6:G16)</f>
        <v>80</v>
      </c>
      <c r="H18" s="25">
        <f t="shared" si="3"/>
        <v>0</v>
      </c>
      <c r="I18" s="25">
        <f t="shared" si="3"/>
        <v>0</v>
      </c>
      <c r="J18" s="25">
        <f t="shared" si="3"/>
        <v>0</v>
      </c>
      <c r="K18" s="25">
        <f t="shared" si="3"/>
        <v>0</v>
      </c>
      <c r="L18" s="25">
        <f t="shared" si="3"/>
        <v>0</v>
      </c>
      <c r="M18" s="25">
        <f t="shared" si="3"/>
        <v>0</v>
      </c>
      <c r="N18" s="25">
        <f t="shared" si="3"/>
        <v>0</v>
      </c>
      <c r="O18" s="25">
        <f t="shared" si="3"/>
        <v>0</v>
      </c>
      <c r="P18" s="25">
        <f t="shared" si="3"/>
        <v>0</v>
      </c>
      <c r="Q18" s="25">
        <f t="shared" si="3"/>
        <v>0</v>
      </c>
      <c r="R18" s="25">
        <f t="shared" si="3"/>
        <v>0</v>
      </c>
      <c r="T18" s="6">
        <f t="shared" si="1"/>
        <v>80</v>
      </c>
      <c r="U18" s="26">
        <f t="shared" si="2"/>
        <v>8.3333333333333329E-2</v>
      </c>
    </row>
    <row r="19" spans="1:21" hidden="1">
      <c r="A19" s="1" t="s">
        <v>58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hidden="1">
      <c r="B20" s="1" t="s">
        <v>56</v>
      </c>
    </row>
    <row r="21" spans="1:21" hidden="1">
      <c r="G21" s="34">
        <f>IF(G23 = 0, 0, (C18-SUM(G18:G18))/(MONTH(N1-G5)))</f>
        <v>80</v>
      </c>
      <c r="H21" s="34">
        <f>IF(H23 = 0, 0, (C18-SUM(G18:H18))/(MONTH(N1-H5)))</f>
        <v>0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0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880</v>
      </c>
      <c r="H22" s="6">
        <f>IF(H23=0, 0,C18-SUM(G18:H18))</f>
        <v>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0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sheetCalcPr fullCalcOnLoad="1"/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4"/>
  <sheetViews>
    <sheetView workbookViewId="0">
      <selection activeCell="G16" sqref="G16"/>
    </sheetView>
  </sheetViews>
  <sheetFormatPr baseColWidth="10" defaultColWidth="8.83203125" defaultRowHeight="14"/>
  <cols>
    <col min="1" max="1" width="5.5" style="1" customWidth="1"/>
    <col min="2" max="2" width="22" style="1" customWidth="1"/>
    <col min="3" max="3" width="19" style="1" customWidth="1"/>
    <col min="4" max="4" width="11.1640625" style="1" customWidth="1"/>
    <col min="5" max="5" width="11.83203125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6" t="s">
        <v>8</v>
      </c>
      <c r="L1" s="78">
        <f>'Project Summary'!L1</f>
        <v>39980</v>
      </c>
      <c r="M1" s="6" t="s">
        <v>9</v>
      </c>
      <c r="N1" s="78">
        <f>'Project Summary'!N1</f>
        <v>40344</v>
      </c>
    </row>
    <row r="2" spans="1:21">
      <c r="B2" s="1" t="s">
        <v>29</v>
      </c>
      <c r="C2" s="95" t="s">
        <v>91</v>
      </c>
      <c r="D2" s="95"/>
      <c r="E2" s="95"/>
      <c r="G2" s="94" t="s">
        <v>102</v>
      </c>
      <c r="H2" s="94"/>
      <c r="I2" s="26">
        <v>0.8</v>
      </c>
    </row>
    <row r="3" spans="1:21">
      <c r="B3" s="1" t="s">
        <v>27</v>
      </c>
      <c r="C3" s="21" t="s">
        <v>92</v>
      </c>
      <c r="D3" s="5"/>
      <c r="E3" s="5"/>
    </row>
    <row r="5" spans="1:21" s="22" customFormat="1">
      <c r="A5" s="22" t="s">
        <v>4</v>
      </c>
      <c r="B5" s="22" t="s">
        <v>10</v>
      </c>
      <c r="C5" s="22" t="s">
        <v>11</v>
      </c>
      <c r="D5" s="22" t="s">
        <v>24</v>
      </c>
      <c r="E5" s="22" t="s">
        <v>25</v>
      </c>
      <c r="F5" s="23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/>
      <c r="D6" s="24">
        <v>39980</v>
      </c>
      <c r="E6" s="24">
        <v>40344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T6" s="6">
        <f>SUM(G6:R6)</f>
        <v>0</v>
      </c>
      <c r="U6" s="26">
        <f t="shared" ref="U6:U11" si="0"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384</v>
      </c>
      <c r="D7" s="24">
        <v>39980</v>
      </c>
      <c r="E7" s="24">
        <v>40344</v>
      </c>
      <c r="G7" s="14">
        <v>32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1">SUM(G7:R7)</f>
        <v>32</v>
      </c>
      <c r="U7" s="26">
        <f t="shared" si="0"/>
        <v>8.3333333333333329E-2</v>
      </c>
    </row>
    <row r="8" spans="1:21">
      <c r="A8" s="1">
        <v>3</v>
      </c>
      <c r="B8" s="40" t="str">
        <f>Milestones!C8</f>
        <v>System Dev./Impl.</v>
      </c>
      <c r="C8" s="17">
        <v>768</v>
      </c>
      <c r="D8" s="24">
        <v>39980</v>
      </c>
      <c r="E8" s="24">
        <v>40344</v>
      </c>
      <c r="G8" s="14">
        <v>90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1"/>
        <v>90</v>
      </c>
      <c r="U8" s="26">
        <f t="shared" si="0"/>
        <v>0.1171875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1"/>
        <v>0</v>
      </c>
      <c r="U9" s="26">
        <f t="shared" si="0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1"/>
        <v>0</v>
      </c>
      <c r="U10" s="26">
        <f t="shared" si="0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1"/>
        <v>0</v>
      </c>
      <c r="U11" s="26">
        <f t="shared" si="0"/>
        <v>0</v>
      </c>
    </row>
    <row r="12" spans="1:21" ht="56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1"/>
        <v>0</v>
      </c>
      <c r="U12" s="26">
        <f t="shared" ref="U12:U18" si="2">T12/MAX(C12,1)</f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1"/>
        <v>0</v>
      </c>
      <c r="U13" s="26">
        <f t="shared" si="2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f>160*MONTH(N1-L1)*0.1</f>
        <v>192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1"/>
        <v>0</v>
      </c>
      <c r="U14" s="26">
        <f t="shared" si="2"/>
        <v>0</v>
      </c>
    </row>
    <row r="15" spans="1:21">
      <c r="A15" s="1">
        <v>6</v>
      </c>
      <c r="B15" s="40" t="str">
        <f>Milestones!C15</f>
        <v>System Deployment</v>
      </c>
      <c r="C15" s="17">
        <v>192</v>
      </c>
      <c r="D15" s="24">
        <v>39980</v>
      </c>
      <c r="E15" s="24">
        <v>40344</v>
      </c>
      <c r="G15" s="14">
        <v>6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1"/>
        <v>6</v>
      </c>
      <c r="U15" s="26">
        <f t="shared" si="2"/>
        <v>3.125E-2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1"/>
        <v>0</v>
      </c>
      <c r="U16" s="26">
        <f t="shared" si="2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1"/>
        <v>0</v>
      </c>
      <c r="U17" s="26">
        <f t="shared" si="2"/>
        <v>0</v>
      </c>
    </row>
    <row r="18" spans="1:21" s="6" customFormat="1" hidden="1">
      <c r="A18" s="25" t="s">
        <v>30</v>
      </c>
      <c r="B18" s="25"/>
      <c r="C18" s="25">
        <f>SUM(C13:C17)+SUM(C6:C8)</f>
        <v>1536</v>
      </c>
      <c r="D18" s="25"/>
      <c r="E18" s="25"/>
      <c r="F18" s="25">
        <f>C18/MONTH(N1-L1)</f>
        <v>128</v>
      </c>
      <c r="G18" s="25">
        <f t="shared" ref="G18:R18" si="3">SUM(G6:G16)</f>
        <v>128</v>
      </c>
      <c r="H18" s="25">
        <f t="shared" si="3"/>
        <v>0</v>
      </c>
      <c r="I18" s="25">
        <f t="shared" si="3"/>
        <v>0</v>
      </c>
      <c r="J18" s="25">
        <f t="shared" si="3"/>
        <v>0</v>
      </c>
      <c r="K18" s="25">
        <f t="shared" si="3"/>
        <v>0</v>
      </c>
      <c r="L18" s="25">
        <f t="shared" si="3"/>
        <v>0</v>
      </c>
      <c r="M18" s="25">
        <f t="shared" si="3"/>
        <v>0</v>
      </c>
      <c r="N18" s="25">
        <f t="shared" si="3"/>
        <v>0</v>
      </c>
      <c r="O18" s="25">
        <f t="shared" si="3"/>
        <v>0</v>
      </c>
      <c r="P18" s="25">
        <f t="shared" si="3"/>
        <v>0</v>
      </c>
      <c r="Q18" s="25">
        <f t="shared" si="3"/>
        <v>0</v>
      </c>
      <c r="R18" s="25">
        <f t="shared" si="3"/>
        <v>0</v>
      </c>
      <c r="T18" s="6">
        <f t="shared" si="1"/>
        <v>128</v>
      </c>
      <c r="U18" s="26">
        <f t="shared" si="2"/>
        <v>8.3333333333333329E-2</v>
      </c>
    </row>
    <row r="19" spans="1:21" hidden="1"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hidden="1">
      <c r="B20" s="1" t="s">
        <v>56</v>
      </c>
      <c r="D20" s="1">
        <v>960</v>
      </c>
    </row>
    <row r="21" spans="1:21" hidden="1">
      <c r="G21" s="34">
        <f>IF(G23 = 0, 0, (C18-SUM(G18:G18))/(MONTH(N1-G5)))</f>
        <v>128</v>
      </c>
      <c r="H21" s="34">
        <f>IF(H23 = 0, 0, (C18-SUM(G18:H18))/(MONTH(N1-H5)))</f>
        <v>0</v>
      </c>
      <c r="I21" s="34">
        <f>IF(I23 = 0, 0, (C18-SUM(G18:I18))/(MONTH(N1-I5)))</f>
        <v>0</v>
      </c>
      <c r="J21" s="34">
        <f>IF(J23 = 0, 0, (C18-SUM(G18:J18))/(MONTH(N1-J5)))</f>
        <v>0</v>
      </c>
      <c r="K21" s="34">
        <f>IF(K23 = 0, 0, (C18-SUM(G18:K18))/(MONTH(N1-K5)))</f>
        <v>0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1408</v>
      </c>
      <c r="H22" s="6">
        <f>IF(H23=0, 0,C18-SUM(G18:H18))</f>
        <v>0</v>
      </c>
      <c r="I22" s="6">
        <f>IF(I23=0, 0,C18-SUM(G18:I18))</f>
        <v>0</v>
      </c>
      <c r="J22" s="6">
        <f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Summary'!H22</f>
        <v>0</v>
      </c>
      <c r="I23" s="6">
        <f>'Project Summary'!I22</f>
        <v>0</v>
      </c>
      <c r="J23" s="6">
        <f>'Project Summary'!J22</f>
        <v>0</v>
      </c>
      <c r="K23" s="6">
        <f>'Project Summary'!K22</f>
        <v>0</v>
      </c>
      <c r="L23" s="6">
        <f>'Project Summary'!L22</f>
        <v>0</v>
      </c>
      <c r="M23" s="6">
        <f>'Project Summary'!M22</f>
        <v>0</v>
      </c>
      <c r="N23" s="6">
        <f>'Project Summary'!N22</f>
        <v>0</v>
      </c>
      <c r="O23" s="6">
        <f>'Project Summary'!O22</f>
        <v>0</v>
      </c>
      <c r="P23" s="6">
        <f>'Project Summary'!P22</f>
        <v>0</v>
      </c>
      <c r="Q23" s="6">
        <f>'Project Summary'!Q22</f>
        <v>0</v>
      </c>
      <c r="R23" s="6">
        <f>'Project Summary'!R22</f>
        <v>0</v>
      </c>
    </row>
    <row r="24" spans="1:21">
      <c r="B24" s="40"/>
      <c r="C24" s="26"/>
    </row>
  </sheetData>
  <sheetCalcPr fullCalcOnLoad="1"/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3"/>
  <sheetViews>
    <sheetView workbookViewId="0">
      <selection activeCell="G14" sqref="G14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8</v>
      </c>
      <c r="L1" s="82">
        <f>'Project Summary'!L1</f>
        <v>39980</v>
      </c>
      <c r="M1" s="1" t="s">
        <v>9</v>
      </c>
      <c r="N1" s="82">
        <f>'Project Summary'!N1</f>
        <v>40344</v>
      </c>
    </row>
    <row r="2" spans="1:21">
      <c r="B2" s="1" t="s">
        <v>29</v>
      </c>
      <c r="C2" s="95" t="s">
        <v>93</v>
      </c>
      <c r="D2" s="95"/>
      <c r="E2" s="95"/>
      <c r="G2" s="94" t="s">
        <v>102</v>
      </c>
      <c r="H2" s="94"/>
      <c r="I2" s="26">
        <v>0.05</v>
      </c>
    </row>
    <row r="3" spans="1:21">
      <c r="B3" s="1" t="s">
        <v>27</v>
      </c>
      <c r="C3" s="89" t="s">
        <v>3</v>
      </c>
      <c r="D3" s="5"/>
      <c r="E3" s="5"/>
    </row>
    <row r="5" spans="1:21" s="15" customFormat="1">
      <c r="A5" s="15" t="s">
        <v>4</v>
      </c>
      <c r="B5" s="15" t="s">
        <v>10</v>
      </c>
      <c r="C5" s="15" t="s">
        <v>11</v>
      </c>
      <c r="D5" s="15" t="s">
        <v>24</v>
      </c>
      <c r="E5" s="15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48</v>
      </c>
      <c r="D7" s="24">
        <v>39980</v>
      </c>
      <c r="E7" s="24">
        <v>40344</v>
      </c>
      <c r="G7" s="3">
        <v>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T7" s="6">
        <f t="shared" ref="T7:T18" si="0">SUM(G7:R7)</f>
        <v>4</v>
      </c>
      <c r="U7" s="26">
        <f>T7/MAX(C7,1)</f>
        <v>8.3333333333333329E-2</v>
      </c>
    </row>
    <row r="8" spans="1:21">
      <c r="A8" s="1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48</v>
      </c>
      <c r="D13" s="24">
        <v>39980</v>
      </c>
      <c r="E13" s="24">
        <v>40344</v>
      </c>
      <c r="G13" s="3">
        <v>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6">
        <f t="shared" si="0"/>
        <v>4</v>
      </c>
      <c r="U13" s="26">
        <f t="shared" si="1"/>
        <v>8.3333333333333329E-2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30</v>
      </c>
      <c r="B18" s="25"/>
      <c r="C18" s="25">
        <f>SUM(C13:C17)+SUM(C6:C8)</f>
        <v>96</v>
      </c>
      <c r="D18" s="25"/>
      <c r="E18" s="25"/>
      <c r="F18" s="25">
        <f>C18/MONTH(N1-L1)</f>
        <v>8</v>
      </c>
      <c r="G18" s="25">
        <f t="shared" ref="G18:R18" si="2">SUM(G6:G14)</f>
        <v>8</v>
      </c>
      <c r="H18" s="25">
        <f t="shared" si="2"/>
        <v>0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8</v>
      </c>
      <c r="U18" s="26">
        <f t="shared" si="1"/>
        <v>8.3333333333333329E-2</v>
      </c>
    </row>
    <row r="19" spans="1:21" hidden="1">
      <c r="A19" s="1" t="s">
        <v>58</v>
      </c>
      <c r="C19" s="26">
        <f xml:space="preserve"> IF(C18&lt;T18, (T18-C18)/MAX(C18,1),0 )</f>
        <v>0</v>
      </c>
      <c r="G19" s="26">
        <f xml:space="preserve"> IF(G23=0,0,(G18-F18)/F18)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6" t="s">
        <v>56</v>
      </c>
    </row>
    <row r="21" spans="1:21" hidden="1">
      <c r="G21" s="6">
        <f>IF(G23 = 0, 0, (C18-SUM(G18:G18))/(MONTH(N1-G5)))</f>
        <v>8</v>
      </c>
      <c r="H21" s="6">
        <f>IF(H23 = 0, 0, (C18-SUM(G18:H18))/(MONTH(N1-H5)))</f>
        <v>0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88</v>
      </c>
      <c r="H22" s="6">
        <f>IF(H23=0, 0,C18-SUM(G18:H18))</f>
        <v>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0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sheetCalcPr fullCalcOnLoad="1"/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3"/>
  <sheetViews>
    <sheetView workbookViewId="0">
      <selection activeCell="G9" sqref="G9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8</v>
      </c>
      <c r="L1" s="82">
        <f>'Project Summary'!L1</f>
        <v>39980</v>
      </c>
      <c r="M1" s="1" t="s">
        <v>9</v>
      </c>
      <c r="N1" s="82">
        <f>'Project Summary'!N1</f>
        <v>40344</v>
      </c>
    </row>
    <row r="2" spans="1:21">
      <c r="B2" s="1" t="s">
        <v>29</v>
      </c>
      <c r="C2" s="95" t="s">
        <v>94</v>
      </c>
      <c r="D2" s="95"/>
      <c r="E2" s="95"/>
      <c r="G2" s="94" t="s">
        <v>102</v>
      </c>
      <c r="H2" s="94"/>
      <c r="I2" s="26">
        <f>C18/1920</f>
        <v>1</v>
      </c>
    </row>
    <row r="3" spans="1:21">
      <c r="B3" s="1" t="s">
        <v>27</v>
      </c>
      <c r="C3" s="41" t="s">
        <v>95</v>
      </c>
      <c r="D3" s="5"/>
      <c r="E3" s="5"/>
    </row>
    <row r="5" spans="1:21" s="15" customFormat="1">
      <c r="A5" s="15" t="s">
        <v>4</v>
      </c>
      <c r="B5" s="15" t="s">
        <v>10</v>
      </c>
      <c r="C5" s="20" t="s">
        <v>11</v>
      </c>
      <c r="D5" s="20" t="s">
        <v>24</v>
      </c>
      <c r="E5" s="20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3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0</v>
      </c>
      <c r="D7" s="24">
        <v>39980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1">
        <v>3</v>
      </c>
      <c r="B8" s="40" t="str">
        <f>Milestones!C8</f>
        <v>System Dev./Impl.</v>
      </c>
      <c r="C8" s="17">
        <v>1920</v>
      </c>
      <c r="D8" s="24">
        <v>39980</v>
      </c>
      <c r="E8" s="24">
        <v>40344</v>
      </c>
      <c r="G8" s="14">
        <v>160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160</v>
      </c>
      <c r="U8" s="26">
        <f t="shared" ref="U8:U18" si="1">T8/MAX(C8,1)</f>
        <v>8.3333333333333329E-2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30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160</v>
      </c>
      <c r="H18" s="25">
        <f t="shared" si="2"/>
        <v>0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160</v>
      </c>
      <c r="U18" s="26">
        <f t="shared" si="1"/>
        <v>8.3333333333333329E-2</v>
      </c>
    </row>
    <row r="19" spans="1:21" hidden="1">
      <c r="A19" s="1" t="s">
        <v>58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31" customFormat="1" hidden="1">
      <c r="B20" s="31" t="s">
        <v>56</v>
      </c>
      <c r="C20" s="32">
        <v>288</v>
      </c>
    </row>
    <row r="21" spans="1:21" hidden="1">
      <c r="G21" s="34">
        <f>IF(G23 = 0, 0, (C18-SUM(G18:G18))/(MONTH(N1-G5)))</f>
        <v>160</v>
      </c>
      <c r="H21" s="34">
        <f>IF(H23 = 0, 0, (C18-SUM(G18:H18))/(MONTH(N1-H5)))</f>
        <v>0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0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1760</v>
      </c>
      <c r="H22" s="6">
        <f>IF(H23=0, 0,C18-SUM(G18:H18))</f>
        <v>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0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sheetCalcPr fullCalcOnLoad="1"/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3"/>
  <sheetViews>
    <sheetView workbookViewId="0">
      <selection activeCell="G17" sqref="G17"/>
    </sheetView>
  </sheetViews>
  <sheetFormatPr baseColWidth="10" defaultColWidth="8.83203125" defaultRowHeight="14"/>
  <cols>
    <col min="1" max="1" width="5.5" style="40" customWidth="1"/>
    <col min="2" max="2" width="25.33203125" style="40" customWidth="1"/>
    <col min="3" max="3" width="15.83203125" style="40" customWidth="1"/>
    <col min="4" max="4" width="11.1640625" style="40" customWidth="1"/>
    <col min="5" max="5" width="12" style="40" customWidth="1"/>
    <col min="6" max="7" width="8.83203125" style="40"/>
    <col min="8" max="8" width="9.5" style="40" bestFit="1" customWidth="1"/>
    <col min="9" max="9" width="8.83203125" style="40"/>
    <col min="10" max="10" width="9.5" style="40" bestFit="1" customWidth="1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8</v>
      </c>
      <c r="L1" s="82">
        <f>'Project Summary'!L1</f>
        <v>39980</v>
      </c>
      <c r="M1" s="40" t="s">
        <v>9</v>
      </c>
      <c r="N1" s="82">
        <f>'Project Summary'!N1</f>
        <v>40344</v>
      </c>
    </row>
    <row r="2" spans="1:21">
      <c r="B2" s="40" t="s">
        <v>29</v>
      </c>
      <c r="C2" s="95" t="s">
        <v>104</v>
      </c>
      <c r="D2" s="95"/>
      <c r="E2" s="95"/>
      <c r="G2" s="94" t="s">
        <v>102</v>
      </c>
      <c r="H2" s="94"/>
      <c r="I2" s="26">
        <v>0.25</v>
      </c>
    </row>
    <row r="3" spans="1:21">
      <c r="B3" s="40" t="s">
        <v>27</v>
      </c>
      <c r="C3" s="89" t="s">
        <v>2</v>
      </c>
      <c r="D3" s="41"/>
      <c r="E3" s="41"/>
    </row>
    <row r="5" spans="1:21" s="47" customFormat="1">
      <c r="A5" s="47" t="s">
        <v>4</v>
      </c>
      <c r="B5" s="47" t="s">
        <v>10</v>
      </c>
      <c r="C5" s="20" t="s">
        <v>11</v>
      </c>
      <c r="D5" s="20" t="s">
        <v>24</v>
      </c>
      <c r="E5" s="20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40">
        <v>2</v>
      </c>
      <c r="B7" s="40" t="str">
        <f>Milestones!C7</f>
        <v>UC/Requirements, Architect, Design</v>
      </c>
      <c r="C7" s="17">
        <v>240</v>
      </c>
      <c r="D7" s="24">
        <v>39980</v>
      </c>
      <c r="E7" s="24">
        <v>40344</v>
      </c>
      <c r="G7" s="14">
        <v>20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20</v>
      </c>
      <c r="U7" s="26">
        <f>T7/MAX(C7,1)</f>
        <v>8.3333333333333329E-2</v>
      </c>
    </row>
    <row r="8" spans="1:21">
      <c r="A8" s="40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200</v>
      </c>
      <c r="D13" s="24">
        <v>39980</v>
      </c>
      <c r="E13" s="24">
        <v>40344</v>
      </c>
      <c r="G13" s="14">
        <v>17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17</v>
      </c>
      <c r="U13" s="26">
        <f t="shared" si="1"/>
        <v>8.5000000000000006E-2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40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40">
        <v>7</v>
      </c>
      <c r="B16" s="40" t="str">
        <f>Milestones!C16</f>
        <v>Document Support</v>
      </c>
      <c r="C16" s="17">
        <v>40</v>
      </c>
      <c r="D16" s="24">
        <v>39980</v>
      </c>
      <c r="E16" s="24">
        <v>40344</v>
      </c>
      <c r="G16" s="14">
        <v>3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3</v>
      </c>
      <c r="U16" s="26">
        <f t="shared" si="1"/>
        <v>7.4999999999999997E-2</v>
      </c>
    </row>
    <row r="17" spans="1:21">
      <c r="A17" s="40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30</v>
      </c>
      <c r="B18" s="25"/>
      <c r="C18" s="25">
        <f>SUM(C13:C17)+SUM(C6:C8)</f>
        <v>480</v>
      </c>
      <c r="D18" s="25"/>
      <c r="E18" s="25"/>
      <c r="F18" s="25">
        <f>C18/MONTH(N1-L1)</f>
        <v>40</v>
      </c>
      <c r="G18" s="25">
        <f t="shared" ref="G18:R18" si="2">SUM(G6:G14)</f>
        <v>37</v>
      </c>
      <c r="H18" s="25">
        <f t="shared" si="2"/>
        <v>0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37</v>
      </c>
      <c r="U18" s="26">
        <f t="shared" si="1"/>
        <v>7.7083333333333337E-2</v>
      </c>
    </row>
    <row r="19" spans="1:21" hidden="1">
      <c r="A19" s="40" t="s">
        <v>58</v>
      </c>
      <c r="C19" s="26">
        <f xml:space="preserve"> IF(C18&lt;T18, (T18-C18)/MAX(C18,1),0 )</f>
        <v>0</v>
      </c>
      <c r="G19" s="26">
        <f>IF(G23=0,0, (G18-F18)/F18)</f>
        <v>-7.4999999999999997E-2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31" customFormat="1" hidden="1">
      <c r="B20" s="31" t="s">
        <v>56</v>
      </c>
      <c r="C20" s="32">
        <v>288</v>
      </c>
    </row>
    <row r="21" spans="1:21" hidden="1">
      <c r="G21" s="34">
        <f>IF(G23 = 0, 0, (C18-SUM(G18:G18))/(MONTH(N1-G5)))</f>
        <v>40.272727272727273</v>
      </c>
      <c r="H21" s="34">
        <f>IF(H23 = 0, 0, (C18-SUM(G18:H18))/(MONTH(N1-H5)))</f>
        <v>0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0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443</v>
      </c>
      <c r="H22" s="6">
        <f>IF(H23=0, 0,C18-SUM(G18:H18))</f>
        <v>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0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sheetCalcPr fullCalcOnLoad="1"/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ignoredErrors>
    <ignoredError sqref="C8 C18" formulaRang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3"/>
  <sheetViews>
    <sheetView workbookViewId="0">
      <selection activeCell="G24" sqref="G24"/>
    </sheetView>
  </sheetViews>
  <sheetFormatPr baseColWidth="10" defaultColWidth="8.83203125" defaultRowHeight="14"/>
  <cols>
    <col min="1" max="1" width="5.5" style="40" customWidth="1"/>
    <col min="2" max="2" width="25.33203125" style="40" customWidth="1"/>
    <col min="3" max="3" width="15.83203125" style="40" customWidth="1"/>
    <col min="4" max="4" width="11.1640625" style="40" customWidth="1"/>
    <col min="5" max="5" width="12" style="40" customWidth="1"/>
    <col min="6" max="7" width="8.83203125" style="40"/>
    <col min="8" max="8" width="9.5" style="40" bestFit="1" customWidth="1"/>
    <col min="9" max="9" width="8.83203125" style="40"/>
    <col min="10" max="10" width="9.5" style="40" bestFit="1" customWidth="1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8</v>
      </c>
      <c r="L1" s="82">
        <f>'Project Summary'!L1</f>
        <v>39980</v>
      </c>
      <c r="M1" s="40" t="s">
        <v>9</v>
      </c>
      <c r="N1" s="82">
        <f>'Project Summary'!N1</f>
        <v>40344</v>
      </c>
    </row>
    <row r="2" spans="1:21">
      <c r="B2" s="40" t="s">
        <v>29</v>
      </c>
      <c r="C2" s="95" t="s">
        <v>105</v>
      </c>
      <c r="D2" s="95"/>
      <c r="E2" s="95"/>
      <c r="G2" s="94" t="s">
        <v>102</v>
      </c>
      <c r="H2" s="94"/>
      <c r="I2" s="26">
        <v>0.2</v>
      </c>
    </row>
    <row r="3" spans="1:21">
      <c r="B3" s="40" t="s">
        <v>27</v>
      </c>
      <c r="C3" s="89" t="s">
        <v>107</v>
      </c>
      <c r="D3" s="41"/>
      <c r="E3" s="41"/>
    </row>
    <row r="5" spans="1:21" s="47" customFormat="1">
      <c r="A5" s="47" t="s">
        <v>4</v>
      </c>
      <c r="B5" s="47" t="s">
        <v>10</v>
      </c>
      <c r="C5" s="20" t="s">
        <v>11</v>
      </c>
      <c r="D5" s="20" t="s">
        <v>24</v>
      </c>
      <c r="E5" s="20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40">
        <v>2</v>
      </c>
      <c r="B7" s="40" t="str">
        <f>Milestones!C7</f>
        <v>UC/Requirements, Architect, Design</v>
      </c>
      <c r="C7" s="17">
        <v>0</v>
      </c>
      <c r="D7" s="24">
        <v>39980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40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40">
        <v>6</v>
      </c>
      <c r="B15" s="40" t="str">
        <f>Milestones!C15</f>
        <v>System Deployment</v>
      </c>
      <c r="C15" s="17">
        <v>152</v>
      </c>
      <c r="D15" s="24">
        <v>39980</v>
      </c>
      <c r="E15" s="24">
        <v>40344</v>
      </c>
      <c r="G15" s="14">
        <v>16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16</v>
      </c>
      <c r="U15" s="26">
        <f t="shared" si="1"/>
        <v>0.10526315789473684</v>
      </c>
    </row>
    <row r="16" spans="1:21">
      <c r="A16" s="40">
        <v>7</v>
      </c>
      <c r="B16" s="40" t="str">
        <f>Milestones!C16</f>
        <v>Document Support</v>
      </c>
      <c r="C16" s="17">
        <v>40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40">
        <v>8</v>
      </c>
      <c r="B17" s="40" t="str">
        <f>Milestones!C17</f>
        <v>Adoptor Activity</v>
      </c>
      <c r="C17" s="17">
        <v>192</v>
      </c>
      <c r="D17" s="24">
        <v>39980</v>
      </c>
      <c r="E17" s="24">
        <v>40344</v>
      </c>
      <c r="G17" s="14">
        <v>16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16</v>
      </c>
      <c r="U17" s="26">
        <f t="shared" si="1"/>
        <v>8.3333333333333329E-2</v>
      </c>
    </row>
    <row r="18" spans="1:21" s="6" customFormat="1" hidden="1">
      <c r="A18" s="25" t="s">
        <v>30</v>
      </c>
      <c r="B18" s="25"/>
      <c r="C18" s="25">
        <f>SUM(C13:C17)+SUM(C6:C8)</f>
        <v>384</v>
      </c>
      <c r="D18" s="25"/>
      <c r="E18" s="25"/>
      <c r="F18" s="25">
        <f>C18/MONTH(N1-L1)</f>
        <v>32</v>
      </c>
      <c r="G18" s="25">
        <f t="shared" ref="G18:R18" si="2">SUM(G6:G14)</f>
        <v>0</v>
      </c>
      <c r="H18" s="25">
        <f t="shared" si="2"/>
        <v>0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0</v>
      </c>
      <c r="U18" s="26">
        <f t="shared" si="1"/>
        <v>0</v>
      </c>
    </row>
    <row r="19" spans="1:21" hidden="1">
      <c r="A19" s="40" t="s">
        <v>58</v>
      </c>
      <c r="C19" s="26">
        <f xml:space="preserve"> IF(C18&lt;T18, (T18-C18)/MAX(C18,1),0 )</f>
        <v>0</v>
      </c>
      <c r="G19" s="26">
        <f>IF(G23=0,0, (G18-F18)/F18)</f>
        <v>-1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31" customFormat="1" hidden="1">
      <c r="B20" s="31" t="s">
        <v>56</v>
      </c>
      <c r="C20" s="32">
        <v>288</v>
      </c>
    </row>
    <row r="21" spans="1:21" hidden="1">
      <c r="G21" s="34">
        <f>IF(G23 = 0, 0, (C18-SUM(G18:G18))/(MONTH(N1-G5)))</f>
        <v>34.909090909090907</v>
      </c>
      <c r="H21" s="34">
        <f>IF(H23 = 0, 0, (C18-SUM(G18:H18))/(MONTH(N1-H5)))</f>
        <v>0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0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384</v>
      </c>
      <c r="H22" s="6">
        <f>IF(H23=0, 0,C18-SUM(G18:H18))</f>
        <v>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0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sheetCalcPr fullCalcOnLoad="1"/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3"/>
  <sheetViews>
    <sheetView workbookViewId="0">
      <pane xSplit="17140" topLeftCell="V1"/>
      <selection activeCell="G9" sqref="G9"/>
      <selection pane="topRight" activeCell="T6" sqref="T6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8</v>
      </c>
      <c r="L1" s="82">
        <f>'Project Summary'!L1</f>
        <v>39980</v>
      </c>
      <c r="M1" s="1" t="s">
        <v>9</v>
      </c>
      <c r="N1" s="82">
        <f>'Project Summary'!N1</f>
        <v>40344</v>
      </c>
    </row>
    <row r="2" spans="1:21">
      <c r="B2" s="1" t="s">
        <v>29</v>
      </c>
      <c r="C2" s="95" t="s">
        <v>96</v>
      </c>
      <c r="D2" s="95"/>
      <c r="E2" s="95"/>
      <c r="G2" s="94" t="s">
        <v>102</v>
      </c>
      <c r="H2" s="94"/>
      <c r="I2" s="26">
        <f>C18/1920</f>
        <v>1</v>
      </c>
    </row>
    <row r="3" spans="1:21">
      <c r="B3" s="1" t="s">
        <v>27</v>
      </c>
      <c r="C3" s="41" t="s">
        <v>95</v>
      </c>
      <c r="D3" s="5"/>
      <c r="E3" s="5"/>
    </row>
    <row r="5" spans="1:21" s="15" customFormat="1">
      <c r="A5" s="15" t="s">
        <v>4</v>
      </c>
      <c r="B5" s="15" t="s">
        <v>10</v>
      </c>
      <c r="C5" s="20" t="s">
        <v>11</v>
      </c>
      <c r="D5" s="20" t="s">
        <v>24</v>
      </c>
      <c r="E5" s="20" t="s">
        <v>25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0</v>
      </c>
      <c r="D7" s="24">
        <v>39980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1">
        <v>3</v>
      </c>
      <c r="B8" s="40" t="str">
        <f>Milestones!C8</f>
        <v>System Dev./Impl.</v>
      </c>
      <c r="C8" s="17">
        <v>1920</v>
      </c>
      <c r="D8" s="24">
        <v>39980</v>
      </c>
      <c r="E8" s="24">
        <v>40344</v>
      </c>
      <c r="G8" s="14">
        <v>160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160</v>
      </c>
      <c r="U8" s="26">
        <f t="shared" ref="U8:U18" si="1">T8/MAX(C8,1)</f>
        <v>8.3333333333333329E-2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30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160</v>
      </c>
      <c r="H18" s="25">
        <f t="shared" si="2"/>
        <v>0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160</v>
      </c>
      <c r="U18" s="26">
        <f t="shared" si="1"/>
        <v>8.3333333333333329E-2</v>
      </c>
    </row>
    <row r="19" spans="1:21" hidden="1">
      <c r="A19" s="1" t="s">
        <v>58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6" t="s">
        <v>56</v>
      </c>
      <c r="C20" s="6">
        <v>1920</v>
      </c>
    </row>
    <row r="21" spans="1:21" s="6" customFormat="1" hidden="1">
      <c r="B21" s="6" t="s">
        <v>64</v>
      </c>
      <c r="G21" s="6">
        <f>IF(G23 = 0, 0, (C18-SUM(G18:G18))/(MONTH(N1-G5)))</f>
        <v>160</v>
      </c>
      <c r="H21" s="6">
        <f>IF(H23 = 0, 0, (C18-SUM(G18:H18))/(MONTH(N1-H5)))</f>
        <v>0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A22" s="1" t="s">
        <v>62</v>
      </c>
      <c r="G22" s="6">
        <f>IF(G23=0, 0, C18-SUM(G18:G18))</f>
        <v>1760</v>
      </c>
      <c r="H22" s="6">
        <f>IF(H23=0, 0,C18-SUM(G18:H18))</f>
        <v>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A23" s="1" t="s">
        <v>63</v>
      </c>
      <c r="G23" s="6">
        <f>'Project Summary'!G16</f>
        <v>785</v>
      </c>
      <c r="H23" s="6">
        <f>'Project Summary'!H16</f>
        <v>0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sheetCalcPr fullCalcOnLoad="1"/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3"/>
  <sheetViews>
    <sheetView workbookViewId="0">
      <selection activeCell="G9" sqref="G9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7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8</v>
      </c>
      <c r="L1" s="82">
        <f>'Project Summary'!L1</f>
        <v>39980</v>
      </c>
      <c r="M1" s="1" t="s">
        <v>9</v>
      </c>
      <c r="N1" s="82">
        <f>'Project Summary'!N1</f>
        <v>40344</v>
      </c>
    </row>
    <row r="2" spans="1:21">
      <c r="B2" s="1" t="s">
        <v>29</v>
      </c>
      <c r="C2" s="95" t="s">
        <v>97</v>
      </c>
      <c r="D2" s="95"/>
      <c r="E2" s="95"/>
      <c r="G2" s="94" t="s">
        <v>102</v>
      </c>
      <c r="H2" s="94"/>
      <c r="I2" s="26">
        <v>1</v>
      </c>
    </row>
    <row r="3" spans="1:21">
      <c r="B3" s="1" t="s">
        <v>27</v>
      </c>
      <c r="C3" s="41" t="s">
        <v>95</v>
      </c>
      <c r="D3" s="5"/>
      <c r="E3" s="5"/>
    </row>
    <row r="5" spans="1:21" s="20" customFormat="1">
      <c r="A5" s="20" t="s">
        <v>4</v>
      </c>
      <c r="B5" s="20" t="s">
        <v>10</v>
      </c>
      <c r="C5" s="20" t="s">
        <v>11</v>
      </c>
      <c r="D5" s="20" t="s">
        <v>24</v>
      </c>
      <c r="E5" s="20" t="s">
        <v>25</v>
      </c>
      <c r="F5" s="27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0</v>
      </c>
      <c r="D7" s="24">
        <v>40345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1">
        <v>3</v>
      </c>
      <c r="B8" s="40" t="str">
        <f>Milestones!C8</f>
        <v>System Dev./Impl.</v>
      </c>
      <c r="C8" s="17">
        <v>1920</v>
      </c>
      <c r="D8" s="24">
        <v>40345</v>
      </c>
      <c r="E8" s="24">
        <v>40344</v>
      </c>
      <c r="G8" s="14">
        <v>160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160</v>
      </c>
      <c r="U8" s="26">
        <f t="shared" ref="U8:U18" si="1">T8/MAX(C8,1)</f>
        <v>8.3333333333333329E-2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G10" s="14">
        <v>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40345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40345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40345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30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160</v>
      </c>
      <c r="H18" s="25">
        <f t="shared" si="2"/>
        <v>0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160</v>
      </c>
      <c r="U18" s="26">
        <f t="shared" si="1"/>
        <v>8.3333333333333329E-2</v>
      </c>
    </row>
    <row r="19" spans="1:21" hidden="1">
      <c r="A19" s="1" t="s">
        <v>58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6" t="s">
        <v>56</v>
      </c>
      <c r="C20" s="6">
        <v>1920</v>
      </c>
    </row>
    <row r="21" spans="1:21" hidden="1">
      <c r="G21" s="6">
        <f>IF(G23 = 0, 0, (C18-SUM(G18:G18))/(MONTH(N1-G5)))</f>
        <v>160</v>
      </c>
      <c r="H21" s="6">
        <f>IF(H23 = 0, 0, (C18-SUM(G18:H18))/(MONTH(N1-H5)))</f>
        <v>0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0</v>
      </c>
      <c r="L21" s="6">
        <f>IF(L23 = 0, 0, (C18-SUM(G18:L18))/(MONTH(N1-L5)))</f>
        <v>0</v>
      </c>
      <c r="M21" s="6">
        <f>IF(M23 = 0, 0, (C18-SUM(G18:M18))/(MONTH(N1-M5)))</f>
        <v>0</v>
      </c>
      <c r="N21" s="6">
        <f>IF(N23 = 0, 0, (C18-SUM(G18:N18))/(MONTH(N1-N5)))</f>
        <v>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1760</v>
      </c>
      <c r="H22" s="6">
        <f>IF(H23=0, 0,C18-SUM(G18:H18))</f>
        <v>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0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0</v>
      </c>
      <c r="L23" s="6">
        <f>'Project Summary'!L16</f>
        <v>0</v>
      </c>
      <c r="M23" s="6">
        <f>'Project Summary'!M16</f>
        <v>0</v>
      </c>
      <c r="N23" s="6">
        <f>'Project Summary'!N16</f>
        <v>0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sheetCalcPr fullCalcOnLoad="1"/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Warren</vt:lpstr>
      <vt:lpstr>Sean</vt:lpstr>
      <vt:lpstr>Rhett</vt:lpstr>
      <vt:lpstr>Lee</vt:lpstr>
      <vt:lpstr>Jalpa</vt:lpstr>
      <vt:lpstr>David</vt:lpstr>
      <vt:lpstr>Jignesh</vt:lpstr>
      <vt:lpstr>Nataliya</vt:lpstr>
      <vt:lpstr>John</vt:lpstr>
      <vt:lpstr>Renee</vt:lpstr>
      <vt:lpstr>Dong</vt:lpstr>
      <vt:lpstr>SB-Dev</vt:lpstr>
      <vt:lpstr>Project Summary</vt:lpstr>
      <vt:lpstr>Milestones</vt:lpstr>
      <vt:lpstr>Support</vt:lpstr>
      <vt:lpstr>SB-Manager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yanpg</dc:creator>
  <cp:lastModifiedBy>Sean Whitaker</cp:lastModifiedBy>
  <cp:lastPrinted>2009-07-27T22:16:22Z</cp:lastPrinted>
  <dcterms:created xsi:type="dcterms:W3CDTF">2009-07-24T18:35:00Z</dcterms:created>
  <dcterms:modified xsi:type="dcterms:W3CDTF">2009-08-10T23:08:07Z</dcterms:modified>
</cp:coreProperties>
</file>